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7280" windowHeight="6816"/>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ibit F" sheetId="18" r:id="rId18"/>
    <sheet name="Exhibit G" sheetId="19" r:id="rId19"/>
    <sheet name="Exhibit G state" sheetId="20" r:id="rId20"/>
    <sheet name="Exhibit G Federal" sheetId="21" r:id="rId21"/>
    <sheet name="Exhibit H" sheetId="22" r:id="rId22"/>
    <sheet name=" Exhbit I " sheetId="23" r:id="rId23"/>
    <sheet name=" 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 sheetId="35" r:id="rId35"/>
    <sheet name="Sch 6" sheetId="36" r:id="rId36"/>
    <sheet name="HCRA " sheetId="37" r:id="rId37"/>
    <sheet name="HCRA PROG DISB" sheetId="38" r:id="rId38"/>
    <sheet name="Public Goods " sheetId="39" r:id="rId39"/>
    <sheet name="Medicaid Disp Share" sheetId="40" r:id="rId40"/>
    <sheet name="Appendix 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G'!$A$2:$AK$123</definedName>
    <definedName name="Exh_G_var" localSheetId="20">'Exhibit G Federal'!$A$2:$AM$91</definedName>
    <definedName name="Exh_G_var" localSheetId="19">'Exhibit G state'!$A$2:$AM$121</definedName>
    <definedName name="EXHIBIT_E" localSheetId="14">'EXHIBIT E '!$A$3:$AK$59</definedName>
    <definedName name="EXHIBITA" localSheetId="2">'Exh A Supp'!$A$3:$AC$62</definedName>
    <definedName name="EXHIBITAvar" localSheetId="2">'Exh A Supp'!$A$3:$AC$62</definedName>
    <definedName name="ExhibitB" localSheetId="5">'Exh C'!$A$3:$Q$46</definedName>
    <definedName name="EXHL" localSheetId="40">'Appendix E'!$A$2:$AA$39</definedName>
    <definedName name="EXHL" localSheetId="28">'EXHIBIT M'!$A$3:$AF$39</definedName>
    <definedName name="Medicaid" localSheetId="39">'Medicaid Disp Share'!$B$5:$I$50</definedName>
    <definedName name="Page_1" localSheetId="3">Footnotes!$A$3:$S$80</definedName>
    <definedName name="Page_2" localSheetId="3">Footnotes!$A$82:$S$93</definedName>
    <definedName name="page1" localSheetId="32">'Sch 4'!$A$3:$J$19</definedName>
    <definedName name="page1" localSheetId="0">'Table of Contents'!$A$1:$J$100</definedName>
    <definedName name="_xlnm.Print_Area" localSheetId="22">' Exhbit I '!$B$15:$AL$105</definedName>
    <definedName name="_xlnm.Print_Area" localSheetId="23">' Exhibit I State'!$B$15:$AN$103</definedName>
    <definedName name="_xlnm.Print_Area" localSheetId="40">'Appendix E'!$A$2:$AA$50</definedName>
    <definedName name="_xlnm.Print_Area" localSheetId="41">'Appendix F'!$A$2:$P$288</definedName>
    <definedName name="_xlnm.Print_Area" localSheetId="42">'Appendix G'!$A$3:$Z$53</definedName>
    <definedName name="_xlnm.Print_Area" localSheetId="16">'Cash Flow State Operating'!$A$3:$AJ$147</definedName>
    <definedName name="_xlnm.Print_Area" localSheetId="15">'Cashflow Governmental'!$A$3:$AJ$146</definedName>
    <definedName name="_xlnm.Print_Area" localSheetId="2">'Exh A Supp'!$A$3:$AF$65</definedName>
    <definedName name="_xlnm.Print_Area" localSheetId="4">'Exh B'!$A$3:$V$47</definedName>
    <definedName name="_xlnm.Print_Area" localSheetId="5">'Exh C'!$A$3:$U$44</definedName>
    <definedName name="_xlnm.Print_Area" localSheetId="12">'Exh D Capital Projects'!$A$3:$K$46</definedName>
    <definedName name="_xlnm.Print_Area" localSheetId="13">'Exh D Captl Projects State Fed'!$A$3:$U$46</definedName>
    <definedName name="_xlnm.Print_Area" localSheetId="11">'Exh D Debt Service'!$A$3:$K$43</definedName>
    <definedName name="_xlnm.Print_Area" localSheetId="8">'Exh D General Fund  '!$A$3:$K$55</definedName>
    <definedName name="_xlnm.Print_Area" localSheetId="9">'Exh D Special Revenue'!$A$3:$K$46</definedName>
    <definedName name="_xlnm.Print_Area" localSheetId="10">'Exh D Special Revenue State Fed'!$A$3:$X$46</definedName>
    <definedName name="_xlnm.Print_Area" localSheetId="7">'Exh D State Operating'!$A$3:$K$54</definedName>
    <definedName name="_xlnm.Print_Area" localSheetId="6">'Exh D-Governmental  '!$A$3:$K$54</definedName>
    <definedName name="_xlnm.Print_Area" localSheetId="1">'Exhibit A'!$A$3:$AI$60</definedName>
    <definedName name="_xlnm.Print_Area" localSheetId="14">'EXHIBIT E '!$A$3:$AK$59</definedName>
    <definedName name="_xlnm.Print_Area" localSheetId="17">'Exhibit F'!$B$14:$AK$142</definedName>
    <definedName name="_xlnm.Print_Area" localSheetId="18">'Exhibit G'!$B$14:$AK$127</definedName>
    <definedName name="_xlnm.Print_Area" localSheetId="20">'Exhibit G Federal'!$B$14:$AM$93</definedName>
    <definedName name="_xlnm.Print_Area" localSheetId="19">'Exhibit G state'!$B$14:$AM$123</definedName>
    <definedName name="_xlnm.Print_Area" localSheetId="21">'Exhibit H'!$A$12:$AI$74</definedName>
    <definedName name="_xlnm.Print_Area" localSheetId="24">'Exhibit I Federal'!$B$15:$AN$82</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Footnotes!$A$2:$P$61</definedName>
    <definedName name="_xlnm.Print_Area" localSheetId="36">'HCRA '!$A$3:$Z$62</definedName>
    <definedName name="_xlnm.Print_Area" localSheetId="37">'HCRA PROG DISB'!$A$3:$H$102</definedName>
    <definedName name="_xlnm.Print_Area" localSheetId="39">'Medicaid Disp Share'!$B$2:$G$53</definedName>
    <definedName name="_xlnm.Print_Area" localSheetId="38">'Public Goods '!$A$3:$F$54</definedName>
    <definedName name="_xlnm.Print_Area" localSheetId="29">'Sch 1 '!$A$3:$L$154</definedName>
    <definedName name="_xlnm.Print_Area" localSheetId="30">'Sch 2 '!$A$3:$K$44</definedName>
    <definedName name="_xlnm.Print_Area" localSheetId="31">'Sch 3 '!$A$2:$M$48</definedName>
    <definedName name="_xlnm.Print_Area" localSheetId="32">'Sch 4'!$A$3:$J$35</definedName>
    <definedName name="_xlnm.Print_Area" localSheetId="33">'Sch 5 '!$A$3:$S$65</definedName>
    <definedName name="_xlnm.Print_Area" localSheetId="34">'Sch 5a '!$B$3:$W$62</definedName>
    <definedName name="_xlnm.Print_Area" localSheetId="35">'Sch 6'!$A$3:$J$37</definedName>
    <definedName name="_xlnm.Print_Area" localSheetId="0">'Table of Contents'!$A$1:$J$64</definedName>
    <definedName name="_xlnm.Print_Titles" localSheetId="22">' Exhbit I '!$3:$13</definedName>
    <definedName name="_xlnm.Print_Titles" localSheetId="23">' Exhibit I State'!$3:$14</definedName>
    <definedName name="_xlnm.Print_Titles" localSheetId="41">'Appendix F'!$2:$8</definedName>
    <definedName name="_xlnm.Print_Titles" localSheetId="16">'Cash Flow State Operating'!$4:$15</definedName>
    <definedName name="_xlnm.Print_Titles" localSheetId="15">'Cashflow Governmental'!$3:$15</definedName>
    <definedName name="_xlnm.Print_Titles" localSheetId="17">'Exhibit F'!$5:$13</definedName>
    <definedName name="_xlnm.Print_Titles" localSheetId="18">'Exhibit G'!$4:$13</definedName>
    <definedName name="_xlnm.Print_Titles" localSheetId="20">'Exhibit G Federal'!$3:$13</definedName>
    <definedName name="_xlnm.Print_Titles" localSheetId="19">'Exhibit G state'!$3:$13</definedName>
    <definedName name="_xlnm.Print_Titles" localSheetId="21">'Exhibit H'!$3:$10</definedName>
    <definedName name="_xlnm.Print_Titles" localSheetId="24">'Exhibit I Federal'!$3:$14</definedName>
    <definedName name="_xlnm.Print_Titles" localSheetId="3">Footnotes!$2:$3</definedName>
    <definedName name="_xlnm.Print_Titles" localSheetId="37">'HCRA PROG DISB'!$3:$8</definedName>
    <definedName name="_xlnm.Print_Titles" localSheetId="38">'Public Goods '!$5:$11</definedName>
    <definedName name="_xlnm.Print_Titles" localSheetId="29">'Sch 1 '!$3:$10</definedName>
    <definedName name="_xlnm.Print_Titles" localSheetId="0">'Table of Contents'!$1:$12</definedName>
    <definedName name="Sch3_2" localSheetId="31">'Sch 3 '!$A$3:$M$48</definedName>
    <definedName name="STATE_OF_NEW_YORK" localSheetId="14">'EXHIBIT E '!$A$3:$AK$59</definedName>
    <definedName name="variance" localSheetId="42">'Appendix G'!$A$3:$X$38</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7AF2E82_99DF_448F_AE0C_9F6ACFAD683D_.wvu.FilterData" localSheetId="11" hidden="1">'Exh D Debt Service'!$A$3:$A$7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F53A47B_061C_44B9_B148_CC55070FAB6E_.wvu.PrintTitles" localSheetId="29" hidden="1">'Sch 1 '!$3:$10</definedName>
    <definedName name="Z_0F53A47B_061C_44B9_B148_CC55070FAB6E_.wvu.Rows" localSheetId="29" hidden="1">'Sch 1 '!#REF!</definedName>
    <definedName name="Z_13BA7D7F_A933_47AA_AD0D_A2E7D4E4E0D7_.wvu.FilterData" localSheetId="8" hidden="1">'Exh D General Fund  '!$A$3:$A$7</definedName>
    <definedName name="Z_16F9E563_4458_41C9_BF56_F0F5B316856F_.wvu.Cols" localSheetId="15" hidden="1">'Cashflow Governmental'!#REF!</definedName>
    <definedName name="Z_16F9E563_4458_41C9_BF56_F0F5B316856F_.wvu.PrintArea" localSheetId="15" hidden="1">'Cashflow Governmental'!$A$3:$AJ$149</definedName>
    <definedName name="Z_17BB73E0_1CF4_467E_9487_3D1C86AF6DB9_.wvu.FilterData" localSheetId="8" hidden="1">'Exh D General Fund  '!$A$3:$A$7</definedName>
    <definedName name="Z_1AC73F00_FFC6_4A45_B38D_FF42E0186479_.wvu.FilterData" localSheetId="11" hidden="1">'Exh D Debt Service'!$A$3:$A$7</definedName>
    <definedName name="Z_1CC4ED98_AA43_4114_B2B3_B95664F86673_.wvu.PrintArea" localSheetId="14" hidden="1">'EXHIBIT E '!$A$3:$AK$59</definedName>
    <definedName name="Z_1D1F1A01_30B2_4981_9EC4_1E239EF5CA4C_.wvu.PrintArea" localSheetId="24" hidden="1">'Exhibit I Federal'!$B$3:$AN$82</definedName>
    <definedName name="Z_2254FCC8_B9BB_476F_A0BE_7D26E71B1284_.wvu.FilterData" localSheetId="11" hidden="1">'Exh D Debt Service'!$A$3:$A$7</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'!$A$3:$AK$59</definedName>
    <definedName name="Z_2F419F63_BD3C_4339_BEB3_24DF0825A630_.wvu.FilterData" localSheetId="8" hidden="1">'Exh D General Fund  '!$A$3:$A$7</definedName>
    <definedName name="Z_30AE2415_629E_49AD_80D6_16EE72A27D84_.wvu.FilterData" localSheetId="11" hidden="1">'Exh D Debt Service'!$A$3:$A$7</definedName>
    <definedName name="Z_3121FE90_05F2_48D7_A774_138D5236EB1C_.wvu.FilterData" localSheetId="8" hidden="1">'Exh D General Fund  '!$A$3:$A$7</definedName>
    <definedName name="Z_3215277C_ACED_4FB7_9BFC_BF0E621AF59C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'!$3:$10</definedName>
    <definedName name="Z_35581B99_F322_40A1_83D9_D8CC4D8685D1_.wvu.Rows" localSheetId="29" hidden="1">'Sch 1 '!#REF!</definedName>
    <definedName name="Z_37D6AA22_787C_4A38_846B_EC42315B0140_.wvu.FilterData" localSheetId="11" hidden="1">'Exh D Debt Service'!$A$3:$A$7</definedName>
    <definedName name="Z_397D3C87_88A6_445F_8F95_D27369DE6AD6_.wvu.FilterData" localSheetId="11" hidden="1">'Exh D Debt Service'!$A$3:$A$7</definedName>
    <definedName name="Z_39DB2D6C_C362_45F4_A2F1_C59B9CF1777D_.wvu.PrintArea" localSheetId="23" hidden="1">' Exhibit I State'!$B$3:$AN$103</definedName>
    <definedName name="Z_39DB2D6C_C362_45F4_A2F1_C59B9CF1777D_.wvu.Rows" localSheetId="23" hidden="1">' Exhibit I State'!#REF!</definedName>
    <definedName name="Z_3CC7CC25_E0F5_49E1_B704_0EB8513444E7_.wvu.FilterData" localSheetId="8" hidden="1">'Exh D General Fund  '!$A$3:$A$7</definedName>
    <definedName name="Z_3E09C753_C94C_4589_BB7F_28456297637B_.wvu.PrintArea" localSheetId="14" hidden="1">'EXHIBIT E '!$A$3:$AK$59</definedName>
    <definedName name="Z_40B04F56_1B22_4395_91DD_384E48A06F95_.wvu.FilterData" localSheetId="8" hidden="1">'Exh D General Fund  '!$A$3:$A$7</definedName>
    <definedName name="Z_46D80255_C131_405D_AA54_CB7C66EFC8B1_.wvu.FilterData" localSheetId="8" hidden="1">'Exh D General Fund  '!$A$3:$A$7</definedName>
    <definedName name="Z_46E4CD47_D4E7_4AFB_B55F_6166DD9C9806_.wvu.PrintArea" localSheetId="14" hidden="1">'EXHIBIT E '!$A$3:$AK$59</definedName>
    <definedName name="Z_4C5DC936_C451_4ECB_8EE3_1B14AD828160_.wvu.Cols" localSheetId="15" hidden="1">'Cashflow Governmental'!#REF!</definedName>
    <definedName name="Z_4C5DC936_C451_4ECB_8EE3_1B14AD828160_.wvu.PrintArea" localSheetId="15" hidden="1">'Cashflow Governmental'!$A$3:$AJ$149</definedName>
    <definedName name="Z_53181B1F_F32D_42B5_AEB6_ADB3450485A5_.wvu.FilterData" localSheetId="11" hidden="1">'Exh D Debt Service'!$A$3:$A$7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E1354C7_20F9_4F8D_AF07_85486EE3CF3D_.wvu.FilterData" localSheetId="11" hidden="1">'Exh D Debt Service'!$A$3:$A$7</definedName>
    <definedName name="Z_5FA88E3E_0505_480C_94E4_3D96D410B5D5_.wvu.PrintArea" localSheetId="24" hidden="1">'Exhibit I Federal'!$B$3:$AN$82</definedName>
    <definedName name="Z_63934AF3_239F_447C_A783_B5936B1D7BDA_.wvu.FilterData" localSheetId="8" hidden="1">'Exh D General Fund  '!$A$3:$A$7</definedName>
    <definedName name="Z_63A58C72_B007_4E3F_A2C0_E62EBD5B7EF8_.wvu.PrintArea" localSheetId="14" hidden="1">'EXHIBIT E '!$A$3:$AK$59</definedName>
    <definedName name="Z_64300EA2_43D0_4FBF_9089_8112D939C55C_.wvu.PrintArea" localSheetId="42" hidden="1">'Appendix G'!$A$3:$Z$53</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AE64DEF_56FD_44C8_9F38_A2F981B8F883_.wvu.PrintArea" localSheetId="23" hidden="1">' Exhibit I State'!$B$3:$AN$103</definedName>
    <definedName name="Z_7AE64DEF_56FD_44C8_9F38_A2F981B8F883_.wvu.Rows" localSheetId="23" hidden="1">' Exhibit I State'!#REF!</definedName>
    <definedName name="Z_80876A9A_0E13_4169_8EC2_4642160C38DB_.wvu.PrintArea" localSheetId="1" hidden="1">'Exhibit A'!$A$3:$AI$60</definedName>
    <definedName name="Z_85B3A599_57BF_4CE6_8AF9_26FB7E444A5A_.wvu.FilterData" localSheetId="11" hidden="1">'Exh D Debt Service'!$A$3:$A$7</definedName>
    <definedName name="Z_86C8BADE_1FEC_441A_A701_DFCBCC85CD39_.wvu.FilterData" localSheetId="8" hidden="1">'Exh D General Fund  '!$A$3:$A$7</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7AB22FD_E2B5_4807_865C_3D7DC0D900F9_.wvu.FilterData" localSheetId="8" hidden="1">'Exh D General Fund  '!$A$3:$A$7</definedName>
    <definedName name="Z_8EE6466D_211E_4E05_9F84_CC0A1C6F79F4_.wvu.Cols" localSheetId="13" hidden="1">'Exh D Captl Projects State Fed'!$W:$AA</definedName>
    <definedName name="Z_8EE6466D_211E_4E05_9F84_CC0A1C6F79F4_.wvu.Cols" localSheetId="10" hidden="1">'Exh D Special Revenue State Fed'!$W:$AC</definedName>
    <definedName name="Z_8EE6466D_211E_4E05_9F84_CC0A1C6F79F4_.wvu.FilterData" localSheetId="11" hidden="1">'Exh D Debt Service'!$A$3:$A$7</definedName>
    <definedName name="Z_8EE6466D_211E_4E05_9F84_CC0A1C6F79F4_.wvu.FilterData" localSheetId="8" hidden="1">'Exh D General Fund  '!$A$3:$A$7</definedName>
    <definedName name="Z_8EE6466D_211E_4E05_9F84_CC0A1C6F79F4_.wvu.PrintArea" localSheetId="22" hidden="1">' Exhbit I '!$B$15:$AL$105</definedName>
    <definedName name="Z_8EE6466D_211E_4E05_9F84_CC0A1C6F79F4_.wvu.PrintArea" localSheetId="23" hidden="1">' Exhibit I State'!$B$15:$AN$103</definedName>
    <definedName name="Z_8EE6466D_211E_4E05_9F84_CC0A1C6F79F4_.wvu.PrintArea" localSheetId="40" hidden="1">'Appendix E'!$A$2:$AA$50</definedName>
    <definedName name="Z_8EE6466D_211E_4E05_9F84_CC0A1C6F79F4_.wvu.PrintArea" localSheetId="41" hidden="1">'Appendix F'!$A$2:$P$288</definedName>
    <definedName name="Z_8EE6466D_211E_4E05_9F84_CC0A1C6F79F4_.wvu.PrintArea" localSheetId="42" hidden="1">'Appendix G'!$A$3:$Z$53</definedName>
    <definedName name="Z_8EE6466D_211E_4E05_9F84_CC0A1C6F79F4_.wvu.PrintArea" localSheetId="16" hidden="1">'Cash Flow State Operating'!$A$3:$AJ$146</definedName>
    <definedName name="Z_8EE6466D_211E_4E05_9F84_CC0A1C6F79F4_.wvu.PrintArea" localSheetId="15" hidden="1">'Cashflow Governmental'!$A$16:$AJ$146</definedName>
    <definedName name="Z_8EE6466D_211E_4E05_9F84_CC0A1C6F79F4_.wvu.PrintArea" localSheetId="2" hidden="1">'Exh A Supp'!$A$3:$AF$65</definedName>
    <definedName name="Z_8EE6466D_211E_4E05_9F84_CC0A1C6F79F4_.wvu.PrintArea" localSheetId="4" hidden="1">'Exh B'!$A$3:$V$47</definedName>
    <definedName name="Z_8EE6466D_211E_4E05_9F84_CC0A1C6F79F4_.wvu.PrintArea" localSheetId="5" hidden="1">'Exh C'!$A$3:$U$44</definedName>
    <definedName name="Z_8EE6466D_211E_4E05_9F84_CC0A1C6F79F4_.wvu.PrintArea" localSheetId="12" hidden="1">'Exh D Capital Projects'!$A$3:$K$45</definedName>
    <definedName name="Z_8EE6466D_211E_4E05_9F84_CC0A1C6F79F4_.wvu.PrintArea" localSheetId="13" hidden="1">'Exh D Captl Projects State Fed'!$A$3:$AA$45</definedName>
    <definedName name="Z_8EE6466D_211E_4E05_9F84_CC0A1C6F79F4_.wvu.PrintArea" localSheetId="11" hidden="1">'Exh D Debt Service'!$A$3:$K$43</definedName>
    <definedName name="Z_8EE6466D_211E_4E05_9F84_CC0A1C6F79F4_.wvu.PrintArea" localSheetId="8" hidden="1">'Exh D General Fund  '!$A$3:$K$55</definedName>
    <definedName name="Z_8EE6466D_211E_4E05_9F84_CC0A1C6F79F4_.wvu.PrintArea" localSheetId="9" hidden="1">'Exh D Special Revenue'!$A$3:$K$46</definedName>
    <definedName name="Z_8EE6466D_211E_4E05_9F84_CC0A1C6F79F4_.wvu.PrintArea" localSheetId="10" hidden="1">'Exh D Special Revenue State Fed'!$A$3:$AB$44</definedName>
    <definedName name="Z_8EE6466D_211E_4E05_9F84_CC0A1C6F79F4_.wvu.PrintArea" localSheetId="7" hidden="1">'Exh D State Operating'!$A$3:$K$54</definedName>
    <definedName name="Z_8EE6466D_211E_4E05_9F84_CC0A1C6F79F4_.wvu.PrintArea" localSheetId="6" hidden="1">'Exh D-Governmental  '!$A$3:$K$54</definedName>
    <definedName name="Z_8EE6466D_211E_4E05_9F84_CC0A1C6F79F4_.wvu.PrintArea" localSheetId="1" hidden="1">'Exhibit A'!$A$3:$AI$60</definedName>
    <definedName name="Z_8EE6466D_211E_4E05_9F84_CC0A1C6F79F4_.wvu.PrintArea" localSheetId="14" hidden="1">'EXHIBIT E '!$A$3:$AK$59</definedName>
    <definedName name="Z_8EE6466D_211E_4E05_9F84_CC0A1C6F79F4_.wvu.PrintArea" localSheetId="17" hidden="1">'Exhibit F'!$A$2:$AK$139</definedName>
    <definedName name="Z_8EE6466D_211E_4E05_9F84_CC0A1C6F79F4_.wvu.PrintArea" localSheetId="18" hidden="1">'Exhibit G'!$A$2:$AK$124</definedName>
    <definedName name="Z_8EE6466D_211E_4E05_9F84_CC0A1C6F79F4_.wvu.PrintArea" localSheetId="20" hidden="1">'Exhibit G Federal'!$B$14:$AM$93</definedName>
    <definedName name="Z_8EE6466D_211E_4E05_9F84_CC0A1C6F79F4_.wvu.PrintArea" localSheetId="19" hidden="1">'Exhibit G state'!$B$14:$AM$123</definedName>
    <definedName name="Z_8EE6466D_211E_4E05_9F84_CC0A1C6F79F4_.wvu.PrintArea" localSheetId="21" hidden="1">'Exhibit H'!$A$12:$AI$74</definedName>
    <definedName name="Z_8EE6466D_211E_4E05_9F84_CC0A1C6F79F4_.wvu.PrintArea" localSheetId="24" hidden="1">'Exhibit I Federal'!$B$15:$AN$82</definedName>
    <definedName name="Z_8EE6466D_211E_4E05_9F84_CC0A1C6F79F4_.wvu.PrintArea" localSheetId="25" hidden="1">'Exhibit J'!$A$3:$AJ$58</definedName>
    <definedName name="Z_8EE6466D_211E_4E05_9F84_CC0A1C6F79F4_.wvu.PrintArea" localSheetId="26" hidden="1">'Exhibit K'!$A$3:$AI$53</definedName>
    <definedName name="Z_8EE6466D_211E_4E05_9F84_CC0A1C6F79F4_.wvu.PrintArea" localSheetId="27" hidden="1">'EXHIBIT L'!$A$3:$AI$39</definedName>
    <definedName name="Z_8EE6466D_211E_4E05_9F84_CC0A1C6F79F4_.wvu.PrintArea" localSheetId="28" hidden="1">'EXHIBIT M'!$A$3:$AI$39</definedName>
    <definedName name="Z_8EE6466D_211E_4E05_9F84_CC0A1C6F79F4_.wvu.PrintArea" localSheetId="3" hidden="1">Footnotes!$A$2:$Q$80</definedName>
    <definedName name="Z_8EE6466D_211E_4E05_9F84_CC0A1C6F79F4_.wvu.PrintArea" localSheetId="36" hidden="1">'HCRA '!$A$3:$Z$62</definedName>
    <definedName name="Z_8EE6466D_211E_4E05_9F84_CC0A1C6F79F4_.wvu.PrintArea" localSheetId="37" hidden="1">'HCRA PROG DISB'!$A$3:$G$103</definedName>
    <definedName name="Z_8EE6466D_211E_4E05_9F84_CC0A1C6F79F4_.wvu.PrintArea" localSheetId="39" hidden="1">'Medicaid Disp Share'!$B$2:$G$53</definedName>
    <definedName name="Z_8EE6466D_211E_4E05_9F84_CC0A1C6F79F4_.wvu.PrintArea" localSheetId="38" hidden="1">'Public Goods '!$A$3:$F$54</definedName>
    <definedName name="Z_8EE6466D_211E_4E05_9F84_CC0A1C6F79F4_.wvu.PrintArea" localSheetId="29" hidden="1">'Sch 1 '!$A$3:$L$154</definedName>
    <definedName name="Z_8EE6466D_211E_4E05_9F84_CC0A1C6F79F4_.wvu.PrintArea" localSheetId="30" hidden="1">'Sch 2 '!$A$3:$K$44</definedName>
    <definedName name="Z_8EE6466D_211E_4E05_9F84_CC0A1C6F79F4_.wvu.PrintArea" localSheetId="31" hidden="1">'Sch 3 '!$A$2:$M$48</definedName>
    <definedName name="Z_8EE6466D_211E_4E05_9F84_CC0A1C6F79F4_.wvu.PrintArea" localSheetId="32" hidden="1">'Sch 4'!$A$3:$J$35</definedName>
    <definedName name="Z_8EE6466D_211E_4E05_9F84_CC0A1C6F79F4_.wvu.PrintArea" localSheetId="33" hidden="1">'Sch 5 '!$A$3:$Q$65</definedName>
    <definedName name="Z_8EE6466D_211E_4E05_9F84_CC0A1C6F79F4_.wvu.PrintArea" localSheetId="34" hidden="1">'Sch 5a '!$B$3:$W$62</definedName>
    <definedName name="Z_8EE6466D_211E_4E05_9F84_CC0A1C6F79F4_.wvu.PrintArea" localSheetId="35" hidden="1">'Sch 6'!$A$3:$J$37</definedName>
    <definedName name="Z_8EE6466D_211E_4E05_9F84_CC0A1C6F79F4_.wvu.PrintArea" localSheetId="0" hidden="1">'Table of Contents'!$A$1:$J$64</definedName>
    <definedName name="Z_8EE6466D_211E_4E05_9F84_CC0A1C6F79F4_.wvu.PrintTitles" localSheetId="22" hidden="1">' Exhbit I '!$3:$13</definedName>
    <definedName name="Z_8EE6466D_211E_4E05_9F84_CC0A1C6F79F4_.wvu.PrintTitles" localSheetId="23" hidden="1">' Exhibit I State'!$3:$14</definedName>
    <definedName name="Z_8EE6466D_211E_4E05_9F84_CC0A1C6F79F4_.wvu.PrintTitles" localSheetId="41" hidden="1">'Appendix F'!$2:$8</definedName>
    <definedName name="Z_8EE6466D_211E_4E05_9F84_CC0A1C6F79F4_.wvu.PrintTitles" localSheetId="16" hidden="1">'Cash Flow State Operating'!$3:$15</definedName>
    <definedName name="Z_8EE6466D_211E_4E05_9F84_CC0A1C6F79F4_.wvu.PrintTitles" localSheetId="15" hidden="1">'Cashflow Governmental'!$3:$15</definedName>
    <definedName name="Z_8EE6466D_211E_4E05_9F84_CC0A1C6F79F4_.wvu.PrintTitles" localSheetId="17" hidden="1">'Exhibit F'!$5:$13</definedName>
    <definedName name="Z_8EE6466D_211E_4E05_9F84_CC0A1C6F79F4_.wvu.PrintTitles" localSheetId="18" hidden="1">'Exhibit G'!$4:$13</definedName>
    <definedName name="Z_8EE6466D_211E_4E05_9F84_CC0A1C6F79F4_.wvu.PrintTitles" localSheetId="20" hidden="1">'Exhibit G Federal'!$3:$13</definedName>
    <definedName name="Z_8EE6466D_211E_4E05_9F84_CC0A1C6F79F4_.wvu.PrintTitles" localSheetId="19" hidden="1">'Exhibit G state'!$3:$13</definedName>
    <definedName name="Z_8EE6466D_211E_4E05_9F84_CC0A1C6F79F4_.wvu.PrintTitles" localSheetId="21" hidden="1">'Exhibit H'!$3:$10</definedName>
    <definedName name="Z_8EE6466D_211E_4E05_9F84_CC0A1C6F79F4_.wvu.PrintTitles" localSheetId="24" hidden="1">'Exhibit I Federal'!$3:$14</definedName>
    <definedName name="Z_8EE6466D_211E_4E05_9F84_CC0A1C6F79F4_.wvu.PrintTitles" localSheetId="37" hidden="1">'HCRA PROG DISB'!$3:$8</definedName>
    <definedName name="Z_8EE6466D_211E_4E05_9F84_CC0A1C6F79F4_.wvu.PrintTitles" localSheetId="38" hidden="1">'Public Goods '!$5:$11</definedName>
    <definedName name="Z_8EE6466D_211E_4E05_9F84_CC0A1C6F79F4_.wvu.PrintTitles" localSheetId="29" hidden="1">'Sch 1 '!$3:$10</definedName>
    <definedName name="Z_8EE6466D_211E_4E05_9F84_CC0A1C6F79F4_.wvu.PrintTitles" localSheetId="0" hidden="1">'Table of Contents'!$1:$12</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3C9DF5B_4354_4A0C_A15A_8545924B0268_.wvu.FilterData" localSheetId="11" hidden="1">'Exh D Debt Service'!$A$3:$A$7</definedName>
    <definedName name="Z_9899757D_57B5_4A62_AF0E_3ABA9B994DD7_.wvu.PrintArea" localSheetId="24" hidden="1">'Exhibit I Federal'!$B$3:$AN$82</definedName>
    <definedName name="Z_9EFFAF1C_D472_4B35_9219_C6F7CE26C246_.wvu.FilterData" localSheetId="8" hidden="1">'Exh D General Fund  '!$A$3:$A$7</definedName>
    <definedName name="Z_9F36343A_AF04_4B95_BB5A_0D3DFF7C6E58_.wvu.FilterData" localSheetId="8" hidden="1">'Exh D General Fund  '!$A$3:$A$7</definedName>
    <definedName name="Z_A0FF3ACA_1D9B_4095_A4CC_20040E84219D_.wvu.PrintTitles" localSheetId="29" hidden="1">'Sch 1 '!$3:$10</definedName>
    <definedName name="Z_A0FF3ACA_1D9B_4095_A4CC_20040E84219D_.wvu.Rows" localSheetId="29" hidden="1">'Sch 1 '!#REF!</definedName>
    <definedName name="Z_A3084395_BCD3_4FF9_B05A_2019ED9D13D3_.wvu.FilterData" localSheetId="8" hidden="1">'Exh D General Fund  '!$A$3:$A$7</definedName>
    <definedName name="Z_A3AD8FC8_3DC1_448A_823A_ABA25030CCFD_.wvu.FilterData" localSheetId="11" hidden="1">'Exh D Debt Service'!$A$3:$A$7</definedName>
    <definedName name="Z_A5292644_3BAC_4F9D_AB15_8B6C19C7BAFA_.wvu.FilterData" localSheetId="8" hidden="1">'Exh D General Fund  '!$A$3:$A$7</definedName>
    <definedName name="Z_A5B132A8_AE52_43B0_ACD8_B96D216615CD_.wvu.FilterData" localSheetId="8" hidden="1">'Exh D General Fund  '!$A$3:$A$7</definedName>
    <definedName name="Z_A7AD7FA3_032C_49A4_BA1A_982AA7ED1D54_.wvu.FilterData" localSheetId="11" hidden="1">'Exh D Debt Service'!$A$3:$A$7</definedName>
    <definedName name="Z_AA91AFAE_EED9_4A9F_975A_DBA015C351C3_.wvu.FilterData" localSheetId="8" hidden="1">'Exh D General Fund  '!$A$3:$A$7</definedName>
    <definedName name="Z_AB5F083B_7792_4657_93D4_A6A8CC60BB97_.wvu.FilterData" localSheetId="8" hidden="1">'Exh D General Fund  '!$A$3:$A$7</definedName>
    <definedName name="Z_B2A4E257_BEA6_4D7F_AAA8_5AB5CC9A5A8E_.wvu.FilterData" localSheetId="8" hidden="1">'Exh D General Fund  '!$A$3:$A$7</definedName>
    <definedName name="Z_B41E6885_EAF7_4AC8_BB98_C75CFAC5A703_.wvu.FilterData" localSheetId="11" hidden="1">'Exh D Debt Service'!$A$3:$A$7</definedName>
    <definedName name="Z_B976D787_68A3_4D1B_B838_0A29FFCDA329_.wvu.PrintTitles" localSheetId="29" hidden="1">'Sch 1 '!$3:$10</definedName>
    <definedName name="Z_B976D787_68A3_4D1B_B838_0A29FFCDA329_.wvu.Rows" localSheetId="29" hidden="1">'Sch 1 '!#REF!</definedName>
    <definedName name="Z_BBDD9C39_4D1E_4D4C_86FB_AAAA63489BEE_.wvu.PrintArea" localSheetId="14" hidden="1">'EXHIBIT E '!$A$3:$AK$59</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C5C11FF3_5C2C_4CF6_B28E_FB1B2DC22672_.wvu.FilterData" localSheetId="11" hidden="1">'Exh D Debt Service'!$A$3:$A$7</definedName>
    <definedName name="Z_C8BBFDB8_FD3E_44D7_AB99_05C7B07F7CBA_.wvu.FilterData" localSheetId="8" hidden="1">'Exh D General Fund  '!$A$3:$A$7</definedName>
    <definedName name="Z_CBF0C58D_0DEC_42B0_BDC0_FC274C6D3421_.wvu.FilterData" localSheetId="8" hidden="1">'Exh D General Fund  '!$A$3:$A$7</definedName>
    <definedName name="Z_CEC68E96_80BD_4D3E_B82B_4577BB80D07A_.wvu.FilterData" localSheetId="8" hidden="1">'Exh D General Fund  '!$A$3:$A$7</definedName>
    <definedName name="Z_DA07262C_7873_4039_BC63_3E1D4F744D90_.wvu.FilterData" localSheetId="8" hidden="1">'Exh D General Fund  '!$A$3:$A$7</definedName>
    <definedName name="Z_DD49A576_6A97_4014_97C2_4199FF1215BD_.wvu.PrintArea" localSheetId="1" hidden="1">'Exhibit A'!$A$3:$AI$60</definedName>
    <definedName name="Z_DF9FD53F_9061_4207_B103_EA1C032F8025_.wvu.FilterData" localSheetId="11" hidden="1">'Exh D Debt Service'!$A$3:$A$7</definedName>
    <definedName name="Z_E071CE29_155D_4A9F_9B3B_7DDF9ED42A6D_.wvu.FilterData" localSheetId="8" hidden="1">'Exh D General Fund  '!$A$3:$A$7</definedName>
    <definedName name="Z_E24939C5_07CE_420D_A673_4068FD6DC000_.wvu.FilterData" localSheetId="8" hidden="1">'Exh D General Fund  '!$A$3:$A$7</definedName>
    <definedName name="Z_E53CDBE4_5283_4E76_B430_873F933CFEFD_.wvu.FilterData" localSheetId="8" hidden="1">'Exh D General Fund  '!$A$3:$A$7</definedName>
    <definedName name="Z_E7A86177_7B19_421F_A256_D31A4A7193C1_.wvu.PrintArea" localSheetId="24" hidden="1">'Exhibit I Federal'!$B$3:$AN$82</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ED85D741_99C0_416E_B325_2A1022BC19BA_.wvu.FilterData" localSheetId="11" hidden="1">'Exh D Debt Service'!$A$3:$A$7</definedName>
    <definedName name="Z_F06BD761_76B1_40BA_98BC_E9348D386469_.wvu.PrintArea" localSheetId="14" hidden="1">'EXHIBIT E '!$A$3:$AK$59</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69DDDA9_4621_426B_ADE0_295642CC7F7E_.wvu.FilterData" localSheetId="8" hidden="1">'Exh D General Fund  '!$A$3:$A$7</definedName>
    <definedName name="Z_FF6A1557_A1BA_4E89_BE0D_61E8805E56CD_.wvu.PrintArea" localSheetId="1" hidden="1">'Exhibit A'!$A$3:$AI$60</definedName>
  </definedNames>
  <calcPr calcId="152511"/>
  <customWorkbookViews>
    <customWorkbookView name="ctuohy - Personal View (2)" guid="{8EE6466D-211E-4E05-9F84-CC0A1C6F79F4}" mergeInterval="0" personalView="1" maximized="1" xWindow="1" yWindow="1" windowWidth="1440" windowHeight="628" activeSheetId="35"/>
  </customWorkbookViews>
</workbook>
</file>

<file path=xl/calcChain.xml><?xml version="1.0" encoding="utf-8"?>
<calcChain xmlns="http://schemas.openxmlformats.org/spreadsheetml/2006/main">
  <c r="AK76" i="18" l="1"/>
  <c r="AJ70" i="17"/>
  <c r="AL75" i="23" l="1"/>
  <c r="AJ51" i="15" l="1"/>
  <c r="AF44" i="3" l="1"/>
  <c r="AF28" i="3"/>
  <c r="AF22" i="3"/>
  <c r="AJ126" i="17" l="1"/>
  <c r="AJ110" i="17"/>
  <c r="AJ103" i="17"/>
  <c r="AJ53" i="17"/>
  <c r="AJ70" i="16" l="1"/>
  <c r="C48" i="8"/>
  <c r="C95" i="17" l="1"/>
  <c r="C95" i="16"/>
  <c r="AL57" i="23" l="1"/>
  <c r="AL56" i="23"/>
  <c r="AK98" i="18" l="1"/>
  <c r="AK84" i="18"/>
  <c r="AK77" i="18"/>
  <c r="AK64" i="18"/>
  <c r="K107" i="30" l="1"/>
  <c r="K105" i="30" l="1"/>
  <c r="G17" i="38" l="1"/>
  <c r="G94" i="38"/>
  <c r="G93" i="38"/>
  <c r="E91" i="38"/>
  <c r="E95" i="38" s="1"/>
  <c r="C91" i="38"/>
  <c r="C95" i="38" s="1"/>
  <c r="G90" i="38"/>
  <c r="G88" i="38"/>
  <c r="G87" i="38"/>
  <c r="G86" i="38"/>
  <c r="G85" i="38"/>
  <c r="G83" i="38"/>
  <c r="G81" i="38"/>
  <c r="G79" i="38"/>
  <c r="G78" i="38"/>
  <c r="G77" i="38"/>
  <c r="G76" i="38"/>
  <c r="G75" i="38"/>
  <c r="G74" i="38"/>
  <c r="G73" i="38"/>
  <c r="G72" i="38"/>
  <c r="G71" i="38"/>
  <c r="G70" i="38"/>
  <c r="G69" i="38"/>
  <c r="G68" i="38"/>
  <c r="G67" i="38"/>
  <c r="G66" i="38"/>
  <c r="G64" i="38"/>
  <c r="G63" i="38"/>
  <c r="G62" i="38"/>
  <c r="G61" i="38"/>
  <c r="G60" i="38"/>
  <c r="G59" i="38"/>
  <c r="G58" i="38"/>
  <c r="G57" i="38"/>
  <c r="G56" i="38"/>
  <c r="G55" i="38"/>
  <c r="G54" i="38"/>
  <c r="G53" i="38"/>
  <c r="G52" i="38"/>
  <c r="G51" i="38"/>
  <c r="G50" i="38"/>
  <c r="G49" i="38"/>
  <c r="G48" i="38"/>
  <c r="G47" i="38"/>
  <c r="G46" i="38"/>
  <c r="G45" i="38"/>
  <c r="G44" i="38"/>
  <c r="G43" i="38"/>
  <c r="G42" i="38"/>
  <c r="G41" i="38"/>
  <c r="G40" i="38"/>
  <c r="G39" i="38"/>
  <c r="G38" i="38"/>
  <c r="G37" i="38"/>
  <c r="G36" i="38"/>
  <c r="G34" i="38"/>
  <c r="G32" i="38"/>
  <c r="G30" i="38"/>
  <c r="G28" i="38"/>
  <c r="G27" i="38"/>
  <c r="G26" i="38"/>
  <c r="G25" i="38"/>
  <c r="G24" i="38"/>
  <c r="G23" i="38"/>
  <c r="G22" i="38"/>
  <c r="G21" i="38"/>
  <c r="G20" i="38"/>
  <c r="G19" i="38"/>
  <c r="G18" i="38"/>
  <c r="G16" i="38"/>
  <c r="G15" i="38"/>
  <c r="G14" i="38"/>
  <c r="G13" i="38"/>
  <c r="G12" i="38"/>
  <c r="G10" i="38"/>
  <c r="G91" i="38" l="1"/>
  <c r="G95" i="38" s="1"/>
  <c r="G255" i="42" l="1"/>
  <c r="I255" i="42"/>
  <c r="K255" i="42"/>
  <c r="M206" i="42"/>
  <c r="O206" i="42"/>
  <c r="O196" i="42"/>
  <c r="O98" i="42"/>
  <c r="G11" i="42"/>
  <c r="I11" i="42"/>
  <c r="K11" i="42"/>
  <c r="O11" i="42"/>
  <c r="O201" i="42"/>
  <c r="O252" i="42"/>
  <c r="K252" i="42" l="1"/>
  <c r="I252" i="42"/>
  <c r="G252" i="42"/>
  <c r="K206" i="42"/>
  <c r="I206" i="42"/>
  <c r="G206" i="42"/>
  <c r="K201" i="42"/>
  <c r="I201" i="42"/>
  <c r="G201" i="42"/>
  <c r="K196" i="42"/>
  <c r="I196" i="42"/>
  <c r="G196" i="42"/>
  <c r="K183" i="42"/>
  <c r="I183" i="42"/>
  <c r="G183" i="42"/>
  <c r="K98" i="42"/>
  <c r="I98" i="42"/>
  <c r="G98" i="42"/>
  <c r="M205" i="42" l="1"/>
  <c r="M130" i="42"/>
  <c r="O183" i="42"/>
  <c r="M182" i="42"/>
  <c r="O255" i="42" l="1"/>
  <c r="C39" i="13"/>
  <c r="AK106" i="19" l="1"/>
  <c r="AK75" i="19"/>
  <c r="AK52" i="19"/>
  <c r="AM68" i="21"/>
  <c r="AM50" i="21"/>
  <c r="AM32" i="21"/>
  <c r="AM105" i="20"/>
  <c r="AM74" i="20"/>
  <c r="AM66" i="20"/>
  <c r="AM51" i="20"/>
  <c r="K45" i="34" l="1"/>
  <c r="I45" i="34"/>
  <c r="K16" i="34"/>
  <c r="I16" i="34"/>
  <c r="M16" i="34"/>
  <c r="M45" i="34"/>
  <c r="R32" i="11" l="1"/>
  <c r="G34" i="11"/>
  <c r="G33" i="11"/>
  <c r="G32" i="11"/>
  <c r="G31" i="11"/>
  <c r="G25" i="11"/>
  <c r="G20" i="11"/>
  <c r="I20" i="11"/>
  <c r="I25" i="11"/>
  <c r="AC115" i="19" l="1"/>
  <c r="AC114" i="19"/>
  <c r="L57" i="2" l="1"/>
  <c r="L50" i="2"/>
  <c r="L49" i="2"/>
  <c r="L40" i="2"/>
  <c r="L37" i="2"/>
  <c r="L19" i="2"/>
  <c r="L14" i="2"/>
  <c r="AI42" i="22" l="1"/>
  <c r="AG42" i="22"/>
  <c r="E86" i="30" l="1"/>
  <c r="B44" i="5" l="1"/>
  <c r="B28" i="5"/>
  <c r="B27" i="5"/>
  <c r="B26" i="5"/>
  <c r="B25" i="5"/>
  <c r="B20" i="5"/>
  <c r="B19" i="5"/>
  <c r="B18" i="5"/>
  <c r="U42" i="6" l="1"/>
  <c r="F41" i="6"/>
  <c r="B41" i="6"/>
  <c r="B25" i="6"/>
  <c r="B24" i="6"/>
  <c r="B23" i="6"/>
  <c r="B18" i="6"/>
  <c r="F33" i="6"/>
  <c r="F32" i="6"/>
  <c r="F25" i="6"/>
  <c r="F24" i="6"/>
  <c r="F23" i="6"/>
  <c r="F18" i="6"/>
  <c r="F44" i="5"/>
  <c r="F36" i="5"/>
  <c r="F35" i="5"/>
  <c r="F27" i="5"/>
  <c r="F26" i="5"/>
  <c r="F25" i="5"/>
  <c r="F18" i="5"/>
  <c r="E20" i="13" l="1"/>
  <c r="E21" i="13"/>
  <c r="E22" i="13"/>
  <c r="E23" i="13"/>
  <c r="E24" i="13"/>
  <c r="P57" i="2" l="1"/>
  <c r="P50" i="2"/>
  <c r="P49" i="2"/>
  <c r="P48" i="2"/>
  <c r="P41" i="2"/>
  <c r="P38" i="2"/>
  <c r="P37" i="2"/>
  <c r="P36" i="2"/>
  <c r="P33" i="2"/>
  <c r="P32" i="2"/>
  <c r="P31" i="2"/>
  <c r="P30" i="2"/>
  <c r="P29" i="2"/>
  <c r="P28" i="2"/>
  <c r="P26" i="2"/>
  <c r="P25" i="2"/>
  <c r="P24" i="2"/>
  <c r="P19" i="2"/>
  <c r="P18" i="2"/>
  <c r="P17" i="2"/>
  <c r="AL50" i="23"/>
  <c r="AN59" i="24"/>
  <c r="AN49" i="24"/>
  <c r="AN56" i="24"/>
  <c r="AN55" i="24"/>
  <c r="AN74" i="24"/>
  <c r="S35" i="34" l="1"/>
  <c r="Q35" i="34"/>
  <c r="M61" i="34"/>
  <c r="M83" i="42" l="1"/>
  <c r="D37" i="40" l="1"/>
  <c r="D44" i="40"/>
  <c r="D23" i="40"/>
  <c r="D17" i="40"/>
  <c r="C47" i="39"/>
  <c r="C38" i="39"/>
  <c r="C22" i="39"/>
  <c r="C30" i="39" s="1"/>
  <c r="C50" i="39" l="1"/>
  <c r="C52" i="39" s="1"/>
  <c r="D25" i="40"/>
  <c r="D47" i="40" s="1"/>
  <c r="D49" i="40" s="1"/>
  <c r="D50" i="2"/>
  <c r="D49" i="2"/>
  <c r="D38" i="2"/>
  <c r="D37" i="2"/>
  <c r="D36" i="2"/>
  <c r="D33" i="2"/>
  <c r="D32" i="2"/>
  <c r="D31" i="2"/>
  <c r="D30" i="2"/>
  <c r="D29" i="2"/>
  <c r="D28" i="2"/>
  <c r="D26" i="2"/>
  <c r="D25" i="2"/>
  <c r="D24" i="2"/>
  <c r="D19" i="2"/>
  <c r="F108" i="19" l="1"/>
  <c r="H108" i="19"/>
  <c r="J108" i="19"/>
  <c r="L108" i="19"/>
  <c r="N108" i="19"/>
  <c r="P108" i="19"/>
  <c r="R108" i="19"/>
  <c r="T108" i="19"/>
  <c r="V108" i="19"/>
  <c r="X108" i="19"/>
  <c r="F101" i="19"/>
  <c r="H101" i="19"/>
  <c r="J101" i="19"/>
  <c r="L101" i="19"/>
  <c r="N101" i="19"/>
  <c r="P101" i="19"/>
  <c r="R101" i="19"/>
  <c r="T101" i="19"/>
  <c r="V101" i="19"/>
  <c r="X101" i="19"/>
  <c r="F87" i="19"/>
  <c r="H87" i="19"/>
  <c r="J87" i="19"/>
  <c r="L87" i="19"/>
  <c r="N87" i="19"/>
  <c r="P87" i="19"/>
  <c r="R87" i="19"/>
  <c r="T87" i="19"/>
  <c r="V87" i="19"/>
  <c r="X87" i="19"/>
  <c r="F83" i="19"/>
  <c r="H83" i="19"/>
  <c r="J83" i="19"/>
  <c r="L83" i="19"/>
  <c r="N83" i="19"/>
  <c r="P83" i="19"/>
  <c r="R83" i="19"/>
  <c r="T83" i="19"/>
  <c r="V83" i="19"/>
  <c r="X83" i="19"/>
  <c r="F41" i="19"/>
  <c r="H41" i="19"/>
  <c r="J41" i="19"/>
  <c r="L41" i="19"/>
  <c r="N41" i="19"/>
  <c r="P41" i="19"/>
  <c r="R41" i="19"/>
  <c r="T41" i="19"/>
  <c r="V41" i="19"/>
  <c r="X41" i="19"/>
  <c r="F39" i="19"/>
  <c r="H39" i="19"/>
  <c r="J39" i="19"/>
  <c r="L39" i="19"/>
  <c r="N39" i="19"/>
  <c r="P39" i="19"/>
  <c r="R39" i="19"/>
  <c r="T39" i="19"/>
  <c r="V39" i="19"/>
  <c r="X39" i="19"/>
  <c r="F36" i="19"/>
  <c r="H36" i="19"/>
  <c r="J36" i="19"/>
  <c r="L36" i="19"/>
  <c r="N36" i="19"/>
  <c r="P36" i="19"/>
  <c r="R36" i="19"/>
  <c r="T36" i="19"/>
  <c r="V36" i="19"/>
  <c r="X36" i="19"/>
  <c r="Z36" i="19"/>
  <c r="F29" i="19"/>
  <c r="H29" i="19"/>
  <c r="J29" i="19"/>
  <c r="L29" i="19"/>
  <c r="N29" i="19"/>
  <c r="P29" i="19"/>
  <c r="R29" i="19"/>
  <c r="T29" i="19"/>
  <c r="V29" i="19"/>
  <c r="X29" i="19"/>
  <c r="Z29" i="19"/>
  <c r="H52" i="3" l="1"/>
  <c r="H51" i="3"/>
  <c r="H44" i="3"/>
  <c r="H41" i="3"/>
  <c r="H40" i="3"/>
  <c r="H39" i="3"/>
  <c r="H36" i="3"/>
  <c r="H35" i="3"/>
  <c r="H34" i="3"/>
  <c r="H33" i="3"/>
  <c r="H32" i="3"/>
  <c r="H31" i="3"/>
  <c r="H29" i="3"/>
  <c r="H28" i="3"/>
  <c r="H27" i="3"/>
  <c r="H22" i="3"/>
  <c r="H17" i="3"/>
  <c r="H50" i="2"/>
  <c r="H49" i="2"/>
  <c r="M12" i="34" l="1"/>
  <c r="F27" i="39" l="1"/>
  <c r="C35" i="17" l="1"/>
  <c r="C35" i="16"/>
  <c r="AB35" i="17" l="1"/>
  <c r="AH35" i="17" s="1"/>
  <c r="AK24" i="19"/>
  <c r="D24" i="19"/>
  <c r="AM23" i="20"/>
  <c r="AE23" i="20"/>
  <c r="AK23" i="20" s="1"/>
  <c r="AJ35" i="17"/>
  <c r="AJ35" i="16"/>
  <c r="AJ31" i="15"/>
  <c r="V31" i="15"/>
  <c r="X31" i="15"/>
  <c r="AH31" i="15" s="1"/>
  <c r="AB35" i="16" l="1"/>
  <c r="AH35" i="16" s="1"/>
  <c r="AC24" i="19"/>
  <c r="AI24" i="19" s="1"/>
  <c r="F46" i="39" l="1"/>
  <c r="F45" i="39"/>
  <c r="F44" i="39"/>
  <c r="F42" i="39"/>
  <c r="F41" i="39"/>
  <c r="F37" i="39"/>
  <c r="F35" i="39"/>
  <c r="F34" i="39"/>
  <c r="F26" i="39"/>
  <c r="F25" i="39"/>
  <c r="F21" i="39"/>
  <c r="F20" i="39"/>
  <c r="F18" i="39"/>
  <c r="F17" i="39"/>
  <c r="F16" i="39"/>
  <c r="F15" i="39"/>
  <c r="G43" i="40"/>
  <c r="G41" i="40"/>
  <c r="G40" i="40"/>
  <c r="G36" i="40"/>
  <c r="G35" i="40"/>
  <c r="G34" i="40"/>
  <c r="G33" i="40"/>
  <c r="G32" i="40"/>
  <c r="G30" i="40"/>
  <c r="G29" i="40"/>
  <c r="G22" i="40"/>
  <c r="G21" i="40"/>
  <c r="G20" i="40"/>
  <c r="G16" i="40"/>
  <c r="T61" i="35" l="1"/>
  <c r="P61" i="35"/>
  <c r="N61" i="35"/>
  <c r="L61" i="35"/>
  <c r="J61" i="35"/>
  <c r="H61" i="35"/>
  <c r="F61" i="35"/>
  <c r="D61" i="35"/>
  <c r="R59" i="35"/>
  <c r="V59" i="35" s="1"/>
  <c r="R58" i="35"/>
  <c r="V58" i="35" s="1"/>
  <c r="R57" i="35"/>
  <c r="V57" i="35" s="1"/>
  <c r="R55" i="35"/>
  <c r="V55" i="35" s="1"/>
  <c r="R54" i="35"/>
  <c r="V54" i="35" s="1"/>
  <c r="R53" i="35"/>
  <c r="V53" i="35" s="1"/>
  <c r="R52" i="35"/>
  <c r="V52" i="35" s="1"/>
  <c r="R51" i="35"/>
  <c r="V51" i="35" s="1"/>
  <c r="R50" i="35"/>
  <c r="V50" i="35" s="1"/>
  <c r="R49" i="35"/>
  <c r="V49" i="35" s="1"/>
  <c r="R48" i="35"/>
  <c r="V48" i="35" s="1"/>
  <c r="R47" i="35"/>
  <c r="V47" i="35" s="1"/>
  <c r="R46" i="35"/>
  <c r="V46" i="35" s="1"/>
  <c r="R45" i="35"/>
  <c r="V45" i="35" s="1"/>
  <c r="R43" i="35"/>
  <c r="V43" i="35" s="1"/>
  <c r="R42" i="35"/>
  <c r="V42" i="35" s="1"/>
  <c r="R41" i="35"/>
  <c r="V41" i="35" s="1"/>
  <c r="R39" i="35"/>
  <c r="V39" i="35" s="1"/>
  <c r="R37" i="35"/>
  <c r="V37" i="35" s="1"/>
  <c r="R36" i="35"/>
  <c r="V36" i="35" s="1"/>
  <c r="R35" i="35"/>
  <c r="V35" i="35" s="1"/>
  <c r="R34" i="35"/>
  <c r="V34" i="35" s="1"/>
  <c r="R33" i="35"/>
  <c r="V33" i="35" s="1"/>
  <c r="R32" i="35"/>
  <c r="V32" i="35" s="1"/>
  <c r="R31" i="35"/>
  <c r="V31" i="35" s="1"/>
  <c r="R30" i="35"/>
  <c r="V30" i="35" s="1"/>
  <c r="R29" i="35"/>
  <c r="V29" i="35" s="1"/>
  <c r="R28" i="35"/>
  <c r="V28" i="35" s="1"/>
  <c r="R27" i="35"/>
  <c r="V27" i="35" s="1"/>
  <c r="R26" i="35"/>
  <c r="V26" i="35" s="1"/>
  <c r="R25" i="35"/>
  <c r="V25" i="35" s="1"/>
  <c r="R24" i="35"/>
  <c r="V24" i="35" s="1"/>
  <c r="R23" i="35"/>
  <c r="V23" i="35" s="1"/>
  <c r="R22" i="35"/>
  <c r="V22" i="35" s="1"/>
  <c r="R21" i="35"/>
  <c r="V21" i="35" s="1"/>
  <c r="R20" i="35"/>
  <c r="V20" i="35" s="1"/>
  <c r="R19" i="35"/>
  <c r="V19" i="35" s="1"/>
  <c r="R18" i="35"/>
  <c r="V18" i="35" s="1"/>
  <c r="R16" i="35"/>
  <c r="R61" i="35" l="1"/>
  <c r="V16" i="35"/>
  <c r="V61" i="35" s="1"/>
  <c r="S63" i="34" l="1"/>
  <c r="Q63" i="34"/>
  <c r="K63" i="34"/>
  <c r="I63" i="34"/>
  <c r="G63" i="34"/>
  <c r="E63" i="34"/>
  <c r="C63" i="34"/>
  <c r="M60" i="34"/>
  <c r="M57" i="34"/>
  <c r="M56" i="34"/>
  <c r="M53" i="34"/>
  <c r="M52" i="34"/>
  <c r="M51" i="34"/>
  <c r="M50" i="34"/>
  <c r="M49" i="34"/>
  <c r="M48" i="34"/>
  <c r="M43" i="34"/>
  <c r="M41" i="34"/>
  <c r="M39" i="34"/>
  <c r="M38" i="34"/>
  <c r="M35" i="34"/>
  <c r="M34" i="34"/>
  <c r="M31" i="34"/>
  <c r="M30" i="34"/>
  <c r="M29" i="34"/>
  <c r="M26" i="34"/>
  <c r="M23" i="34"/>
  <c r="M22" i="34"/>
  <c r="M21" i="34"/>
  <c r="M20" i="34"/>
  <c r="M19" i="34"/>
  <c r="Q12" i="34"/>
  <c r="K12" i="34"/>
  <c r="S12" i="34" s="1"/>
  <c r="I12" i="34"/>
  <c r="K11" i="34"/>
  <c r="S11" i="34" s="1"/>
  <c r="M63" i="34" l="1"/>
  <c r="AB30" i="26" l="1"/>
  <c r="Y96" i="23" l="1"/>
  <c r="Y79" i="23"/>
  <c r="Y31" i="23"/>
  <c r="Y28" i="23" l="1"/>
  <c r="Y23" i="23"/>
  <c r="Y61" i="23"/>
  <c r="Y86" i="23"/>
  <c r="AE46" i="20"/>
  <c r="Y33" i="23" l="1"/>
  <c r="Y65" i="23" s="1"/>
  <c r="Y89" i="23" s="1"/>
  <c r="Y101" i="23" s="1"/>
  <c r="AD11" i="2" l="1"/>
  <c r="AN53" i="24" l="1"/>
  <c r="AL54" i="23"/>
  <c r="R42" i="37" l="1"/>
  <c r="Z41" i="37"/>
  <c r="U40" i="41" l="1"/>
  <c r="B36" i="5" l="1"/>
  <c r="B35" i="5"/>
  <c r="K150" i="30" l="1"/>
  <c r="K149" i="30"/>
  <c r="K147" i="30"/>
  <c r="K146" i="30"/>
  <c r="K145" i="30"/>
  <c r="K144" i="30"/>
  <c r="K148" i="30"/>
  <c r="K143" i="30"/>
  <c r="K142" i="30"/>
  <c r="K141" i="30"/>
  <c r="K140" i="30"/>
  <c r="K139" i="30"/>
  <c r="K138" i="30"/>
  <c r="K137" i="30"/>
  <c r="K136" i="30"/>
  <c r="K131" i="30"/>
  <c r="K130" i="30"/>
  <c r="K129" i="30"/>
  <c r="K127" i="30"/>
  <c r="K126" i="30"/>
  <c r="K125" i="30"/>
  <c r="K124" i="30"/>
  <c r="K123" i="30"/>
  <c r="K122" i="30"/>
  <c r="K121" i="30"/>
  <c r="K120" i="30"/>
  <c r="K118" i="30"/>
  <c r="K117" i="30"/>
  <c r="K116" i="30"/>
  <c r="K115" i="30"/>
  <c r="K114" i="30"/>
  <c r="K113" i="30"/>
  <c r="W96" i="23" l="1"/>
  <c r="W31" i="23"/>
  <c r="W28" i="23"/>
  <c r="W23" i="23" l="1"/>
  <c r="W61" i="23"/>
  <c r="W79" i="23"/>
  <c r="W86" i="23" s="1"/>
  <c r="W33" i="23" l="1"/>
  <c r="W65" i="23" s="1"/>
  <c r="W89" i="23" s="1"/>
  <c r="W101" i="23" s="1"/>
  <c r="E21" i="10" l="1"/>
  <c r="E23" i="10"/>
  <c r="AE70" i="17" l="1"/>
  <c r="C70" i="17"/>
  <c r="AB70" i="17" l="1"/>
  <c r="AH70" i="17" s="1"/>
  <c r="AF52" i="19" l="1"/>
  <c r="AE70" i="16" s="1"/>
  <c r="D52" i="19"/>
  <c r="AE51" i="20"/>
  <c r="AK51" i="20" s="1"/>
  <c r="AC52" i="19" l="1"/>
  <c r="AI52" i="19" s="1"/>
  <c r="C70" i="16"/>
  <c r="AB70" i="16" s="1"/>
  <c r="AH70" i="16" s="1"/>
  <c r="G23" i="40"/>
  <c r="G17" i="40"/>
  <c r="F19" i="39"/>
  <c r="G44" i="40" l="1"/>
  <c r="F28" i="39"/>
  <c r="F38" i="39"/>
  <c r="F47" i="39"/>
  <c r="F22" i="39"/>
  <c r="F30" i="39" l="1"/>
  <c r="F50" i="39" s="1"/>
  <c r="U95" i="24" l="1"/>
  <c r="U78" i="24"/>
  <c r="U85" i="24" s="1"/>
  <c r="U60" i="24"/>
  <c r="U30" i="24"/>
  <c r="U27" i="24"/>
  <c r="U22" i="24"/>
  <c r="U75" i="25"/>
  <c r="U59" i="25"/>
  <c r="U66" i="25" s="1"/>
  <c r="U41" i="25"/>
  <c r="U45" i="25" s="1"/>
  <c r="U96" i="23"/>
  <c r="U31" i="23"/>
  <c r="U28" i="23" l="1"/>
  <c r="U32" i="24"/>
  <c r="U64" i="24" s="1"/>
  <c r="U88" i="24" s="1"/>
  <c r="U100" i="24" s="1"/>
  <c r="U61" i="23"/>
  <c r="U23" i="23"/>
  <c r="U69" i="25"/>
  <c r="U79" i="25" s="1"/>
  <c r="U79" i="23"/>
  <c r="U86" i="23" s="1"/>
  <c r="U33" i="23" l="1"/>
  <c r="U65" i="23" s="1"/>
  <c r="U89" i="23" s="1"/>
  <c r="U101" i="23" s="1"/>
  <c r="AN49" i="25" l="1"/>
  <c r="X13" i="15" l="1"/>
  <c r="V13" i="15"/>
  <c r="R13" i="15"/>
  <c r="P13" i="15"/>
  <c r="N13" i="15"/>
  <c r="L13" i="15"/>
  <c r="J13" i="15"/>
  <c r="H13" i="15"/>
  <c r="AD12" i="15"/>
  <c r="X12" i="15"/>
  <c r="R12" i="15"/>
  <c r="N12" i="15"/>
  <c r="J12" i="15"/>
  <c r="AF56" i="24" l="1"/>
  <c r="AF55" i="24"/>
  <c r="E56" i="23"/>
  <c r="AN37" i="25"/>
  <c r="AF37" i="25"/>
  <c r="AL37" i="25" s="1"/>
  <c r="AL55" i="24"/>
  <c r="AD56" i="23" l="1"/>
  <c r="AJ56" i="23" s="1"/>
  <c r="AE46" i="21"/>
  <c r="AE65" i="21" l="1"/>
  <c r="R28" i="20" l="1"/>
  <c r="AE21" i="21" l="1"/>
  <c r="AC121" i="18" l="1"/>
  <c r="AC122" i="18"/>
  <c r="AC123" i="18"/>
  <c r="S96" i="23" l="1"/>
  <c r="S31" i="23"/>
  <c r="AF19" i="24"/>
  <c r="AF20" i="24"/>
  <c r="AF21" i="24"/>
  <c r="AF25" i="24"/>
  <c r="AF26" i="24"/>
  <c r="AF29" i="24"/>
  <c r="AF38" i="24"/>
  <c r="AF40" i="24"/>
  <c r="AF42" i="24"/>
  <c r="AF43" i="24"/>
  <c r="S61" i="23" l="1"/>
  <c r="S28" i="23"/>
  <c r="S79" i="23"/>
  <c r="S86" i="23" s="1"/>
  <c r="S23" i="23"/>
  <c r="S33" i="23" l="1"/>
  <c r="S65" i="23" s="1"/>
  <c r="S89" i="23" s="1"/>
  <c r="S101" i="23" s="1"/>
  <c r="A39" i="12" l="1"/>
  <c r="K106" i="30" l="1"/>
  <c r="K103" i="30"/>
  <c r="C20" i="13" l="1"/>
  <c r="C21" i="13"/>
  <c r="C22" i="13"/>
  <c r="C23" i="13"/>
  <c r="C24" i="13"/>
  <c r="C26" i="13"/>
  <c r="C30" i="13"/>
  <c r="C31" i="13"/>
  <c r="C32" i="13"/>
  <c r="E26" i="13"/>
  <c r="E30" i="13"/>
  <c r="E31" i="13"/>
  <c r="E32" i="13"/>
  <c r="Q96" i="23" l="1"/>
  <c r="Q31" i="23"/>
  <c r="Q23" i="23" l="1"/>
  <c r="Q28" i="23"/>
  <c r="Q61" i="23"/>
  <c r="Q79" i="23"/>
  <c r="Q86" i="23" s="1"/>
  <c r="Q33" i="23" l="1"/>
  <c r="Q65" i="23" s="1"/>
  <c r="Q89" i="23" s="1"/>
  <c r="Q101" i="23" s="1"/>
  <c r="AJ134" i="16" l="1"/>
  <c r="AN72" i="25"/>
  <c r="AN62" i="25"/>
  <c r="AN63" i="25"/>
  <c r="AN61" i="25"/>
  <c r="AN55" i="25"/>
  <c r="AN56" i="25"/>
  <c r="AN57" i="25"/>
  <c r="AN53" i="25"/>
  <c r="AN51" i="25"/>
  <c r="AN38" i="25"/>
  <c r="AN36" i="25"/>
  <c r="AN35" i="25"/>
  <c r="AN30" i="25"/>
  <c r="AN31" i="25"/>
  <c r="AN32" i="25"/>
  <c r="AN29" i="25"/>
  <c r="AN23" i="25"/>
  <c r="AN24" i="25"/>
  <c r="AN25" i="25"/>
  <c r="AN26" i="25"/>
  <c r="AN27" i="25"/>
  <c r="AN22" i="25"/>
  <c r="AN20" i="25"/>
  <c r="AN18" i="25"/>
  <c r="AN91" i="24"/>
  <c r="AN81" i="24"/>
  <c r="AN82" i="24"/>
  <c r="AN80" i="24"/>
  <c r="AN72" i="24"/>
  <c r="AN48" i="24"/>
  <c r="AN41" i="24"/>
  <c r="AN24" i="24"/>
  <c r="AL25" i="23"/>
  <c r="AI32" i="22"/>
  <c r="AI33" i="22"/>
  <c r="AI34" i="22"/>
  <c r="AI35" i="22"/>
  <c r="AI36" i="22"/>
  <c r="AI31" i="22"/>
  <c r="AM83" i="21"/>
  <c r="AM75" i="21"/>
  <c r="AM51" i="21"/>
  <c r="AM48" i="21"/>
  <c r="AM43" i="21"/>
  <c r="AM44" i="21"/>
  <c r="AM45" i="21"/>
  <c r="AM42" i="21"/>
  <c r="AM35" i="21"/>
  <c r="AM36" i="21"/>
  <c r="AM37" i="21"/>
  <c r="AM38" i="21"/>
  <c r="AM39" i="21"/>
  <c r="AM34" i="21"/>
  <c r="AM27" i="21"/>
  <c r="AM28" i="21"/>
  <c r="AM29" i="21"/>
  <c r="AM30" i="21"/>
  <c r="AM26" i="21"/>
  <c r="AM22" i="21"/>
  <c r="AM23" i="21"/>
  <c r="AM24" i="21"/>
  <c r="AM19" i="21"/>
  <c r="AM64" i="20"/>
  <c r="AM26" i="20"/>
  <c r="AM25" i="20"/>
  <c r="AK125" i="18"/>
  <c r="AK51" i="18"/>
  <c r="AK49" i="18"/>
  <c r="AK46" i="18"/>
  <c r="AK43" i="18"/>
  <c r="AK36" i="18"/>
  <c r="AK35" i="18"/>
  <c r="AK33" i="18"/>
  <c r="AK31" i="18"/>
  <c r="AE94" i="17" l="1"/>
  <c r="AD53" i="15" l="1"/>
  <c r="AB53" i="15"/>
  <c r="R53" i="15"/>
  <c r="P53" i="15"/>
  <c r="N53" i="15"/>
  <c r="L53" i="15"/>
  <c r="J53" i="15"/>
  <c r="H53" i="15"/>
  <c r="F53" i="15"/>
  <c r="D53" i="15"/>
  <c r="X52" i="15"/>
  <c r="AH52" i="15" s="1"/>
  <c r="AJ52" i="15" s="1"/>
  <c r="V52" i="15"/>
  <c r="X51" i="15"/>
  <c r="AH51" i="15" s="1"/>
  <c r="V51" i="15"/>
  <c r="X50" i="15"/>
  <c r="AH50" i="15" s="1"/>
  <c r="AJ50" i="15" s="1"/>
  <c r="V50" i="15"/>
  <c r="X49" i="15"/>
  <c r="AH49" i="15" s="1"/>
  <c r="AJ49" i="15" s="1"/>
  <c r="V49" i="15"/>
  <c r="X48" i="15"/>
  <c r="AH48" i="15" s="1"/>
  <c r="AJ48" i="15" s="1"/>
  <c r="V48" i="15"/>
  <c r="AJ47" i="15"/>
  <c r="X47" i="15"/>
  <c r="AH47" i="15" s="1"/>
  <c r="V47" i="15"/>
  <c r="AD44" i="15"/>
  <c r="AB44" i="15"/>
  <c r="R44" i="15"/>
  <c r="P44" i="15"/>
  <c r="N44" i="15"/>
  <c r="L44" i="15"/>
  <c r="J44" i="15"/>
  <c r="H44" i="15"/>
  <c r="F44" i="15"/>
  <c r="D44" i="15"/>
  <c r="X43" i="15"/>
  <c r="AH43" i="15" s="1"/>
  <c r="AJ43" i="15" s="1"/>
  <c r="V43" i="15"/>
  <c r="X42" i="15"/>
  <c r="AH42" i="15" s="1"/>
  <c r="AJ42" i="15" s="1"/>
  <c r="V42" i="15"/>
  <c r="X41" i="15"/>
  <c r="AH41" i="15" s="1"/>
  <c r="AJ41" i="15" s="1"/>
  <c r="V41" i="15"/>
  <c r="X40" i="15"/>
  <c r="AH40" i="15" s="1"/>
  <c r="AJ40" i="15" s="1"/>
  <c r="V40" i="15"/>
  <c r="X39" i="15"/>
  <c r="V39" i="15"/>
  <c r="AD36" i="15"/>
  <c r="AB36" i="15"/>
  <c r="R36" i="15"/>
  <c r="P36" i="15"/>
  <c r="N36" i="15"/>
  <c r="L36" i="15"/>
  <c r="J36" i="15"/>
  <c r="H36" i="15"/>
  <c r="F36" i="15"/>
  <c r="D36" i="15"/>
  <c r="X35" i="15"/>
  <c r="AH35" i="15" s="1"/>
  <c r="AJ35" i="15" s="1"/>
  <c r="V35" i="15"/>
  <c r="X34" i="15"/>
  <c r="AH34" i="15" s="1"/>
  <c r="AJ34" i="15" s="1"/>
  <c r="V34" i="15"/>
  <c r="X33" i="15"/>
  <c r="AH33" i="15" s="1"/>
  <c r="AJ33" i="15" s="1"/>
  <c r="V33" i="15"/>
  <c r="X32" i="15"/>
  <c r="AH32" i="15" s="1"/>
  <c r="AJ32" i="15" s="1"/>
  <c r="V32" i="15"/>
  <c r="X30" i="15"/>
  <c r="AH30" i="15" s="1"/>
  <c r="AJ30" i="15" s="1"/>
  <c r="V30" i="15"/>
  <c r="X29" i="15"/>
  <c r="AH29" i="15" s="1"/>
  <c r="AJ29" i="15" s="1"/>
  <c r="V29" i="15"/>
  <c r="X28" i="15"/>
  <c r="AH28" i="15" s="1"/>
  <c r="AJ28" i="15" s="1"/>
  <c r="V28" i="15"/>
  <c r="X24" i="15"/>
  <c r="AH24" i="15" s="1"/>
  <c r="AJ24" i="15" s="1"/>
  <c r="V24" i="15"/>
  <c r="AJ23" i="15"/>
  <c r="AH23" i="15"/>
  <c r="AJ22" i="15"/>
  <c r="AH22" i="15"/>
  <c r="AD21" i="15"/>
  <c r="AD25" i="15" s="1"/>
  <c r="AB21" i="15"/>
  <c r="AB25" i="15" s="1"/>
  <c r="R21" i="15"/>
  <c r="R25" i="15" s="1"/>
  <c r="P21" i="15"/>
  <c r="P25" i="15" s="1"/>
  <c r="N21" i="15"/>
  <c r="N25" i="15" s="1"/>
  <c r="L21" i="15"/>
  <c r="L25" i="15" s="1"/>
  <c r="J21" i="15"/>
  <c r="J25" i="15" s="1"/>
  <c r="H21" i="15"/>
  <c r="H25" i="15" s="1"/>
  <c r="F21" i="15"/>
  <c r="F25" i="15" s="1"/>
  <c r="D21" i="15"/>
  <c r="D25" i="15" s="1"/>
  <c r="X20" i="15"/>
  <c r="AH20" i="15" s="1"/>
  <c r="AJ20" i="15" s="1"/>
  <c r="V20" i="15"/>
  <c r="X19" i="15"/>
  <c r="V19" i="15"/>
  <c r="X18" i="15"/>
  <c r="AH18" i="15" s="1"/>
  <c r="AJ18" i="15" s="1"/>
  <c r="V18" i="15"/>
  <c r="X17" i="15"/>
  <c r="AH17" i="15" s="1"/>
  <c r="AJ17" i="15" s="1"/>
  <c r="V17" i="15"/>
  <c r="X16" i="15"/>
  <c r="V16" i="15"/>
  <c r="AD55" i="15" l="1"/>
  <c r="V44" i="15"/>
  <c r="X44" i="15"/>
  <c r="AH44" i="15" s="1"/>
  <c r="AJ44" i="15" s="1"/>
  <c r="H55" i="15"/>
  <c r="P55" i="15"/>
  <c r="J55" i="15"/>
  <c r="AB55" i="15"/>
  <c r="AH16" i="15"/>
  <c r="AJ16" i="15" s="1"/>
  <c r="L55" i="15"/>
  <c r="AH19" i="15"/>
  <c r="AJ19" i="15" s="1"/>
  <c r="N55" i="15"/>
  <c r="D55" i="15"/>
  <c r="F55" i="15"/>
  <c r="V21" i="15"/>
  <c r="V25" i="15" s="1"/>
  <c r="AH39" i="15"/>
  <c r="AJ39" i="15" s="1"/>
  <c r="V53" i="15"/>
  <c r="R55" i="15"/>
  <c r="V36" i="15"/>
  <c r="X21" i="15"/>
  <c r="X36" i="15"/>
  <c r="AH36" i="15" s="1"/>
  <c r="AJ36" i="15" s="1"/>
  <c r="X53" i="15"/>
  <c r="AH53" i="15" s="1"/>
  <c r="AJ53" i="15" s="1"/>
  <c r="V55" i="15" l="1"/>
  <c r="X25" i="15"/>
  <c r="AH21" i="15"/>
  <c r="AJ21" i="15" s="1"/>
  <c r="AH25" i="15" l="1"/>
  <c r="AJ25" i="15" s="1"/>
  <c r="X55" i="15"/>
  <c r="AH55" i="15" s="1"/>
  <c r="AJ55" i="15" s="1"/>
  <c r="O96" i="23" l="1"/>
  <c r="O31" i="23"/>
  <c r="O23" i="23" l="1"/>
  <c r="O28" i="23"/>
  <c r="O61" i="23"/>
  <c r="O79" i="23"/>
  <c r="O86" i="23" s="1"/>
  <c r="O33" i="23" l="1"/>
  <c r="O65" i="23" s="1"/>
  <c r="O89" i="23" s="1"/>
  <c r="AE47" i="26" l="1"/>
  <c r="B33" i="6"/>
  <c r="B32" i="6"/>
  <c r="AC19" i="18" l="1"/>
  <c r="AC20" i="18"/>
  <c r="AC21" i="18"/>
  <c r="AC22" i="18"/>
  <c r="AC23" i="18"/>
  <c r="AC25" i="18"/>
  <c r="AC26" i="18"/>
  <c r="AC27" i="18"/>
  <c r="AC30" i="18"/>
  <c r="AC32" i="18"/>
  <c r="AC34" i="18"/>
  <c r="AC39" i="18"/>
  <c r="AC40" i="18"/>
  <c r="AC41" i="18"/>
  <c r="AC42" i="18"/>
  <c r="AC47" i="18"/>
  <c r="AC48" i="18"/>
  <c r="AC50" i="18"/>
  <c r="AE20" i="20" l="1"/>
  <c r="M96" i="23" l="1"/>
  <c r="M31" i="23"/>
  <c r="M61" i="23" l="1"/>
  <c r="M28" i="23"/>
  <c r="M79" i="23"/>
  <c r="M86" i="23" s="1"/>
  <c r="M23" i="23"/>
  <c r="M33" i="23" l="1"/>
  <c r="M65" i="23" s="1"/>
  <c r="M89" i="23" s="1"/>
  <c r="M101" i="23" s="1"/>
  <c r="J33" i="28" l="1"/>
  <c r="C135" i="17" l="1"/>
  <c r="C136" i="16"/>
  <c r="AC126" i="18"/>
  <c r="AI126" i="18" s="1"/>
  <c r="AK126" i="18" s="1"/>
  <c r="AE62" i="21" l="1"/>
  <c r="U25" i="14" l="1"/>
  <c r="U22" i="14"/>
  <c r="U21" i="14"/>
  <c r="U20" i="14"/>
  <c r="V33" i="11" l="1"/>
  <c r="V22" i="11"/>
  <c r="V23" i="11"/>
  <c r="V21" i="11"/>
  <c r="V20" i="11"/>
  <c r="O42" i="11"/>
  <c r="C25" i="13" l="1"/>
  <c r="Z12" i="43" l="1"/>
  <c r="Z15" i="43"/>
  <c r="Z16" i="43" s="1"/>
  <c r="B16" i="43"/>
  <c r="D16" i="43"/>
  <c r="F16" i="43"/>
  <c r="H16" i="43"/>
  <c r="J16" i="43"/>
  <c r="L16" i="43"/>
  <c r="N16" i="43"/>
  <c r="P16" i="43"/>
  <c r="R16" i="43"/>
  <c r="T16" i="43"/>
  <c r="V16" i="43"/>
  <c r="X16" i="43"/>
  <c r="Z20" i="43"/>
  <c r="Z28" i="43"/>
  <c r="Z19" i="43"/>
  <c r="Z21" i="43"/>
  <c r="Z22" i="43"/>
  <c r="Z23" i="43"/>
  <c r="Z24" i="43"/>
  <c r="Z25" i="43"/>
  <c r="Z26" i="43"/>
  <c r="Z27" i="43"/>
  <c r="B29" i="43"/>
  <c r="D29" i="43"/>
  <c r="F29" i="43"/>
  <c r="H29" i="43"/>
  <c r="J29" i="43"/>
  <c r="L29" i="43"/>
  <c r="N29" i="43"/>
  <c r="P29" i="43"/>
  <c r="R29" i="43"/>
  <c r="T29" i="43"/>
  <c r="V29" i="43"/>
  <c r="X29" i="43"/>
  <c r="Z32" i="43"/>
  <c r="Z33" i="43" s="1"/>
  <c r="B33" i="43"/>
  <c r="D33" i="43"/>
  <c r="F33" i="43"/>
  <c r="H33" i="43"/>
  <c r="J33" i="43"/>
  <c r="L33" i="43"/>
  <c r="N33" i="43"/>
  <c r="P33" i="43"/>
  <c r="R33" i="43"/>
  <c r="T33" i="43"/>
  <c r="V33" i="43"/>
  <c r="X33" i="43"/>
  <c r="V35" i="43" l="1"/>
  <c r="F35" i="43"/>
  <c r="R35" i="43"/>
  <c r="J35" i="43"/>
  <c r="B35" i="43"/>
  <c r="B37" i="43" s="1"/>
  <c r="N35" i="43"/>
  <c r="Z29" i="43"/>
  <c r="Z35" i="43" s="1"/>
  <c r="Z37" i="43" s="1"/>
  <c r="T35" i="43"/>
  <c r="L35" i="43"/>
  <c r="D35" i="43"/>
  <c r="X35" i="43"/>
  <c r="X37" i="43" s="1"/>
  <c r="P35" i="43"/>
  <c r="H35" i="43"/>
  <c r="D37" i="43" l="1"/>
  <c r="F37" i="43" s="1"/>
  <c r="H37" i="43" s="1"/>
  <c r="J37" i="43" s="1"/>
  <c r="L37" i="43" s="1"/>
  <c r="N37" i="43" s="1"/>
  <c r="P37" i="43" s="1"/>
  <c r="R37" i="43" s="1"/>
  <c r="T37" i="43" s="1"/>
  <c r="V37" i="43" s="1"/>
  <c r="K96" i="23" l="1"/>
  <c r="K31" i="23"/>
  <c r="AF64" i="25"/>
  <c r="K23" i="23" l="1"/>
  <c r="K28" i="23"/>
  <c r="K61" i="23"/>
  <c r="K79" i="23"/>
  <c r="K86" i="23" s="1"/>
  <c r="K33" i="23" l="1"/>
  <c r="K65" i="23" s="1"/>
  <c r="K89" i="23" s="1"/>
  <c r="AF45" i="19" l="1"/>
  <c r="G23" i="26" l="1"/>
  <c r="I151" i="30" l="1"/>
  <c r="G151" i="30"/>
  <c r="E151" i="30"/>
  <c r="C151" i="30"/>
  <c r="E57" i="23" l="1"/>
  <c r="AD57" i="23"/>
  <c r="AJ57" i="23" s="1"/>
  <c r="AL56" i="24" l="1"/>
  <c r="I96" i="23" l="1"/>
  <c r="I31" i="23"/>
  <c r="AE41" i="21"/>
  <c r="AE49" i="21"/>
  <c r="AK49" i="21" s="1"/>
  <c r="AM49" i="21" s="1"/>
  <c r="H52" i="21"/>
  <c r="I23" i="23" l="1"/>
  <c r="I79" i="23"/>
  <c r="I86" i="23" s="1"/>
  <c r="I61" i="23"/>
  <c r="I28" i="23"/>
  <c r="I33" i="23" l="1"/>
  <c r="I65" i="23" s="1"/>
  <c r="I89" i="23" s="1"/>
  <c r="AB32" i="26" l="1"/>
  <c r="AA16" i="22" l="1"/>
  <c r="AA63" i="22"/>
  <c r="AD65" i="22" l="1"/>
  <c r="AD55" i="22"/>
  <c r="AD23" i="22"/>
  <c r="AD20" i="22"/>
  <c r="AD43" i="22"/>
  <c r="AD25" i="22" l="1"/>
  <c r="AD47" i="22" l="1"/>
  <c r="AD58" i="22" l="1"/>
  <c r="AD70" i="22" s="1"/>
  <c r="AD73" i="22" l="1"/>
  <c r="D59" i="3" l="1"/>
  <c r="D24" i="18" l="1"/>
  <c r="D28" i="18" s="1"/>
  <c r="D14" i="2" s="1"/>
  <c r="P27" i="11" l="1"/>
  <c r="N27" i="11"/>
  <c r="E27" i="11"/>
  <c r="C27" i="11"/>
  <c r="C35" i="11"/>
  <c r="E35" i="11"/>
  <c r="N35" i="11"/>
  <c r="P35" i="11"/>
  <c r="E39" i="11" l="1"/>
  <c r="AE113" i="20"/>
  <c r="G26" i="11" s="1"/>
  <c r="I26" i="11" s="1"/>
  <c r="D37" i="18" l="1"/>
  <c r="D15" i="2" s="1"/>
  <c r="C20" i="10" l="1"/>
  <c r="C20" i="7" s="1"/>
  <c r="C21" i="10"/>
  <c r="C22" i="10"/>
  <c r="C23" i="10"/>
  <c r="C24" i="10"/>
  <c r="C25" i="10"/>
  <c r="C26" i="10"/>
  <c r="C30" i="10"/>
  <c r="C31" i="10"/>
  <c r="C32" i="10"/>
  <c r="C34" i="10"/>
  <c r="E20" i="10"/>
  <c r="E22" i="10"/>
  <c r="E24" i="10"/>
  <c r="E25" i="10"/>
  <c r="E26" i="10"/>
  <c r="E30" i="10"/>
  <c r="E31" i="10"/>
  <c r="E32" i="10"/>
  <c r="E34" i="10"/>
  <c r="O41" i="4"/>
  <c r="M41" i="4"/>
  <c r="D17" i="29" l="1"/>
  <c r="AA39" i="27" l="1"/>
  <c r="G39" i="13"/>
  <c r="X65" i="22" l="1"/>
  <c r="X55" i="22"/>
  <c r="X43" i="22"/>
  <c r="X23" i="22"/>
  <c r="X20" i="22"/>
  <c r="V65" i="22"/>
  <c r="V55" i="22"/>
  <c r="V43" i="22"/>
  <c r="V23" i="22"/>
  <c r="V20" i="22"/>
  <c r="T65" i="22"/>
  <c r="T55" i="22"/>
  <c r="T43" i="22"/>
  <c r="T23" i="22"/>
  <c r="T20" i="22"/>
  <c r="R65" i="22"/>
  <c r="R55" i="22"/>
  <c r="R43" i="22"/>
  <c r="R23" i="22"/>
  <c r="R20" i="22"/>
  <c r="P65" i="22"/>
  <c r="P55" i="22"/>
  <c r="P43" i="22"/>
  <c r="P23" i="22"/>
  <c r="P20" i="22"/>
  <c r="N65" i="22"/>
  <c r="N55" i="22"/>
  <c r="N43" i="22"/>
  <c r="N23" i="22"/>
  <c r="N20" i="22"/>
  <c r="L65" i="22"/>
  <c r="L55" i="22"/>
  <c r="L43" i="22"/>
  <c r="L23" i="22"/>
  <c r="L20" i="22"/>
  <c r="J65" i="22"/>
  <c r="J55" i="22"/>
  <c r="J43" i="22"/>
  <c r="J23" i="22"/>
  <c r="J20" i="22"/>
  <c r="H65" i="22"/>
  <c r="H55" i="22"/>
  <c r="H43" i="22"/>
  <c r="H23" i="22"/>
  <c r="H20" i="22"/>
  <c r="F65" i="22"/>
  <c r="F55" i="22"/>
  <c r="F43" i="22"/>
  <c r="F23" i="22"/>
  <c r="F20" i="22"/>
  <c r="L25" i="22" l="1"/>
  <c r="L47" i="22" s="1"/>
  <c r="L58" i="22" s="1"/>
  <c r="L70" i="22" s="1"/>
  <c r="J25" i="22"/>
  <c r="J47" i="22" s="1"/>
  <c r="J58" i="22" s="1"/>
  <c r="J70" i="22" s="1"/>
  <c r="R25" i="22"/>
  <c r="R47" i="22" s="1"/>
  <c r="R58" i="22" s="1"/>
  <c r="R70" i="22" s="1"/>
  <c r="P25" i="22"/>
  <c r="P47" i="22" s="1"/>
  <c r="P58" i="22" s="1"/>
  <c r="P70" i="22" s="1"/>
  <c r="H25" i="22"/>
  <c r="H47" i="22" s="1"/>
  <c r="H58" i="22" s="1"/>
  <c r="H70" i="22" s="1"/>
  <c r="N25" i="22"/>
  <c r="N47" i="22" s="1"/>
  <c r="N58" i="22" s="1"/>
  <c r="N70" i="22" s="1"/>
  <c r="X25" i="22"/>
  <c r="X47" i="22" s="1"/>
  <c r="X58" i="22" s="1"/>
  <c r="X70" i="22" s="1"/>
  <c r="F25" i="22"/>
  <c r="F47" i="22" s="1"/>
  <c r="F58" i="22" s="1"/>
  <c r="F70" i="22" s="1"/>
  <c r="V25" i="22"/>
  <c r="V47" i="22" s="1"/>
  <c r="V58" i="22" s="1"/>
  <c r="V70" i="22" s="1"/>
  <c r="T25" i="22"/>
  <c r="T47" i="22" s="1"/>
  <c r="T58" i="22" s="1"/>
  <c r="T70" i="22" s="1"/>
  <c r="P17" i="29"/>
  <c r="K82" i="30" l="1"/>
  <c r="K84" i="30" l="1"/>
  <c r="F12" i="39" l="1"/>
  <c r="AF73" i="24" l="1"/>
  <c r="E40" i="7" l="1"/>
  <c r="C40" i="7"/>
  <c r="G25" i="14" l="1"/>
  <c r="G40" i="7" l="1"/>
  <c r="K25" i="14"/>
  <c r="AA23" i="23"/>
  <c r="AA28" i="23"/>
  <c r="Y138" i="16"/>
  <c r="AA31" i="23"/>
  <c r="AA79" i="23"/>
  <c r="AA86" i="23" s="1"/>
  <c r="AA96" i="23"/>
  <c r="AA61" i="23"/>
  <c r="K40" i="7" l="1"/>
  <c r="I40" i="7"/>
  <c r="AA33" i="23"/>
  <c r="AA65" i="23" s="1"/>
  <c r="AA89" i="23" s="1"/>
  <c r="AA101" i="23" s="1"/>
  <c r="D51" i="2" l="1"/>
  <c r="K132" i="30"/>
  <c r="G96" i="30" l="1"/>
  <c r="K85" i="30" l="1"/>
  <c r="AE57" i="20" l="1"/>
  <c r="AG42" i="23" l="1"/>
  <c r="AL42" i="23" s="1"/>
  <c r="E42" i="23"/>
  <c r="AF23" i="25"/>
  <c r="AL23" i="25" s="1"/>
  <c r="AF41" i="24"/>
  <c r="AL41" i="24" s="1"/>
  <c r="AD42" i="23" l="1"/>
  <c r="AJ42" i="23" s="1"/>
  <c r="M195" i="42"/>
  <c r="M193" i="42"/>
  <c r="M186" i="42"/>
  <c r="M250" i="42"/>
  <c r="M249" i="42"/>
  <c r="M244" i="42"/>
  <c r="M243" i="42"/>
  <c r="M242" i="42"/>
  <c r="M237" i="42"/>
  <c r="M236" i="42"/>
  <c r="M235" i="42"/>
  <c r="M229" i="42"/>
  <c r="M228" i="42"/>
  <c r="M227" i="42"/>
  <c r="M221" i="42"/>
  <c r="M220" i="42"/>
  <c r="M219" i="42"/>
  <c r="M213" i="42"/>
  <c r="M212" i="42"/>
  <c r="M211" i="42"/>
  <c r="M248" i="42"/>
  <c r="M247" i="42"/>
  <c r="M245" i="42"/>
  <c r="M241" i="42"/>
  <c r="M238" i="42"/>
  <c r="M234" i="42"/>
  <c r="M233" i="42"/>
  <c r="M230" i="42"/>
  <c r="M226" i="42"/>
  <c r="M225" i="42"/>
  <c r="M222" i="42"/>
  <c r="M218" i="42"/>
  <c r="M217" i="42"/>
  <c r="M214" i="42"/>
  <c r="M210" i="42"/>
  <c r="M209" i="42"/>
  <c r="M251" i="42"/>
  <c r="M246" i="42"/>
  <c r="M240" i="42"/>
  <c r="M239" i="42"/>
  <c r="M232" i="42"/>
  <c r="M231" i="42"/>
  <c r="M224" i="42"/>
  <c r="M223" i="42"/>
  <c r="M216" i="42"/>
  <c r="M215" i="42"/>
  <c r="M194" i="42"/>
  <c r="M192" i="42"/>
  <c r="M191" i="42"/>
  <c r="M190" i="42"/>
  <c r="M189" i="42"/>
  <c r="M188" i="42"/>
  <c r="M187" i="42"/>
  <c r="M181" i="42"/>
  <c r="M180" i="42"/>
  <c r="M179" i="42"/>
  <c r="M178" i="42"/>
  <c r="M177" i="42"/>
  <c r="M176" i="42"/>
  <c r="M175" i="42"/>
  <c r="M174" i="42"/>
  <c r="M173" i="42"/>
  <c r="M172" i="42"/>
  <c r="M171" i="42"/>
  <c r="M170" i="42"/>
  <c r="M169" i="42"/>
  <c r="M168" i="42"/>
  <c r="M167" i="42"/>
  <c r="M166" i="42"/>
  <c r="M165" i="42"/>
  <c r="M164" i="42"/>
  <c r="M163" i="42"/>
  <c r="M162" i="42"/>
  <c r="M161" i="42"/>
  <c r="M160" i="42"/>
  <c r="M159" i="42"/>
  <c r="M158" i="42"/>
  <c r="M157" i="42"/>
  <c r="M156" i="42"/>
  <c r="M155" i="42"/>
  <c r="M154" i="42"/>
  <c r="M153" i="42"/>
  <c r="M152" i="42"/>
  <c r="M151" i="42"/>
  <c r="M150" i="42"/>
  <c r="M149" i="42"/>
  <c r="M148" i="42"/>
  <c r="M147" i="42"/>
  <c r="M146" i="42"/>
  <c r="M145" i="42"/>
  <c r="M144" i="42"/>
  <c r="M143" i="42"/>
  <c r="M142" i="42"/>
  <c r="M141" i="42"/>
  <c r="M140" i="42"/>
  <c r="M139" i="42"/>
  <c r="M138" i="42"/>
  <c r="M137" i="42"/>
  <c r="M136" i="42"/>
  <c r="M135" i="42"/>
  <c r="M134" i="42"/>
  <c r="M133" i="42"/>
  <c r="M132" i="42"/>
  <c r="M131" i="42"/>
  <c r="M129" i="42"/>
  <c r="M128" i="42"/>
  <c r="M127" i="42"/>
  <c r="M126" i="42"/>
  <c r="M125" i="42"/>
  <c r="M124" i="42"/>
  <c r="M123" i="42"/>
  <c r="M122" i="42"/>
  <c r="M121" i="42"/>
  <c r="M120" i="42"/>
  <c r="M119" i="42"/>
  <c r="M118" i="42"/>
  <c r="M117" i="42"/>
  <c r="M116" i="42"/>
  <c r="M115" i="42"/>
  <c r="M114" i="42"/>
  <c r="M113" i="42"/>
  <c r="M112" i="42"/>
  <c r="M111" i="42"/>
  <c r="M110" i="42"/>
  <c r="M109" i="42"/>
  <c r="M108" i="42"/>
  <c r="M107" i="42"/>
  <c r="M106" i="42"/>
  <c r="M105" i="42"/>
  <c r="M104" i="42"/>
  <c r="M103" i="42"/>
  <c r="M102" i="42"/>
  <c r="M101" i="42"/>
  <c r="M97" i="42"/>
  <c r="M96" i="42"/>
  <c r="M95" i="42"/>
  <c r="M94" i="42"/>
  <c r="M93" i="42"/>
  <c r="M92" i="42"/>
  <c r="M91" i="42"/>
  <c r="M90" i="42"/>
  <c r="M89" i="42"/>
  <c r="M88" i="42"/>
  <c r="M87" i="42"/>
  <c r="M86" i="42"/>
  <c r="M85" i="42"/>
  <c r="M84" i="42"/>
  <c r="M82" i="42"/>
  <c r="M81" i="42"/>
  <c r="M80" i="42"/>
  <c r="M79" i="42"/>
  <c r="M78" i="42"/>
  <c r="M77" i="42"/>
  <c r="M76" i="42"/>
  <c r="M75" i="42"/>
  <c r="M74" i="42"/>
  <c r="M73" i="42"/>
  <c r="M72" i="42"/>
  <c r="M71" i="42"/>
  <c r="M70" i="42"/>
  <c r="M69" i="42"/>
  <c r="M68" i="42"/>
  <c r="M67" i="42"/>
  <c r="M66" i="42"/>
  <c r="M65" i="42"/>
  <c r="M64" i="42"/>
  <c r="M63" i="42"/>
  <c r="M62" i="42"/>
  <c r="M61" i="42"/>
  <c r="M60" i="42"/>
  <c r="M59" i="42"/>
  <c r="M58" i="42"/>
  <c r="M57" i="42"/>
  <c r="M56" i="42"/>
  <c r="M55" i="42"/>
  <c r="M54" i="42"/>
  <c r="M53" i="42"/>
  <c r="M52" i="42"/>
  <c r="M51" i="42"/>
  <c r="M50" i="42"/>
  <c r="M49" i="42"/>
  <c r="M48" i="42"/>
  <c r="M47" i="42"/>
  <c r="M46" i="42"/>
  <c r="M45" i="42"/>
  <c r="M44" i="42"/>
  <c r="M43" i="42"/>
  <c r="M42" i="42"/>
  <c r="M41" i="42"/>
  <c r="M40" i="42"/>
  <c r="M39" i="42"/>
  <c r="M38" i="42"/>
  <c r="M37" i="42"/>
  <c r="M36" i="42"/>
  <c r="M35" i="42"/>
  <c r="M34" i="42"/>
  <c r="M33" i="42"/>
  <c r="M32" i="42"/>
  <c r="M31" i="42"/>
  <c r="M30" i="42"/>
  <c r="M29" i="42"/>
  <c r="M28" i="42"/>
  <c r="M27" i="42"/>
  <c r="M26" i="42"/>
  <c r="M25" i="42"/>
  <c r="M24" i="42"/>
  <c r="M23" i="42"/>
  <c r="M22" i="42"/>
  <c r="M21" i="42"/>
  <c r="M20" i="42"/>
  <c r="M19" i="42"/>
  <c r="M18" i="42"/>
  <c r="M17" i="42"/>
  <c r="M16" i="42"/>
  <c r="M15" i="42"/>
  <c r="M14" i="42"/>
  <c r="M183" i="42" l="1"/>
  <c r="T32" i="37"/>
  <c r="AD41" i="2" l="1"/>
  <c r="AA44" i="3"/>
  <c r="AA36" i="3"/>
  <c r="AF74" i="24" l="1"/>
  <c r="E32" i="12" l="1"/>
  <c r="AC84" i="18"/>
  <c r="AI84" i="18" s="1"/>
  <c r="AC85" i="18"/>
  <c r="AI85" i="18" s="1"/>
  <c r="AK85" i="18" s="1"/>
  <c r="AE99" i="17"/>
  <c r="AE65" i="17"/>
  <c r="AA42" i="22" l="1"/>
  <c r="D43" i="22"/>
  <c r="B43" i="22"/>
  <c r="L18" i="2" s="1"/>
  <c r="AA29" i="22"/>
  <c r="AG29" i="22" s="1"/>
  <c r="AI29" i="22" s="1"/>
  <c r="AE95" i="17" l="1"/>
  <c r="AE68" i="21" l="1"/>
  <c r="AE21" i="16" l="1"/>
  <c r="Y23" i="3" l="1"/>
  <c r="AL49" i="23" l="1"/>
  <c r="E49" i="23"/>
  <c r="AF30" i="25"/>
  <c r="AL30" i="25" s="1"/>
  <c r="F49" i="23"/>
  <c r="AF48" i="24"/>
  <c r="AL48" i="24" s="1"/>
  <c r="AD49" i="23" l="1"/>
  <c r="AJ49" i="23" s="1"/>
  <c r="AC58" i="18"/>
  <c r="K112" i="30" l="1"/>
  <c r="AF115" i="19" l="1"/>
  <c r="AF114" i="19"/>
  <c r="AC70" i="18" l="1"/>
  <c r="K51" i="30"/>
  <c r="R82" i="20" l="1"/>
  <c r="P82" i="20" l="1"/>
  <c r="AF62" i="19"/>
  <c r="AF61" i="19"/>
  <c r="AF60" i="19"/>
  <c r="D62" i="19"/>
  <c r="D61" i="19"/>
  <c r="D60" i="19"/>
  <c r="AJ25" i="23" l="1"/>
  <c r="E26" i="12" l="1"/>
  <c r="E36" i="12" s="1"/>
  <c r="C26" i="12"/>
  <c r="AI41" i="25"/>
  <c r="AC41" i="25"/>
  <c r="AA41" i="25"/>
  <c r="Y41" i="25"/>
  <c r="W41" i="25"/>
  <c r="S41" i="25"/>
  <c r="Q41" i="25"/>
  <c r="O41" i="25"/>
  <c r="M41" i="25"/>
  <c r="K41" i="25"/>
  <c r="I41" i="25"/>
  <c r="G41" i="25"/>
  <c r="E41" i="25"/>
  <c r="O27" i="14"/>
  <c r="M27" i="14"/>
  <c r="E27" i="14"/>
  <c r="C27" i="14"/>
  <c r="A40" i="14" l="1"/>
  <c r="A40" i="13"/>
  <c r="A39" i="13"/>
  <c r="A42" i="11"/>
  <c r="A41" i="11"/>
  <c r="A42" i="10"/>
  <c r="A41" i="10"/>
  <c r="A49" i="9"/>
  <c r="A50" i="9"/>
  <c r="AF73" i="25" l="1"/>
  <c r="AF72" i="25"/>
  <c r="Q31" i="14"/>
  <c r="AF63" i="25"/>
  <c r="AF62" i="25"/>
  <c r="AF61" i="25"/>
  <c r="AF58" i="25"/>
  <c r="AN58" i="25" s="1"/>
  <c r="AF57" i="25"/>
  <c r="AF56" i="25"/>
  <c r="AF55" i="25"/>
  <c r="AF54" i="25"/>
  <c r="AF53" i="25"/>
  <c r="AF51" i="25"/>
  <c r="AF50" i="25"/>
  <c r="AF49" i="25"/>
  <c r="AF43" i="25"/>
  <c r="Q24" i="14" s="1"/>
  <c r="AF40" i="25"/>
  <c r="AF39" i="25"/>
  <c r="AF38" i="25"/>
  <c r="AF36" i="25"/>
  <c r="AF35" i="25"/>
  <c r="AF33" i="25"/>
  <c r="AF32" i="25"/>
  <c r="AF31" i="25"/>
  <c r="AF29" i="25"/>
  <c r="AF27" i="25"/>
  <c r="AF26" i="25"/>
  <c r="AF25" i="25"/>
  <c r="AF24" i="25"/>
  <c r="AF22" i="25"/>
  <c r="AF20" i="25"/>
  <c r="AF18" i="25"/>
  <c r="AF93" i="24"/>
  <c r="G32" i="14" s="1"/>
  <c r="AF92" i="24"/>
  <c r="AF91" i="24"/>
  <c r="AF83" i="24"/>
  <c r="AF82" i="24"/>
  <c r="AF81" i="24"/>
  <c r="AF80" i="24"/>
  <c r="AF77" i="24"/>
  <c r="AF76" i="24"/>
  <c r="AF75" i="24"/>
  <c r="AF72" i="24"/>
  <c r="AF70" i="24"/>
  <c r="AF69" i="24"/>
  <c r="AF68" i="24"/>
  <c r="AF62" i="24"/>
  <c r="AF59" i="24"/>
  <c r="AF58" i="24"/>
  <c r="AF57" i="24"/>
  <c r="AF54" i="24"/>
  <c r="AF53" i="24"/>
  <c r="AF45" i="24"/>
  <c r="AF24" i="24"/>
  <c r="AE75" i="21"/>
  <c r="AE74" i="21"/>
  <c r="AE73" i="21"/>
  <c r="R31" i="11" s="1"/>
  <c r="AE72" i="21"/>
  <c r="AE69" i="21"/>
  <c r="AE67" i="21"/>
  <c r="AE66" i="21"/>
  <c r="AE64" i="21"/>
  <c r="AE61" i="21"/>
  <c r="AE60" i="21"/>
  <c r="AE54" i="21"/>
  <c r="AE51" i="21"/>
  <c r="AE50" i="21"/>
  <c r="AE48" i="21"/>
  <c r="AE47" i="21"/>
  <c r="AE45" i="21"/>
  <c r="AE44" i="21"/>
  <c r="AE43" i="21"/>
  <c r="AE42" i="21"/>
  <c r="AE39" i="21"/>
  <c r="AE38" i="21"/>
  <c r="AE37" i="21"/>
  <c r="AE36" i="21"/>
  <c r="AE35" i="21"/>
  <c r="AE34" i="21"/>
  <c r="AE32" i="21"/>
  <c r="AE31" i="21"/>
  <c r="AE30" i="21"/>
  <c r="AE29" i="21"/>
  <c r="AE28" i="21"/>
  <c r="AE27" i="21"/>
  <c r="AE26" i="21"/>
  <c r="AE24" i="21"/>
  <c r="AE23" i="21"/>
  <c r="AE22" i="21"/>
  <c r="AE19" i="21"/>
  <c r="AE105" i="20"/>
  <c r="AE104" i="20"/>
  <c r="AE103" i="20"/>
  <c r="AE102" i="20"/>
  <c r="AE99" i="20"/>
  <c r="AE98" i="20"/>
  <c r="AE97" i="20"/>
  <c r="AE96" i="20"/>
  <c r="AE95" i="20"/>
  <c r="AE94" i="20"/>
  <c r="AE92" i="20"/>
  <c r="AE91" i="20"/>
  <c r="AE90" i="20"/>
  <c r="AE84" i="20"/>
  <c r="AE80" i="20"/>
  <c r="AE79" i="20"/>
  <c r="AE77" i="20"/>
  <c r="AK77" i="20" s="1"/>
  <c r="AM77" i="20" s="1"/>
  <c r="AE76" i="20"/>
  <c r="AE74" i="20"/>
  <c r="AE73" i="20"/>
  <c r="AE72" i="20"/>
  <c r="AE71" i="20"/>
  <c r="AE67" i="20"/>
  <c r="AE65" i="20"/>
  <c r="AK65" i="20" s="1"/>
  <c r="AM65" i="20" s="1"/>
  <c r="AE64" i="20"/>
  <c r="AE62" i="20"/>
  <c r="AE54" i="20"/>
  <c r="AE48" i="20"/>
  <c r="AE44" i="20"/>
  <c r="AE37" i="20"/>
  <c r="AE34" i="20"/>
  <c r="AE33" i="20"/>
  <c r="AE32" i="20"/>
  <c r="AE31" i="20"/>
  <c r="AE30" i="20"/>
  <c r="AE27" i="20"/>
  <c r="AE26" i="20"/>
  <c r="AE25" i="20"/>
  <c r="AE24" i="20"/>
  <c r="AE22" i="20"/>
  <c r="AE21" i="20"/>
  <c r="AE16" i="20"/>
  <c r="AG54" i="23"/>
  <c r="Y47" i="17"/>
  <c r="W47" i="17"/>
  <c r="U47" i="17"/>
  <c r="S47" i="17"/>
  <c r="Q47" i="17"/>
  <c r="O47" i="17"/>
  <c r="AE28" i="16"/>
  <c r="C28" i="16"/>
  <c r="AE27" i="17"/>
  <c r="AE28" i="17"/>
  <c r="C28" i="17"/>
  <c r="C27" i="17"/>
  <c r="AE125" i="16"/>
  <c r="AE137" i="17"/>
  <c r="AE75" i="17"/>
  <c r="AE74" i="17"/>
  <c r="AE73" i="17"/>
  <c r="AE72" i="17"/>
  <c r="AE71" i="17"/>
  <c r="AE69" i="17"/>
  <c r="C75" i="17"/>
  <c r="C74" i="17"/>
  <c r="C73" i="17"/>
  <c r="C72" i="17"/>
  <c r="C71" i="17"/>
  <c r="AB71" i="17" s="1"/>
  <c r="C69" i="17"/>
  <c r="AE69" i="16"/>
  <c r="C69" i="16"/>
  <c r="AA36" i="22"/>
  <c r="AG36" i="22" s="1"/>
  <c r="AA35" i="22"/>
  <c r="AG35" i="22" s="1"/>
  <c r="AA34" i="22"/>
  <c r="AG34" i="22" s="1"/>
  <c r="AA33" i="22"/>
  <c r="AG33" i="22" s="1"/>
  <c r="AA32" i="22"/>
  <c r="AA31" i="22"/>
  <c r="AG31" i="22" s="1"/>
  <c r="AE53" i="17"/>
  <c r="AE52" i="17"/>
  <c r="D18" i="19"/>
  <c r="N52" i="21"/>
  <c r="N82" i="20"/>
  <c r="AE53" i="16"/>
  <c r="AE51" i="16"/>
  <c r="AE50" i="16"/>
  <c r="A6" i="10"/>
  <c r="C53" i="17"/>
  <c r="C52" i="17"/>
  <c r="C53" i="16"/>
  <c r="C51" i="16"/>
  <c r="C50" i="16"/>
  <c r="AE84" i="21"/>
  <c r="R34" i="11" s="1"/>
  <c r="AF82" i="19"/>
  <c r="AF81" i="19"/>
  <c r="AE99" i="16" s="1"/>
  <c r="AF80" i="19"/>
  <c r="AF79" i="19"/>
  <c r="AF78" i="19"/>
  <c r="AF77" i="19"/>
  <c r="AE95" i="16" s="1"/>
  <c r="AF76" i="19"/>
  <c r="AE94" i="16" s="1"/>
  <c r="AF75" i="19"/>
  <c r="AF74" i="19"/>
  <c r="AF73" i="19"/>
  <c r="AF72" i="19"/>
  <c r="AF70" i="19"/>
  <c r="AF69" i="19"/>
  <c r="AF68" i="19"/>
  <c r="AF67" i="19"/>
  <c r="AF66" i="19"/>
  <c r="AF65" i="19"/>
  <c r="AK65" i="19" s="1"/>
  <c r="AF63" i="19"/>
  <c r="AF58" i="19"/>
  <c r="AF57" i="19"/>
  <c r="AF56" i="19"/>
  <c r="AF55" i="19"/>
  <c r="AE73" i="16" s="1"/>
  <c r="AF54" i="19"/>
  <c r="AE72" i="16" s="1"/>
  <c r="AF53" i="19"/>
  <c r="AF50" i="19"/>
  <c r="AF49" i="19"/>
  <c r="AF48" i="19"/>
  <c r="AE65" i="16" s="1"/>
  <c r="AF47" i="19"/>
  <c r="AH28" i="20"/>
  <c r="AG9" i="21"/>
  <c r="AG9" i="20"/>
  <c r="AF24" i="18"/>
  <c r="AM54" i="21" l="1"/>
  <c r="R25" i="11"/>
  <c r="C27" i="16"/>
  <c r="H14" i="2"/>
  <c r="G24" i="14"/>
  <c r="K24" i="14" s="1"/>
  <c r="G26" i="14"/>
  <c r="G31" i="14"/>
  <c r="AL93" i="24"/>
  <c r="AN93" i="24" s="1"/>
  <c r="AL73" i="25"/>
  <c r="AN73" i="25" s="1"/>
  <c r="Q32" i="14"/>
  <c r="U32" i="14" s="1"/>
  <c r="AE52" i="21"/>
  <c r="R24" i="11" s="1"/>
  <c r="AF83" i="19"/>
  <c r="N14" i="2"/>
  <c r="AG61" i="23"/>
  <c r="AE71" i="16"/>
  <c r="AE74" i="16"/>
  <c r="AG16" i="22"/>
  <c r="AI16" i="22" s="1"/>
  <c r="M26" i="17"/>
  <c r="M30" i="17" s="1"/>
  <c r="M40" i="17"/>
  <c r="M119" i="17"/>
  <c r="M128" i="17" s="1"/>
  <c r="M47" i="17"/>
  <c r="AF41" i="25"/>
  <c r="Q23" i="14" s="1"/>
  <c r="M137" i="17"/>
  <c r="M101" i="17"/>
  <c r="M55" i="17"/>
  <c r="G20" i="12"/>
  <c r="AE75" i="16"/>
  <c r="AG32" i="22"/>
  <c r="AC75" i="25"/>
  <c r="AC59" i="25"/>
  <c r="AC66" i="25" s="1"/>
  <c r="AC45" i="25"/>
  <c r="AE114" i="20"/>
  <c r="AE83" i="21"/>
  <c r="AC95" i="24"/>
  <c r="AC78" i="24"/>
  <c r="AC85" i="24" s="1"/>
  <c r="AC60" i="24"/>
  <c r="AC30" i="24"/>
  <c r="AC27" i="24"/>
  <c r="AC22" i="24"/>
  <c r="AB116" i="20"/>
  <c r="AB100" i="20"/>
  <c r="AB107" i="20" s="1"/>
  <c r="AB82" i="20"/>
  <c r="AB38" i="20"/>
  <c r="AB35" i="20"/>
  <c r="AB28" i="20"/>
  <c r="AB86" i="21"/>
  <c r="AB70" i="21"/>
  <c r="AB77" i="21" s="1"/>
  <c r="AB52" i="21"/>
  <c r="AB56" i="21" s="1"/>
  <c r="AF28" i="18"/>
  <c r="AA17" i="3" s="1"/>
  <c r="AK31" i="21"/>
  <c r="AM31" i="21" s="1"/>
  <c r="M57" i="17" l="1"/>
  <c r="M105" i="17" s="1"/>
  <c r="M131" i="17" s="1"/>
  <c r="M141" i="17" s="1"/>
  <c r="J51" i="3"/>
  <c r="AC32" i="24"/>
  <c r="AC64" i="24" s="1"/>
  <c r="AC88" i="24" s="1"/>
  <c r="AC100" i="24" s="1"/>
  <c r="AB80" i="21"/>
  <c r="AB90" i="21" s="1"/>
  <c r="AB40" i="20"/>
  <c r="AB86" i="20" s="1"/>
  <c r="AB110" i="20" s="1"/>
  <c r="AB120" i="20" s="1"/>
  <c r="AC69" i="25"/>
  <c r="AC79" i="25" s="1"/>
  <c r="A6" i="13" l="1"/>
  <c r="M252" i="42"/>
  <c r="M204" i="42"/>
  <c r="M200" i="42"/>
  <c r="M199" i="42"/>
  <c r="M196" i="42"/>
  <c r="M98" i="42"/>
  <c r="M11" i="42"/>
  <c r="AA28" i="41"/>
  <c r="G13" i="40"/>
  <c r="J28" i="5"/>
  <c r="J19" i="5"/>
  <c r="H14" i="5"/>
  <c r="P14" i="5" s="1"/>
  <c r="L14" i="5"/>
  <c r="F15" i="5"/>
  <c r="H15" i="5"/>
  <c r="J15" i="5"/>
  <c r="L15" i="5"/>
  <c r="J20" i="5"/>
  <c r="F21" i="5"/>
  <c r="N21" i="5"/>
  <c r="P21" i="5"/>
  <c r="N29" i="5"/>
  <c r="P29" i="5"/>
  <c r="N37" i="5"/>
  <c r="P37" i="5"/>
  <c r="AD50" i="2" l="1"/>
  <c r="M201" i="42"/>
  <c r="M255" i="42" s="1"/>
  <c r="G37" i="40"/>
  <c r="G25" i="40"/>
  <c r="K47" i="17"/>
  <c r="P32" i="5"/>
  <c r="P42" i="5" s="1"/>
  <c r="P45" i="5" s="1"/>
  <c r="K138" i="16"/>
  <c r="J27" i="5"/>
  <c r="F37" i="5"/>
  <c r="K26" i="16"/>
  <c r="K26" i="17"/>
  <c r="K30" i="17" s="1"/>
  <c r="K137" i="17"/>
  <c r="K119" i="17"/>
  <c r="K128" i="17" s="1"/>
  <c r="K40" i="17"/>
  <c r="N32" i="5"/>
  <c r="N42" i="5" s="1"/>
  <c r="N45" i="5" s="1"/>
  <c r="J26" i="5"/>
  <c r="F29" i="5"/>
  <c r="F32" i="5" s="1"/>
  <c r="J36" i="5"/>
  <c r="B37" i="5"/>
  <c r="J35" i="5"/>
  <c r="B29" i="5"/>
  <c r="J25" i="5"/>
  <c r="J18" i="5"/>
  <c r="J21" i="5" s="1"/>
  <c r="B21" i="5"/>
  <c r="E30" i="23"/>
  <c r="E27" i="23"/>
  <c r="E26" i="23"/>
  <c r="E25" i="23"/>
  <c r="E22" i="23"/>
  <c r="E21" i="23"/>
  <c r="E20" i="23"/>
  <c r="AF36" i="24"/>
  <c r="L86" i="21"/>
  <c r="L70" i="21"/>
  <c r="L77" i="21" s="1"/>
  <c r="L52" i="21"/>
  <c r="L56" i="21" s="1"/>
  <c r="L117" i="19"/>
  <c r="K55" i="17"/>
  <c r="G47" i="40" l="1"/>
  <c r="G49" i="40" s="1"/>
  <c r="J37" i="5"/>
  <c r="F42" i="5"/>
  <c r="K30" i="16"/>
  <c r="K101" i="17"/>
  <c r="K57" i="17"/>
  <c r="K55" i="16"/>
  <c r="J29" i="5"/>
  <c r="J32" i="5" s="1"/>
  <c r="B32" i="5"/>
  <c r="B42" i="5" s="1"/>
  <c r="L80" i="21"/>
  <c r="L90" i="21" s="1"/>
  <c r="F52" i="39" l="1"/>
  <c r="K47" i="16"/>
  <c r="J42" i="5"/>
  <c r="K105" i="17"/>
  <c r="K131" i="17" s="1"/>
  <c r="K141" i="17" s="1"/>
  <c r="K101" i="16"/>
  <c r="K40" i="16"/>
  <c r="K119" i="16"/>
  <c r="K128" i="16" s="1"/>
  <c r="K57" i="16" l="1"/>
  <c r="K105" i="16" s="1"/>
  <c r="K131" i="16" s="1"/>
  <c r="K142" i="16" s="1"/>
  <c r="L121" i="19"/>
  <c r="AE136" i="16" l="1"/>
  <c r="AG31" i="23"/>
  <c r="Z38" i="20"/>
  <c r="X38" i="20"/>
  <c r="V38" i="20"/>
  <c r="T38" i="20"/>
  <c r="R38" i="20"/>
  <c r="P38" i="20"/>
  <c r="N38" i="20"/>
  <c r="L38" i="20"/>
  <c r="J38" i="20"/>
  <c r="H38" i="20"/>
  <c r="F38" i="20"/>
  <c r="D38" i="20"/>
  <c r="H20" i="3" s="1"/>
  <c r="Z35" i="20"/>
  <c r="X35" i="20"/>
  <c r="V35" i="20"/>
  <c r="T35" i="20"/>
  <c r="R35" i="20"/>
  <c r="P35" i="20"/>
  <c r="N35" i="20"/>
  <c r="L35" i="20"/>
  <c r="J35" i="20"/>
  <c r="H35" i="20"/>
  <c r="F35" i="20"/>
  <c r="D35" i="20"/>
  <c r="H19" i="3" s="1"/>
  <c r="Z28" i="20"/>
  <c r="X28" i="20"/>
  <c r="V28" i="20"/>
  <c r="T28" i="20"/>
  <c r="P28" i="20"/>
  <c r="N28" i="20"/>
  <c r="L28" i="20"/>
  <c r="J28" i="20"/>
  <c r="H28" i="20"/>
  <c r="F28" i="20"/>
  <c r="D28" i="20"/>
  <c r="H18" i="3" s="1"/>
  <c r="AH35" i="20"/>
  <c r="AH38" i="20"/>
  <c r="C52" i="16"/>
  <c r="C29" i="16"/>
  <c r="C25" i="16"/>
  <c r="C24" i="16"/>
  <c r="C23" i="16"/>
  <c r="C22" i="16"/>
  <c r="C21" i="16"/>
  <c r="J40" i="20" l="1"/>
  <c r="H40" i="20"/>
  <c r="D40" i="20"/>
  <c r="Z40" i="20"/>
  <c r="X40" i="20"/>
  <c r="V40" i="20"/>
  <c r="F40" i="20"/>
  <c r="T40" i="20"/>
  <c r="R40" i="20"/>
  <c r="P40" i="20"/>
  <c r="N40" i="20"/>
  <c r="L40" i="20"/>
  <c r="AH40" i="20"/>
  <c r="G38" i="12"/>
  <c r="C49" i="7"/>
  <c r="E49" i="7"/>
  <c r="I38" i="12" l="1"/>
  <c r="I28" i="36"/>
  <c r="G28" i="36"/>
  <c r="X42" i="37"/>
  <c r="V42" i="37"/>
  <c r="T42" i="37"/>
  <c r="P42" i="37"/>
  <c r="N42" i="37"/>
  <c r="L42" i="37"/>
  <c r="J42" i="37"/>
  <c r="H42" i="37"/>
  <c r="F42" i="37"/>
  <c r="D42" i="37"/>
  <c r="B42" i="37"/>
  <c r="Z40" i="37"/>
  <c r="Z39" i="37"/>
  <c r="Z37" i="37"/>
  <c r="Z36" i="37"/>
  <c r="Z35" i="37"/>
  <c r="X32" i="37"/>
  <c r="V32" i="37"/>
  <c r="R32" i="37"/>
  <c r="P32" i="37"/>
  <c r="N32" i="37"/>
  <c r="L32" i="37"/>
  <c r="J32" i="37"/>
  <c r="H32" i="37"/>
  <c r="F32" i="37"/>
  <c r="D32" i="37"/>
  <c r="B32" i="37"/>
  <c r="Z31" i="37"/>
  <c r="Z30" i="37"/>
  <c r="Z29" i="37"/>
  <c r="Z28" i="37"/>
  <c r="Z27" i="37"/>
  <c r="X24" i="37"/>
  <c r="V24" i="37"/>
  <c r="T24" i="37"/>
  <c r="R24" i="37"/>
  <c r="P24" i="37"/>
  <c r="N24" i="37"/>
  <c r="L24" i="37"/>
  <c r="J24" i="37"/>
  <c r="H24" i="37"/>
  <c r="F24" i="37"/>
  <c r="D24" i="37"/>
  <c r="B24" i="37"/>
  <c r="Z23" i="37"/>
  <c r="Z22" i="37"/>
  <c r="Z21" i="37"/>
  <c r="Z20" i="37"/>
  <c r="Z19" i="37"/>
  <c r="Z18" i="37"/>
  <c r="Z17" i="37"/>
  <c r="Z16" i="37"/>
  <c r="Z15" i="37"/>
  <c r="Z12" i="37"/>
  <c r="Y40" i="41"/>
  <c r="W40" i="41"/>
  <c r="S40" i="41"/>
  <c r="Q40" i="41"/>
  <c r="O40" i="41"/>
  <c r="M40" i="41"/>
  <c r="K40" i="41"/>
  <c r="I40" i="41"/>
  <c r="G40" i="41"/>
  <c r="E40" i="41"/>
  <c r="C40" i="41"/>
  <c r="AA39" i="41"/>
  <c r="AA38" i="41"/>
  <c r="AA37" i="41"/>
  <c r="AA36" i="41"/>
  <c r="AA35" i="41"/>
  <c r="Y30" i="41"/>
  <c r="W30" i="41"/>
  <c r="U30" i="41"/>
  <c r="S30" i="41"/>
  <c r="Q30" i="41"/>
  <c r="O30" i="41"/>
  <c r="M30" i="41"/>
  <c r="K30" i="41"/>
  <c r="I30" i="41"/>
  <c r="G30" i="41"/>
  <c r="E30" i="41"/>
  <c r="C30" i="41"/>
  <c r="AA29" i="41"/>
  <c r="AA27" i="41"/>
  <c r="AA26" i="41"/>
  <c r="AA25" i="41"/>
  <c r="AA24" i="41"/>
  <c r="AA23" i="41"/>
  <c r="AA22" i="41"/>
  <c r="AA21" i="41"/>
  <c r="AA20" i="41"/>
  <c r="AA19" i="41"/>
  <c r="AA17" i="41"/>
  <c r="AA16" i="41"/>
  <c r="AA15" i="41"/>
  <c r="AA14" i="41"/>
  <c r="D44" i="37" l="1"/>
  <c r="C43" i="41"/>
  <c r="S43" i="41"/>
  <c r="H44" i="37"/>
  <c r="P44" i="37"/>
  <c r="X44" i="37"/>
  <c r="E43" i="41"/>
  <c r="M43" i="41"/>
  <c r="U43" i="41"/>
  <c r="G43" i="41"/>
  <c r="O43" i="41"/>
  <c r="W43" i="41"/>
  <c r="F44" i="37"/>
  <c r="N44" i="37"/>
  <c r="V44" i="37"/>
  <c r="B44" i="37"/>
  <c r="B46" i="37" s="1"/>
  <c r="R44" i="37"/>
  <c r="Q43" i="41"/>
  <c r="Y43" i="41"/>
  <c r="T44" i="37"/>
  <c r="Z32" i="37"/>
  <c r="L44" i="37"/>
  <c r="K43" i="41"/>
  <c r="AA30" i="41"/>
  <c r="I43" i="41"/>
  <c r="AA40" i="41"/>
  <c r="Z24" i="37"/>
  <c r="J44" i="37"/>
  <c r="Z42" i="37"/>
  <c r="D46" i="37" l="1"/>
  <c r="Z44" i="37"/>
  <c r="Z46" i="37" s="1"/>
  <c r="AA43" i="41"/>
  <c r="E25" i="13"/>
  <c r="F46" i="37" l="1"/>
  <c r="E27" i="13"/>
  <c r="E33" i="10"/>
  <c r="H46" i="37" l="1"/>
  <c r="C27" i="10"/>
  <c r="E27" i="10"/>
  <c r="C62" i="17"/>
  <c r="C93" i="16"/>
  <c r="AB93" i="16" s="1"/>
  <c r="AE100" i="17"/>
  <c r="AE98" i="17"/>
  <c r="AE97" i="17"/>
  <c r="AE96" i="17"/>
  <c r="AE93" i="17"/>
  <c r="AE92" i="17"/>
  <c r="AE91" i="17"/>
  <c r="AE90" i="17"/>
  <c r="AE88" i="17"/>
  <c r="AE87" i="17"/>
  <c r="AE86" i="17"/>
  <c r="AE85" i="17"/>
  <c r="AE84" i="17"/>
  <c r="AE83" i="17"/>
  <c r="AJ83" i="17" s="1"/>
  <c r="AE81" i="17"/>
  <c r="AE80" i="17"/>
  <c r="AE79" i="17"/>
  <c r="AE78" i="17"/>
  <c r="AE76" i="17"/>
  <c r="AE67" i="17"/>
  <c r="AE66" i="17"/>
  <c r="AE64" i="17"/>
  <c r="AE62" i="17"/>
  <c r="C100" i="17"/>
  <c r="C98" i="17"/>
  <c r="C97" i="17"/>
  <c r="C96" i="17"/>
  <c r="C93" i="17"/>
  <c r="C92" i="17"/>
  <c r="C91" i="17"/>
  <c r="C85" i="17"/>
  <c r="C84" i="17"/>
  <c r="C83" i="17"/>
  <c r="C80" i="17"/>
  <c r="C79" i="17"/>
  <c r="C78" i="17"/>
  <c r="C76" i="17"/>
  <c r="C65" i="17"/>
  <c r="C64" i="17"/>
  <c r="C94" i="17"/>
  <c r="AE33" i="17"/>
  <c r="AE38" i="17"/>
  <c r="AJ38" i="17" s="1"/>
  <c r="AE36" i="17"/>
  <c r="AE46" i="17"/>
  <c r="AE43" i="17"/>
  <c r="AE126" i="17"/>
  <c r="AE125" i="17"/>
  <c r="AE122" i="17"/>
  <c r="AE123" i="17"/>
  <c r="AE121" i="17"/>
  <c r="AE118" i="17"/>
  <c r="AE117" i="17"/>
  <c r="AE116" i="17"/>
  <c r="AE115" i="17"/>
  <c r="AE114" i="17"/>
  <c r="AE113" i="17"/>
  <c r="AE111" i="17"/>
  <c r="AE110" i="17"/>
  <c r="AE109" i="17"/>
  <c r="C46" i="17"/>
  <c r="C43" i="17"/>
  <c r="C33" i="17"/>
  <c r="C36" i="17"/>
  <c r="C38" i="17"/>
  <c r="E39" i="23"/>
  <c r="S39" i="14"/>
  <c r="S22" i="14"/>
  <c r="S20" i="14"/>
  <c r="I39" i="14"/>
  <c r="J46" i="37" l="1"/>
  <c r="AE62" i="16"/>
  <c r="AE61" i="16"/>
  <c r="AE61" i="17"/>
  <c r="AE119" i="17"/>
  <c r="AE128" i="17" s="1"/>
  <c r="AD49" i="2"/>
  <c r="C61" i="17"/>
  <c r="L46" i="37" l="1"/>
  <c r="E37" i="23"/>
  <c r="E60" i="23"/>
  <c r="E59" i="23"/>
  <c r="E58" i="23"/>
  <c r="E55" i="23"/>
  <c r="E54" i="23"/>
  <c r="E52" i="23"/>
  <c r="E51" i="23"/>
  <c r="E50" i="23"/>
  <c r="E48" i="23"/>
  <c r="E46" i="23"/>
  <c r="E45" i="23"/>
  <c r="E44" i="23"/>
  <c r="E43" i="23"/>
  <c r="E41" i="23"/>
  <c r="AE47" i="20"/>
  <c r="AE68" i="20"/>
  <c r="T41" i="11"/>
  <c r="I41" i="11"/>
  <c r="T23" i="11"/>
  <c r="T22" i="11"/>
  <c r="T21" i="11"/>
  <c r="T20" i="11"/>
  <c r="I42" i="9"/>
  <c r="I41" i="9"/>
  <c r="I40" i="9"/>
  <c r="N46" i="37" l="1"/>
  <c r="P46" i="37" s="1"/>
  <c r="R46" i="37" s="1"/>
  <c r="AE49" i="20"/>
  <c r="AE55" i="20"/>
  <c r="AF44" i="24"/>
  <c r="AF51" i="24"/>
  <c r="AE60" i="20"/>
  <c r="AE61" i="20"/>
  <c r="AE75" i="20"/>
  <c r="AE52" i="20"/>
  <c r="AE59" i="20"/>
  <c r="AF49" i="24"/>
  <c r="AE56" i="20"/>
  <c r="AE78" i="20"/>
  <c r="AE69" i="20"/>
  <c r="AF47" i="24"/>
  <c r="AE66" i="20"/>
  <c r="AE81" i="20"/>
  <c r="AE53" i="20"/>
  <c r="AF50" i="24"/>
  <c r="C62" i="16"/>
  <c r="E61" i="23"/>
  <c r="J82" i="20"/>
  <c r="E31" i="7"/>
  <c r="E30" i="7"/>
  <c r="C31" i="7"/>
  <c r="C30" i="7"/>
  <c r="T46" i="37" l="1"/>
  <c r="V46" i="37" s="1"/>
  <c r="X46" i="37" s="1"/>
  <c r="AE82" i="20"/>
  <c r="G24" i="11" s="1"/>
  <c r="I24" i="11" s="1"/>
  <c r="G61" i="23"/>
  <c r="E42" i="7"/>
  <c r="E41" i="7"/>
  <c r="E33" i="7"/>
  <c r="E32" i="7"/>
  <c r="E29" i="7"/>
  <c r="C25" i="7"/>
  <c r="C23" i="7"/>
  <c r="C21" i="7"/>
  <c r="C42" i="7"/>
  <c r="C32" i="7"/>
  <c r="E24" i="7"/>
  <c r="E25" i="7"/>
  <c r="E23" i="7"/>
  <c r="E22" i="7"/>
  <c r="E21" i="7"/>
  <c r="E20" i="7"/>
  <c r="C24" i="7"/>
  <c r="C22" i="7"/>
  <c r="C29" i="7"/>
  <c r="O33" i="14"/>
  <c r="M33" i="14"/>
  <c r="C33" i="13"/>
  <c r="E33" i="13"/>
  <c r="E26" i="7" l="1"/>
  <c r="C26" i="7"/>
  <c r="I39" i="13"/>
  <c r="E37" i="13"/>
  <c r="E40" i="13" s="1"/>
  <c r="I41" i="10" l="1"/>
  <c r="E35" i="10"/>
  <c r="E39" i="10" s="1"/>
  <c r="E42" i="10" s="1"/>
  <c r="AB28" i="17" l="1"/>
  <c r="AB27" i="17"/>
  <c r="AF52" i="18"/>
  <c r="Z52" i="18"/>
  <c r="X52" i="18"/>
  <c r="V52" i="18"/>
  <c r="T52" i="18"/>
  <c r="R52" i="18"/>
  <c r="P52" i="18"/>
  <c r="N52" i="18"/>
  <c r="L52" i="18"/>
  <c r="AF44" i="18"/>
  <c r="Z44" i="18"/>
  <c r="X44" i="18"/>
  <c r="V44" i="18"/>
  <c r="T44" i="18"/>
  <c r="R44" i="18"/>
  <c r="P44" i="18"/>
  <c r="N44" i="18"/>
  <c r="L44" i="18"/>
  <c r="Y55" i="17" l="1"/>
  <c r="W55" i="17"/>
  <c r="U55" i="17"/>
  <c r="S55" i="17"/>
  <c r="Q55" i="17"/>
  <c r="O55" i="17"/>
  <c r="Y40" i="17"/>
  <c r="W40" i="17"/>
  <c r="U40" i="17"/>
  <c r="S40" i="17"/>
  <c r="Q40" i="17"/>
  <c r="O40" i="17"/>
  <c r="Y26" i="17"/>
  <c r="Y30" i="17" s="1"/>
  <c r="W26" i="17"/>
  <c r="W30" i="17" s="1"/>
  <c r="U26" i="17"/>
  <c r="U30" i="17" s="1"/>
  <c r="S26" i="17"/>
  <c r="S30" i="17" s="1"/>
  <c r="Q26" i="17"/>
  <c r="Q30" i="17" s="1"/>
  <c r="O26" i="17"/>
  <c r="O30" i="17" s="1"/>
  <c r="Y55" i="16"/>
  <c r="W55" i="16"/>
  <c r="U55" i="16"/>
  <c r="S55" i="16"/>
  <c r="Q55" i="16"/>
  <c r="O55" i="16"/>
  <c r="M55" i="16"/>
  <c r="Y47" i="16"/>
  <c r="W47" i="16"/>
  <c r="U47" i="16"/>
  <c r="S47" i="16"/>
  <c r="Q47" i="16"/>
  <c r="O47" i="16"/>
  <c r="M47" i="16"/>
  <c r="Y40" i="16"/>
  <c r="W40" i="16"/>
  <c r="U40" i="16"/>
  <c r="S40" i="16"/>
  <c r="Q40" i="16"/>
  <c r="O40" i="16"/>
  <c r="M40" i="16"/>
  <c r="Y26" i="16"/>
  <c r="Y30" i="16" s="1"/>
  <c r="W26" i="16"/>
  <c r="W30" i="16" s="1"/>
  <c r="U26" i="16"/>
  <c r="U30" i="16" s="1"/>
  <c r="S26" i="16"/>
  <c r="S30" i="16" s="1"/>
  <c r="Q26" i="16"/>
  <c r="Q30" i="16" s="1"/>
  <c r="O26" i="16"/>
  <c r="O30" i="16" s="1"/>
  <c r="M26" i="16"/>
  <c r="M30" i="16" s="1"/>
  <c r="AF30" i="24"/>
  <c r="AI30" i="24"/>
  <c r="AA30" i="24"/>
  <c r="Y30" i="24"/>
  <c r="W30" i="24"/>
  <c r="S30" i="24"/>
  <c r="Q30" i="24"/>
  <c r="O30" i="24"/>
  <c r="M30" i="24"/>
  <c r="K30" i="24"/>
  <c r="I30" i="24"/>
  <c r="G30" i="24"/>
  <c r="E30" i="24"/>
  <c r="AI22" i="24"/>
  <c r="AA22" i="24"/>
  <c r="Y22" i="24"/>
  <c r="W22" i="24"/>
  <c r="S22" i="24"/>
  <c r="Q22" i="24"/>
  <c r="O22" i="24"/>
  <c r="M22" i="24"/>
  <c r="K22" i="24"/>
  <c r="I22" i="24"/>
  <c r="G22" i="24"/>
  <c r="E22" i="24"/>
  <c r="AI27" i="24"/>
  <c r="AA27" i="24"/>
  <c r="Y27" i="24"/>
  <c r="W27" i="24"/>
  <c r="S27" i="24"/>
  <c r="Q27" i="24"/>
  <c r="O27" i="24"/>
  <c r="M27" i="24"/>
  <c r="K27" i="24"/>
  <c r="I27" i="24"/>
  <c r="G27" i="24"/>
  <c r="E27" i="24"/>
  <c r="AE49" i="16"/>
  <c r="AJ49" i="16" s="1"/>
  <c r="AE52" i="16"/>
  <c r="AE29" i="16"/>
  <c r="AE25" i="16"/>
  <c r="AE24" i="16"/>
  <c r="AE23" i="16"/>
  <c r="AE22" i="16"/>
  <c r="AE54" i="17"/>
  <c r="AE51" i="17"/>
  <c r="AE50" i="17"/>
  <c r="AE49" i="17"/>
  <c r="AJ49" i="17" s="1"/>
  <c r="AE45" i="17"/>
  <c r="AE44" i="17"/>
  <c r="AE42" i="17"/>
  <c r="AE39" i="17"/>
  <c r="AE37" i="17"/>
  <c r="AE34" i="17"/>
  <c r="AE32" i="17"/>
  <c r="AH28" i="17"/>
  <c r="AJ28" i="17" s="1"/>
  <c r="AH27" i="17"/>
  <c r="AJ27" i="17" s="1"/>
  <c r="AE29" i="17"/>
  <c r="AE25" i="17"/>
  <c r="AE24" i="17"/>
  <c r="AE23" i="17"/>
  <c r="AE22" i="17"/>
  <c r="AE21" i="17"/>
  <c r="AL25" i="24"/>
  <c r="AN25" i="24" s="1"/>
  <c r="AL24" i="24"/>
  <c r="C39" i="17"/>
  <c r="C54" i="17"/>
  <c r="C51" i="17"/>
  <c r="C50" i="17"/>
  <c r="C49" i="17"/>
  <c r="C45" i="17"/>
  <c r="C44" i="17"/>
  <c r="C42" i="17"/>
  <c r="C37" i="17"/>
  <c r="C34" i="17"/>
  <c r="C32" i="17"/>
  <c r="C25" i="17"/>
  <c r="C29" i="17"/>
  <c r="C24" i="17"/>
  <c r="C23" i="17"/>
  <c r="C22" i="17"/>
  <c r="C21" i="17"/>
  <c r="G22" i="14" l="1"/>
  <c r="K22" i="14" s="1"/>
  <c r="W57" i="17"/>
  <c r="Y57" i="16"/>
  <c r="Y57" i="17"/>
  <c r="S57" i="17"/>
  <c r="U57" i="17"/>
  <c r="Q57" i="17"/>
  <c r="O57" i="17"/>
  <c r="O57" i="16"/>
  <c r="U57" i="16"/>
  <c r="W57" i="16"/>
  <c r="AE55" i="17"/>
  <c r="S57" i="16"/>
  <c r="Q57" i="16"/>
  <c r="AE47" i="17"/>
  <c r="AI32" i="24"/>
  <c r="G47" i="17"/>
  <c r="C47" i="17"/>
  <c r="E47" i="17"/>
  <c r="I47" i="17"/>
  <c r="M57" i="16"/>
  <c r="AB22" i="17"/>
  <c r="AH22" i="17" s="1"/>
  <c r="AJ22" i="17" s="1"/>
  <c r="AB25" i="17"/>
  <c r="AH25" i="17" s="1"/>
  <c r="AJ25" i="17" s="1"/>
  <c r="AB50" i="17"/>
  <c r="AH50" i="17" s="1"/>
  <c r="AJ50" i="17" s="1"/>
  <c r="AB29" i="17"/>
  <c r="AH29" i="17" s="1"/>
  <c r="AJ29" i="17" s="1"/>
  <c r="AE26" i="16"/>
  <c r="I26" i="16"/>
  <c r="AB21" i="17"/>
  <c r="AH21" i="17" s="1"/>
  <c r="AJ21" i="17" s="1"/>
  <c r="AB24" i="17"/>
  <c r="AH24" i="17" s="1"/>
  <c r="AJ24" i="17" s="1"/>
  <c r="AE26" i="17"/>
  <c r="AE30" i="17" s="1"/>
  <c r="AB49" i="17"/>
  <c r="AB23" i="17"/>
  <c r="AH23" i="17" s="1"/>
  <c r="AJ23" i="17" s="1"/>
  <c r="AB51" i="17"/>
  <c r="AH51" i="17" s="1"/>
  <c r="AJ51" i="17" s="1"/>
  <c r="I32" i="24"/>
  <c r="Q32" i="24"/>
  <c r="Y32" i="24"/>
  <c r="AB36" i="17"/>
  <c r="AH36" i="17" s="1"/>
  <c r="AJ36" i="17" s="1"/>
  <c r="E32" i="24"/>
  <c r="K32" i="24"/>
  <c r="S32" i="24"/>
  <c r="AA32" i="24"/>
  <c r="AL29" i="24"/>
  <c r="AN29" i="24" s="1"/>
  <c r="AB44" i="17"/>
  <c r="AH44" i="17" s="1"/>
  <c r="AJ44" i="17" s="1"/>
  <c r="M32" i="24"/>
  <c r="G32" i="24"/>
  <c r="O32" i="24"/>
  <c r="W32" i="24"/>
  <c r="AB34" i="17"/>
  <c r="AH34" i="17" s="1"/>
  <c r="AJ34" i="17" s="1"/>
  <c r="AB54" i="17"/>
  <c r="AH54" i="17" s="1"/>
  <c r="AJ54" i="17" s="1"/>
  <c r="AB39" i="17"/>
  <c r="AH39" i="17" s="1"/>
  <c r="AJ39" i="17" s="1"/>
  <c r="AB33" i="17"/>
  <c r="AH33" i="17" s="1"/>
  <c r="AJ33" i="17" s="1"/>
  <c r="AB38" i="17"/>
  <c r="AH38" i="17" s="1"/>
  <c r="AB46" i="17"/>
  <c r="AH46" i="17" s="1"/>
  <c r="AJ46" i="17" s="1"/>
  <c r="AB53" i="17"/>
  <c r="AH53" i="17" s="1"/>
  <c r="AB43" i="17"/>
  <c r="AE40" i="17"/>
  <c r="AB42" i="17"/>
  <c r="AB32" i="17"/>
  <c r="AB37" i="17"/>
  <c r="AH37" i="17" s="1"/>
  <c r="AJ37" i="17" s="1"/>
  <c r="AB45" i="17"/>
  <c r="AH45" i="17" s="1"/>
  <c r="AJ45" i="17" s="1"/>
  <c r="E26" i="17"/>
  <c r="E30" i="17" s="1"/>
  <c r="G26" i="17"/>
  <c r="G30" i="17" s="1"/>
  <c r="I26" i="17"/>
  <c r="I30" i="17" s="1"/>
  <c r="I40" i="17"/>
  <c r="E40" i="17"/>
  <c r="G40" i="17"/>
  <c r="C40" i="17"/>
  <c r="C26" i="17"/>
  <c r="C30" i="17" s="1"/>
  <c r="I22" i="14" l="1"/>
  <c r="G22" i="13"/>
  <c r="K22" i="13" s="1"/>
  <c r="AH42" i="17"/>
  <c r="AJ42" i="17" s="1"/>
  <c r="AB47" i="17"/>
  <c r="AE57" i="17"/>
  <c r="AL30" i="24"/>
  <c r="AN30" i="24" s="1"/>
  <c r="AH43" i="17"/>
  <c r="AJ43" i="17" s="1"/>
  <c r="AH32" i="17"/>
  <c r="AJ32" i="17" s="1"/>
  <c r="AB40" i="17"/>
  <c r="AH49" i="17"/>
  <c r="AB26" i="17"/>
  <c r="AB30" i="17" s="1"/>
  <c r="AG28" i="23"/>
  <c r="G28" i="23"/>
  <c r="E28" i="23"/>
  <c r="P16" i="2" s="1"/>
  <c r="AD27" i="23"/>
  <c r="AJ27" i="23" s="1"/>
  <c r="AL27" i="23" s="1"/>
  <c r="AD26" i="23"/>
  <c r="G31" i="23"/>
  <c r="E31" i="23"/>
  <c r="AD30" i="23"/>
  <c r="AG23" i="23"/>
  <c r="G23" i="23"/>
  <c r="E23" i="23"/>
  <c r="P15" i="2" s="1"/>
  <c r="AD22" i="23"/>
  <c r="AJ22" i="23" s="1"/>
  <c r="AL22" i="23" s="1"/>
  <c r="AD21" i="23"/>
  <c r="AJ21" i="23" s="1"/>
  <c r="AL21" i="23" s="1"/>
  <c r="AD20" i="23"/>
  <c r="AJ20" i="23" s="1"/>
  <c r="AL20" i="23" s="1"/>
  <c r="AA20" i="3"/>
  <c r="AA22" i="22"/>
  <c r="AG22" i="22" s="1"/>
  <c r="AI22" i="22" s="1"/>
  <c r="AA19" i="22"/>
  <c r="AG19" i="22" s="1"/>
  <c r="AI19" i="22" s="1"/>
  <c r="D23" i="22"/>
  <c r="B23" i="22"/>
  <c r="L17" i="2" s="1"/>
  <c r="D52" i="18"/>
  <c r="D17" i="2" s="1"/>
  <c r="F52" i="18"/>
  <c r="H52" i="18"/>
  <c r="J52" i="18"/>
  <c r="D44" i="18"/>
  <c r="D16" i="2" s="1"/>
  <c r="F44" i="18"/>
  <c r="H44" i="18"/>
  <c r="J44" i="18"/>
  <c r="B20" i="22"/>
  <c r="L15" i="2" s="1"/>
  <c r="D20" i="22"/>
  <c r="AB52" i="16"/>
  <c r="AB49" i="16"/>
  <c r="AB29" i="16"/>
  <c r="AB28" i="16"/>
  <c r="AH28" i="16" s="1"/>
  <c r="AJ28" i="16" s="1"/>
  <c r="AB25" i="16"/>
  <c r="AB24" i="16"/>
  <c r="AB23" i="16"/>
  <c r="AB22" i="16"/>
  <c r="AB21" i="16"/>
  <c r="G26" i="16"/>
  <c r="E26" i="16"/>
  <c r="C26" i="16"/>
  <c r="C30" i="16" s="1"/>
  <c r="AL40" i="25"/>
  <c r="AN40" i="25" s="1"/>
  <c r="AL39" i="25"/>
  <c r="AN39" i="25" s="1"/>
  <c r="AL38" i="25"/>
  <c r="AL36" i="25"/>
  <c r="AL35" i="25"/>
  <c r="AL33" i="25"/>
  <c r="AN33" i="25" s="1"/>
  <c r="AL32" i="25"/>
  <c r="AL31" i="25"/>
  <c r="AL29" i="25"/>
  <c r="AL27" i="25"/>
  <c r="AL26" i="25"/>
  <c r="AL25" i="25"/>
  <c r="AL24" i="25"/>
  <c r="AL22" i="25"/>
  <c r="AL20" i="25"/>
  <c r="AL18" i="25"/>
  <c r="AL58" i="24"/>
  <c r="AN58" i="24" s="1"/>
  <c r="AL57" i="24"/>
  <c r="AN57" i="24" s="1"/>
  <c r="AL54" i="24"/>
  <c r="AN54" i="24" s="1"/>
  <c r="AL53" i="24"/>
  <c r="AL51" i="24"/>
  <c r="AN51" i="24" s="1"/>
  <c r="AL49" i="24"/>
  <c r="AL45" i="24"/>
  <c r="AN45" i="24" s="1"/>
  <c r="AL44" i="24"/>
  <c r="AN44" i="24" s="1"/>
  <c r="AL42" i="24"/>
  <c r="AN42" i="24" s="1"/>
  <c r="AF85" i="19"/>
  <c r="AE103" i="16" s="1"/>
  <c r="AF106" i="19"/>
  <c r="AF105" i="19"/>
  <c r="AF104" i="19"/>
  <c r="AF103" i="19"/>
  <c r="AF100" i="19"/>
  <c r="AF99" i="19"/>
  <c r="AF98" i="19"/>
  <c r="AF97" i="19"/>
  <c r="AF96" i="19"/>
  <c r="AF95" i="19"/>
  <c r="AF93" i="19"/>
  <c r="AF92" i="19"/>
  <c r="AF91" i="19"/>
  <c r="AF38" i="19"/>
  <c r="AF35" i="19"/>
  <c r="AF34" i="19"/>
  <c r="AF33" i="19"/>
  <c r="AF32" i="19"/>
  <c r="AF31" i="19"/>
  <c r="AF28" i="19"/>
  <c r="AF27" i="19"/>
  <c r="AK27" i="19" s="1"/>
  <c r="AF26" i="19"/>
  <c r="AK26" i="19" s="1"/>
  <c r="AF25" i="19"/>
  <c r="AF23" i="19"/>
  <c r="AF22" i="19"/>
  <c r="AF21" i="19"/>
  <c r="AF18" i="19"/>
  <c r="AE90" i="16"/>
  <c r="AE67" i="16"/>
  <c r="D82" i="19"/>
  <c r="C100" i="16" s="1"/>
  <c r="D81" i="19"/>
  <c r="D80" i="19"/>
  <c r="C98" i="16" s="1"/>
  <c r="D79" i="19"/>
  <c r="C97" i="16" s="1"/>
  <c r="D78" i="19"/>
  <c r="C96" i="16" s="1"/>
  <c r="D77" i="19"/>
  <c r="D76" i="19"/>
  <c r="C94" i="16" s="1"/>
  <c r="D74" i="19"/>
  <c r="C92" i="16" s="1"/>
  <c r="D73" i="19"/>
  <c r="C91" i="16" s="1"/>
  <c r="D72" i="19"/>
  <c r="D70" i="19"/>
  <c r="C88" i="16" s="1"/>
  <c r="D69" i="19"/>
  <c r="C87" i="16" s="1"/>
  <c r="D68" i="19"/>
  <c r="D67" i="19"/>
  <c r="C85" i="16" s="1"/>
  <c r="D66" i="19"/>
  <c r="C84" i="16" s="1"/>
  <c r="D65" i="19"/>
  <c r="C83" i="16" s="1"/>
  <c r="D63" i="19"/>
  <c r="C81" i="16" s="1"/>
  <c r="C80" i="16"/>
  <c r="C79" i="16"/>
  <c r="C78" i="16"/>
  <c r="D58" i="19"/>
  <c r="C76" i="16" s="1"/>
  <c r="D57" i="19"/>
  <c r="C75" i="16" s="1"/>
  <c r="D56" i="19"/>
  <c r="C74" i="16" s="1"/>
  <c r="D55" i="19"/>
  <c r="C73" i="16" s="1"/>
  <c r="D54" i="19"/>
  <c r="C72" i="16" s="1"/>
  <c r="D53" i="19"/>
  <c r="C71" i="16" s="1"/>
  <c r="D50" i="19"/>
  <c r="D49" i="19"/>
  <c r="D48" i="19"/>
  <c r="C65" i="16" s="1"/>
  <c r="D47" i="19"/>
  <c r="D45" i="19"/>
  <c r="C61" i="16" s="1"/>
  <c r="Z39" i="19"/>
  <c r="I55" i="17"/>
  <c r="I57" i="17" s="1"/>
  <c r="G55" i="17"/>
  <c r="G57" i="17" s="1"/>
  <c r="E55" i="17"/>
  <c r="E57" i="17" s="1"/>
  <c r="D38" i="19"/>
  <c r="D35" i="19"/>
  <c r="C46" i="16" s="1"/>
  <c r="D34" i="19"/>
  <c r="C45" i="16" s="1"/>
  <c r="D33" i="19"/>
  <c r="C44" i="16" s="1"/>
  <c r="D32" i="19"/>
  <c r="C43" i="16" s="1"/>
  <c r="D31" i="19"/>
  <c r="C42" i="16" s="1"/>
  <c r="D28" i="19"/>
  <c r="C39" i="16" s="1"/>
  <c r="D27" i="19"/>
  <c r="C38" i="16" s="1"/>
  <c r="D26" i="19"/>
  <c r="C37" i="16" s="1"/>
  <c r="D25" i="19"/>
  <c r="C36" i="16" s="1"/>
  <c r="D23" i="19"/>
  <c r="C34" i="16" s="1"/>
  <c r="D22" i="19"/>
  <c r="C33" i="16" s="1"/>
  <c r="D21" i="19"/>
  <c r="C32" i="16" s="1"/>
  <c r="I30" i="16"/>
  <c r="AH116" i="20"/>
  <c r="AK37" i="20"/>
  <c r="AM37" i="20" s="1"/>
  <c r="AK34" i="20"/>
  <c r="AM34" i="20" s="1"/>
  <c r="AK33" i="20"/>
  <c r="AM33" i="20" s="1"/>
  <c r="AK32" i="20"/>
  <c r="AM32" i="20" s="1"/>
  <c r="AK31" i="20"/>
  <c r="AM31" i="20" s="1"/>
  <c r="AA19" i="3"/>
  <c r="AK27" i="20"/>
  <c r="AM27" i="20" s="1"/>
  <c r="AK26" i="20"/>
  <c r="AK25" i="20"/>
  <c r="AK24" i="20"/>
  <c r="AM24" i="20" s="1"/>
  <c r="AK22" i="20"/>
  <c r="AM22" i="20" s="1"/>
  <c r="AK21" i="20"/>
  <c r="AM21" i="20" s="1"/>
  <c r="C88" i="17"/>
  <c r="C87" i="17"/>
  <c r="C81" i="17"/>
  <c r="E21" i="8"/>
  <c r="C54" i="16" l="1"/>
  <c r="H17" i="2"/>
  <c r="I22" i="13"/>
  <c r="AD14" i="2"/>
  <c r="B25" i="22"/>
  <c r="B47" i="22" s="1"/>
  <c r="B58" i="22" s="1"/>
  <c r="AH22" i="16"/>
  <c r="AJ22" i="16" s="1"/>
  <c r="AH23" i="16"/>
  <c r="AJ23" i="16" s="1"/>
  <c r="AH29" i="16"/>
  <c r="AJ29" i="16" s="1"/>
  <c r="AH21" i="16"/>
  <c r="AJ21" i="16" s="1"/>
  <c r="AH25" i="16"/>
  <c r="AJ25" i="16" s="1"/>
  <c r="AH24" i="16"/>
  <c r="AJ24" i="16" s="1"/>
  <c r="AH49" i="16"/>
  <c r="D25" i="22"/>
  <c r="E30" i="16"/>
  <c r="AL41" i="25"/>
  <c r="AN41" i="25" s="1"/>
  <c r="G30" i="16"/>
  <c r="AH47" i="17"/>
  <c r="AJ47" i="17" s="1"/>
  <c r="AB27" i="16"/>
  <c r="AE27" i="16"/>
  <c r="Z41" i="19"/>
  <c r="C55" i="16"/>
  <c r="C47" i="16"/>
  <c r="AB46" i="16"/>
  <c r="G40" i="16"/>
  <c r="AJ30" i="23"/>
  <c r="AL30" i="23" s="1"/>
  <c r="AD31" i="23"/>
  <c r="G47" i="16"/>
  <c r="C40" i="16"/>
  <c r="E40" i="16"/>
  <c r="E47" i="16"/>
  <c r="AB43" i="16"/>
  <c r="E55" i="16"/>
  <c r="G55" i="16"/>
  <c r="AE66" i="16"/>
  <c r="AE78" i="16"/>
  <c r="AE87" i="16"/>
  <c r="AE92" i="16"/>
  <c r="AE100" i="16"/>
  <c r="AE39" i="16"/>
  <c r="AE45" i="16"/>
  <c r="AK30" i="20"/>
  <c r="AE35" i="20"/>
  <c r="AE76" i="16"/>
  <c r="AE81" i="16"/>
  <c r="AE91" i="16"/>
  <c r="AE33" i="16"/>
  <c r="AE38" i="16"/>
  <c r="AE44" i="16"/>
  <c r="AE54" i="16"/>
  <c r="AE64" i="16"/>
  <c r="AE80" i="16"/>
  <c r="AE85" i="16"/>
  <c r="AE98" i="16"/>
  <c r="AE32" i="16"/>
  <c r="AE37" i="16"/>
  <c r="AE43" i="16"/>
  <c r="AB34" i="16"/>
  <c r="AE28" i="20"/>
  <c r="AB38" i="16"/>
  <c r="AE38" i="20"/>
  <c r="AB37" i="16"/>
  <c r="AB45" i="16"/>
  <c r="AB51" i="16"/>
  <c r="AE96" i="16"/>
  <c r="AE34" i="16"/>
  <c r="AE86" i="16"/>
  <c r="AE79" i="16"/>
  <c r="AE84" i="16"/>
  <c r="AE88" i="16"/>
  <c r="AE97" i="16"/>
  <c r="AE36" i="16"/>
  <c r="AE46" i="16"/>
  <c r="AB39" i="16"/>
  <c r="AB53" i="16"/>
  <c r="AB33" i="16"/>
  <c r="AB54" i="16"/>
  <c r="C64" i="16"/>
  <c r="AB64" i="16" s="1"/>
  <c r="AE93" i="16"/>
  <c r="AE83" i="16"/>
  <c r="AC21" i="19"/>
  <c r="AI21" i="19" s="1"/>
  <c r="AK21" i="19" s="1"/>
  <c r="AC26" i="19"/>
  <c r="AI26" i="19" s="1"/>
  <c r="AB52" i="17"/>
  <c r="AB55" i="17" s="1"/>
  <c r="C55" i="17"/>
  <c r="C57" i="17" s="1"/>
  <c r="AC28" i="19"/>
  <c r="AI28" i="19" s="1"/>
  <c r="AK28" i="19" s="1"/>
  <c r="AC25" i="19"/>
  <c r="AI25" i="19" s="1"/>
  <c r="AK25" i="19" s="1"/>
  <c r="AC35" i="19"/>
  <c r="AI35" i="19" s="1"/>
  <c r="AK35" i="19" s="1"/>
  <c r="D39" i="19"/>
  <c r="AC27" i="19"/>
  <c r="AI27" i="19" s="1"/>
  <c r="AC23" i="19"/>
  <c r="AI23" i="19" s="1"/>
  <c r="AK23" i="19" s="1"/>
  <c r="AC34" i="19"/>
  <c r="AI34" i="19" s="1"/>
  <c r="AK34" i="19" s="1"/>
  <c r="AC38" i="19"/>
  <c r="AI38" i="19" s="1"/>
  <c r="AK38" i="19" s="1"/>
  <c r="I55" i="16"/>
  <c r="AB44" i="16"/>
  <c r="AF36" i="19"/>
  <c r="AD16" i="2" s="1"/>
  <c r="AE42" i="16"/>
  <c r="AC33" i="19"/>
  <c r="AI33" i="19" s="1"/>
  <c r="AK33" i="19" s="1"/>
  <c r="AF117" i="19"/>
  <c r="AC31" i="19"/>
  <c r="AI31" i="19" s="1"/>
  <c r="AK31" i="19" s="1"/>
  <c r="D36" i="19"/>
  <c r="H16" i="2" s="1"/>
  <c r="AB32" i="16"/>
  <c r="AF39" i="19"/>
  <c r="AD17" i="2" s="1"/>
  <c r="D29" i="19"/>
  <c r="H15" i="2" s="1"/>
  <c r="AF101" i="19"/>
  <c r="AF108" i="19" s="1"/>
  <c r="AB36" i="16"/>
  <c r="AC32" i="19"/>
  <c r="AI32" i="19" s="1"/>
  <c r="AK32" i="19" s="1"/>
  <c r="AF29" i="19"/>
  <c r="AB50" i="16"/>
  <c r="AH26" i="17"/>
  <c r="AJ26" i="17" s="1"/>
  <c r="AH40" i="17"/>
  <c r="AJ40" i="17" s="1"/>
  <c r="AH52" i="16"/>
  <c r="AJ52" i="16" s="1"/>
  <c r="G33" i="23"/>
  <c r="E33" i="23"/>
  <c r="AG33" i="23"/>
  <c r="AD28" i="23"/>
  <c r="AJ26" i="23"/>
  <c r="AL26" i="23" s="1"/>
  <c r="AD23" i="23"/>
  <c r="AA20" i="22"/>
  <c r="AA23" i="22"/>
  <c r="AB26" i="16"/>
  <c r="AL59" i="24"/>
  <c r="AL43" i="24"/>
  <c r="AN43" i="24" s="1"/>
  <c r="AL47" i="24"/>
  <c r="AN47" i="24" s="1"/>
  <c r="AL50" i="24"/>
  <c r="AN50" i="24" s="1"/>
  <c r="AL40" i="24"/>
  <c r="AN40" i="24" s="1"/>
  <c r="AL36" i="24"/>
  <c r="AN36" i="24" s="1"/>
  <c r="AL38" i="24"/>
  <c r="AN38" i="24" s="1"/>
  <c r="AC22" i="19"/>
  <c r="AI22" i="19" s="1"/>
  <c r="AK22" i="19" s="1"/>
  <c r="AK16" i="20"/>
  <c r="AM16" i="20" s="1"/>
  <c r="AK20" i="20"/>
  <c r="AC18" i="19"/>
  <c r="J17" i="3"/>
  <c r="AC51" i="18"/>
  <c r="AI51" i="18" s="1"/>
  <c r="AI50" i="18"/>
  <c r="AK50" i="18" s="1"/>
  <c r="AC49" i="18"/>
  <c r="AI49" i="18" s="1"/>
  <c r="AI48" i="18"/>
  <c r="AK48" i="18" s="1"/>
  <c r="AI47" i="18"/>
  <c r="AK47" i="18" s="1"/>
  <c r="AC46" i="18"/>
  <c r="AC43" i="18"/>
  <c r="AI43" i="18" s="1"/>
  <c r="AI42" i="18"/>
  <c r="AK42" i="18" s="1"/>
  <c r="AI41" i="18"/>
  <c r="AK41" i="18" s="1"/>
  <c r="AI40" i="18"/>
  <c r="AK40" i="18" s="1"/>
  <c r="AI39" i="18"/>
  <c r="AK39" i="18" s="1"/>
  <c r="AC36" i="18"/>
  <c r="AI36" i="18" s="1"/>
  <c r="AC35" i="18"/>
  <c r="AI35" i="18" s="1"/>
  <c r="AI34" i="18"/>
  <c r="AK34" i="18" s="1"/>
  <c r="AC33" i="18"/>
  <c r="AI33" i="18" s="1"/>
  <c r="AI32" i="18"/>
  <c r="AK32" i="18" s="1"/>
  <c r="AC31" i="18"/>
  <c r="AI31" i="18" s="1"/>
  <c r="AI30" i="18"/>
  <c r="AK30" i="18" s="1"/>
  <c r="AI25" i="18"/>
  <c r="AK25" i="18" s="1"/>
  <c r="AI23" i="18"/>
  <c r="AK23" i="18" s="1"/>
  <c r="AI22" i="18"/>
  <c r="AK22" i="18" s="1"/>
  <c r="AI21" i="18"/>
  <c r="AK21" i="18" s="1"/>
  <c r="AI20" i="18"/>
  <c r="AK20" i="18" s="1"/>
  <c r="AF37" i="18"/>
  <c r="AA18" i="3" s="1"/>
  <c r="Z37" i="18"/>
  <c r="X37" i="18"/>
  <c r="V37" i="18"/>
  <c r="T37" i="18"/>
  <c r="R37" i="18"/>
  <c r="P37" i="18"/>
  <c r="N37" i="18"/>
  <c r="L37" i="18"/>
  <c r="J37" i="18"/>
  <c r="H37" i="18"/>
  <c r="F37" i="18"/>
  <c r="Z24" i="18"/>
  <c r="Z28" i="18" s="1"/>
  <c r="X24" i="18"/>
  <c r="X28" i="18" s="1"/>
  <c r="V24" i="18"/>
  <c r="T24" i="18"/>
  <c r="T28" i="18" s="1"/>
  <c r="R24" i="18"/>
  <c r="R28" i="18" s="1"/>
  <c r="P24" i="18"/>
  <c r="P28" i="18" s="1"/>
  <c r="N24" i="18"/>
  <c r="N28" i="18" s="1"/>
  <c r="L24" i="18"/>
  <c r="L28" i="18" s="1"/>
  <c r="J24" i="18"/>
  <c r="J28" i="18" s="1"/>
  <c r="H24" i="18"/>
  <c r="H28" i="18" s="1"/>
  <c r="F24" i="18"/>
  <c r="F28" i="18" s="1"/>
  <c r="AA15" i="3"/>
  <c r="Y15" i="3"/>
  <c r="F15" i="3"/>
  <c r="F14" i="3"/>
  <c r="D15" i="3"/>
  <c r="AB100" i="17"/>
  <c r="AE101" i="17"/>
  <c r="Y101" i="17"/>
  <c r="W101" i="17"/>
  <c r="U101" i="17"/>
  <c r="S101" i="17"/>
  <c r="Q101" i="17"/>
  <c r="O101" i="17"/>
  <c r="Y101" i="16"/>
  <c r="Y105" i="16" s="1"/>
  <c r="U101" i="16"/>
  <c r="S101" i="16"/>
  <c r="Q101" i="16"/>
  <c r="O101" i="16"/>
  <c r="M101" i="16"/>
  <c r="AH52" i="21"/>
  <c r="Z52" i="21"/>
  <c r="Z56" i="21" s="1"/>
  <c r="X52" i="21"/>
  <c r="V52" i="21"/>
  <c r="V56" i="21" s="1"/>
  <c r="T52" i="21"/>
  <c r="T56" i="21" s="1"/>
  <c r="R52" i="21"/>
  <c r="R56" i="21" s="1"/>
  <c r="P52" i="21"/>
  <c r="P56" i="21" s="1"/>
  <c r="N56" i="21"/>
  <c r="J52" i="21"/>
  <c r="J56" i="21" s="1"/>
  <c r="H56" i="21"/>
  <c r="F52" i="21"/>
  <c r="F56" i="21" s="1"/>
  <c r="D52" i="21"/>
  <c r="D56" i="21" s="1"/>
  <c r="AH82" i="20"/>
  <c r="Z82" i="20"/>
  <c r="X82" i="20"/>
  <c r="V82" i="20"/>
  <c r="T82" i="20"/>
  <c r="L82" i="20"/>
  <c r="H82" i="20"/>
  <c r="F82" i="20"/>
  <c r="D82" i="20"/>
  <c r="H21" i="3" s="1"/>
  <c r="Z83" i="19"/>
  <c r="AF89" i="18"/>
  <c r="Z89" i="18"/>
  <c r="X89" i="18"/>
  <c r="V89" i="18"/>
  <c r="T89" i="18"/>
  <c r="R89" i="18"/>
  <c r="P89" i="18"/>
  <c r="N89" i="18"/>
  <c r="L89" i="18"/>
  <c r="J89" i="18"/>
  <c r="H89" i="18"/>
  <c r="F89" i="18"/>
  <c r="AA45" i="25"/>
  <c r="Y45" i="25"/>
  <c r="W45" i="25"/>
  <c r="S45" i="25"/>
  <c r="Q45" i="25"/>
  <c r="O45" i="25"/>
  <c r="M45" i="25"/>
  <c r="K45" i="25"/>
  <c r="I45" i="25"/>
  <c r="G45" i="25"/>
  <c r="E45" i="25"/>
  <c r="AI60" i="24"/>
  <c r="AF60" i="24"/>
  <c r="AA60" i="24"/>
  <c r="Y60" i="24"/>
  <c r="W60" i="24"/>
  <c r="S60" i="24"/>
  <c r="Q60" i="24"/>
  <c r="O60" i="24"/>
  <c r="M60" i="24"/>
  <c r="K60" i="24"/>
  <c r="I60" i="24"/>
  <c r="G60" i="24"/>
  <c r="E60" i="24"/>
  <c r="J20" i="3" l="1"/>
  <c r="G23" i="11"/>
  <c r="I23" i="11" s="1"/>
  <c r="J19" i="3"/>
  <c r="G22" i="11"/>
  <c r="I22" i="11" s="1"/>
  <c r="J18" i="3"/>
  <c r="G21" i="11"/>
  <c r="I21" i="11" s="1"/>
  <c r="V28" i="18"/>
  <c r="V14" i="2" s="1"/>
  <c r="G23" i="14"/>
  <c r="AK35" i="20"/>
  <c r="AM35" i="20" s="1"/>
  <c r="AM30" i="20"/>
  <c r="AK28" i="20"/>
  <c r="AM28" i="20" s="1"/>
  <c r="AM20" i="20"/>
  <c r="AH56" i="21"/>
  <c r="AM52" i="21"/>
  <c r="AF41" i="19"/>
  <c r="AF87" i="19" s="1"/>
  <c r="AF111" i="19" s="1"/>
  <c r="AF121" i="19" s="1"/>
  <c r="AF123" i="19" s="1"/>
  <c r="G20" i="10"/>
  <c r="D86" i="20"/>
  <c r="X56" i="21"/>
  <c r="AA25" i="22"/>
  <c r="AI19" i="18"/>
  <c r="AK19" i="18" s="1"/>
  <c r="AC24" i="18"/>
  <c r="AC28" i="18" s="1"/>
  <c r="AB30" i="16"/>
  <c r="AH26" i="16"/>
  <c r="AJ26" i="16" s="1"/>
  <c r="AH38" i="16"/>
  <c r="AJ38" i="16" s="1"/>
  <c r="AI29" i="19"/>
  <c r="AK29" i="19" s="1"/>
  <c r="AI27" i="18"/>
  <c r="AK27" i="18" s="1"/>
  <c r="AH27" i="16"/>
  <c r="AJ27" i="16" s="1"/>
  <c r="AE30" i="16"/>
  <c r="Z87" i="19"/>
  <c r="AH30" i="17"/>
  <c r="AJ30" i="17" s="1"/>
  <c r="AB57" i="17"/>
  <c r="AH57" i="17" s="1"/>
  <c r="AJ57" i="17" s="1"/>
  <c r="C57" i="16"/>
  <c r="AH37" i="16"/>
  <c r="AJ37" i="16" s="1"/>
  <c r="AH39" i="16"/>
  <c r="AJ39" i="16" s="1"/>
  <c r="AH46" i="16"/>
  <c r="AJ46" i="16" s="1"/>
  <c r="AI26" i="18"/>
  <c r="AK26" i="18" s="1"/>
  <c r="L86" i="20"/>
  <c r="AH54" i="16"/>
  <c r="AJ54" i="16" s="1"/>
  <c r="AH51" i="16"/>
  <c r="AJ51" i="16" s="1"/>
  <c r="E57" i="16"/>
  <c r="G57" i="16"/>
  <c r="AH33" i="16"/>
  <c r="AJ33" i="16" s="1"/>
  <c r="AH43" i="16"/>
  <c r="AJ43" i="16" s="1"/>
  <c r="AE47" i="16"/>
  <c r="AH53" i="16"/>
  <c r="AJ53" i="16" s="1"/>
  <c r="AE55" i="16"/>
  <c r="AH36" i="16"/>
  <c r="AJ36" i="16" s="1"/>
  <c r="AE40" i="16"/>
  <c r="AH45" i="16"/>
  <c r="AJ45" i="16" s="1"/>
  <c r="AH34" i="16"/>
  <c r="AJ34" i="16" s="1"/>
  <c r="AE40" i="20"/>
  <c r="AH44" i="16"/>
  <c r="AJ44" i="16" s="1"/>
  <c r="AK38" i="20"/>
  <c r="V86" i="20"/>
  <c r="AI45" i="25"/>
  <c r="H54" i="18"/>
  <c r="H93" i="18" s="1"/>
  <c r="R54" i="18"/>
  <c r="R93" i="18" s="1"/>
  <c r="Z54" i="18"/>
  <c r="Z93" i="18" s="1"/>
  <c r="F54" i="18"/>
  <c r="F93" i="18" s="1"/>
  <c r="AD15" i="2"/>
  <c r="P54" i="18"/>
  <c r="P93" i="18" s="1"/>
  <c r="X54" i="18"/>
  <c r="X93" i="18" s="1"/>
  <c r="D54" i="18"/>
  <c r="L54" i="18"/>
  <c r="L93" i="18" s="1"/>
  <c r="T54" i="18"/>
  <c r="T93" i="18" s="1"/>
  <c r="N54" i="18"/>
  <c r="N93" i="18" s="1"/>
  <c r="AI44" i="18"/>
  <c r="AI46" i="18"/>
  <c r="AC52" i="18"/>
  <c r="G23" i="9" s="1"/>
  <c r="AC44" i="18"/>
  <c r="G22" i="9" s="1"/>
  <c r="AI36" i="19"/>
  <c r="AK36" i="19" s="1"/>
  <c r="Z86" i="20"/>
  <c r="P86" i="20"/>
  <c r="T86" i="20"/>
  <c r="AH52" i="17"/>
  <c r="AJ52" i="17" s="1"/>
  <c r="AG23" i="22"/>
  <c r="AI23" i="22" s="1"/>
  <c r="G22" i="12"/>
  <c r="N17" i="2"/>
  <c r="AG20" i="22"/>
  <c r="AI20" i="22" s="1"/>
  <c r="G21" i="12"/>
  <c r="N15" i="2"/>
  <c r="S23" i="14"/>
  <c r="F86" i="20"/>
  <c r="N86" i="20"/>
  <c r="AH86" i="20"/>
  <c r="X86" i="20"/>
  <c r="D41" i="19"/>
  <c r="AC36" i="19"/>
  <c r="J16" i="2" s="1"/>
  <c r="AB55" i="16"/>
  <c r="AH50" i="16"/>
  <c r="AJ50" i="16" s="1"/>
  <c r="R86" i="20"/>
  <c r="I40" i="16"/>
  <c r="AB40" i="16"/>
  <c r="AH32" i="16"/>
  <c r="AJ32" i="16" s="1"/>
  <c r="I47" i="16"/>
  <c r="AB42" i="16"/>
  <c r="H86" i="20"/>
  <c r="AJ23" i="23"/>
  <c r="AL23" i="23" s="1"/>
  <c r="R15" i="2"/>
  <c r="AJ31" i="23"/>
  <c r="AL31" i="23" s="1"/>
  <c r="R17" i="2"/>
  <c r="R16" i="2"/>
  <c r="W105" i="17"/>
  <c r="O105" i="17"/>
  <c r="S64" i="24"/>
  <c r="Q64" i="24"/>
  <c r="E64" i="24"/>
  <c r="M64" i="24"/>
  <c r="K64" i="24"/>
  <c r="AA64" i="24"/>
  <c r="I64" i="24"/>
  <c r="Y64" i="24"/>
  <c r="G64" i="24"/>
  <c r="O64" i="24"/>
  <c r="W64" i="24"/>
  <c r="AI64" i="24"/>
  <c r="U105" i="17"/>
  <c r="Q105" i="17"/>
  <c r="Y105" i="17"/>
  <c r="S105" i="17"/>
  <c r="AE105" i="17"/>
  <c r="AE131" i="17" s="1"/>
  <c r="AE141" i="17" s="1"/>
  <c r="AD33" i="23"/>
  <c r="AJ33" i="23" s="1"/>
  <c r="AL33" i="23" s="1"/>
  <c r="AJ28" i="23"/>
  <c r="AL28" i="23" s="1"/>
  <c r="AE101" i="16"/>
  <c r="M105" i="16"/>
  <c r="U105" i="16"/>
  <c r="S105" i="16"/>
  <c r="Q105" i="16"/>
  <c r="O105" i="16"/>
  <c r="AL60" i="24"/>
  <c r="AN60" i="24" s="1"/>
  <c r="AI39" i="19"/>
  <c r="AK39" i="19" s="1"/>
  <c r="J14" i="2"/>
  <c r="AI18" i="19"/>
  <c r="AK18" i="19" s="1"/>
  <c r="J86" i="20"/>
  <c r="AC39" i="19"/>
  <c r="J17" i="2" s="1"/>
  <c r="AC29" i="19"/>
  <c r="J15" i="2" s="1"/>
  <c r="AF54" i="18"/>
  <c r="AF93" i="18" s="1"/>
  <c r="AI37" i="18"/>
  <c r="J54" i="18"/>
  <c r="J93" i="18" s="1"/>
  <c r="AC37" i="18"/>
  <c r="G21" i="9" s="1"/>
  <c r="AB65" i="17"/>
  <c r="AB73" i="17"/>
  <c r="AB78" i="17"/>
  <c r="AB84" i="17"/>
  <c r="AB92" i="17"/>
  <c r="AB96" i="17"/>
  <c r="G101" i="17"/>
  <c r="AB64" i="17"/>
  <c r="AB72" i="17"/>
  <c r="AB76" i="17"/>
  <c r="AB81" i="17"/>
  <c r="AB88" i="17"/>
  <c r="AB95" i="17"/>
  <c r="AB62" i="17"/>
  <c r="AB75" i="17"/>
  <c r="AB80" i="17"/>
  <c r="AB87" i="17"/>
  <c r="AB94" i="17"/>
  <c r="AB98" i="17"/>
  <c r="AB61" i="17"/>
  <c r="AB69" i="17"/>
  <c r="AB74" i="17"/>
  <c r="AB79" i="17"/>
  <c r="AB85" i="17"/>
  <c r="AB93" i="17"/>
  <c r="AB97" i="17"/>
  <c r="E101" i="17"/>
  <c r="I101" i="17"/>
  <c r="C27" i="13"/>
  <c r="C125" i="16"/>
  <c r="C134" i="17"/>
  <c r="C126" i="17"/>
  <c r="C125" i="17"/>
  <c r="C123" i="17"/>
  <c r="C122" i="17"/>
  <c r="C121" i="17"/>
  <c r="C118" i="17"/>
  <c r="C117" i="17"/>
  <c r="C116" i="17"/>
  <c r="C115" i="17"/>
  <c r="C114" i="17"/>
  <c r="C113" i="17"/>
  <c r="C111" i="17"/>
  <c r="C110" i="17"/>
  <c r="C109" i="17"/>
  <c r="C103" i="17"/>
  <c r="AA43" i="3"/>
  <c r="AA41" i="3"/>
  <c r="AA40" i="3"/>
  <c r="AA39" i="3"/>
  <c r="AA35" i="3"/>
  <c r="AA34" i="3"/>
  <c r="AA33" i="3"/>
  <c r="AA32" i="3"/>
  <c r="V54" i="18" l="1"/>
  <c r="V93" i="18" s="1"/>
  <c r="I23" i="14"/>
  <c r="G23" i="13"/>
  <c r="AK40" i="20"/>
  <c r="AM40" i="20" s="1"/>
  <c r="AM38" i="20"/>
  <c r="I20" i="10"/>
  <c r="G23" i="10"/>
  <c r="G22" i="10"/>
  <c r="W101" i="16"/>
  <c r="W105" i="16" s="1"/>
  <c r="AC54" i="18"/>
  <c r="AH30" i="16"/>
  <c r="AJ30" i="16" s="1"/>
  <c r="G20" i="9"/>
  <c r="AI24" i="18"/>
  <c r="AG25" i="22"/>
  <c r="AI25" i="22" s="1"/>
  <c r="AE57" i="16"/>
  <c r="AI52" i="18"/>
  <c r="G21" i="10"/>
  <c r="T33" i="11"/>
  <c r="C33" i="10"/>
  <c r="C37" i="13"/>
  <c r="C40" i="13" s="1"/>
  <c r="C41" i="7"/>
  <c r="I23" i="9"/>
  <c r="I21" i="9"/>
  <c r="I22" i="9"/>
  <c r="AH55" i="17"/>
  <c r="AJ55" i="17" s="1"/>
  <c r="I22" i="12"/>
  <c r="I21" i="12"/>
  <c r="I57" i="16"/>
  <c r="AH42" i="16"/>
  <c r="AJ42" i="16" s="1"/>
  <c r="AB47" i="16"/>
  <c r="AB57" i="16" s="1"/>
  <c r="AH40" i="16"/>
  <c r="AJ40" i="16" s="1"/>
  <c r="AH55" i="16"/>
  <c r="AJ55" i="16" s="1"/>
  <c r="AI41" i="19"/>
  <c r="AK41" i="19" s="1"/>
  <c r="AC41" i="19"/>
  <c r="G105" i="17"/>
  <c r="E105" i="17"/>
  <c r="I105" i="17"/>
  <c r="I23" i="13" l="1"/>
  <c r="G23" i="7"/>
  <c r="I23" i="10"/>
  <c r="I21" i="10"/>
  <c r="I22" i="10"/>
  <c r="I20" i="9"/>
  <c r="AI28" i="18"/>
  <c r="AI54" i="18" s="1"/>
  <c r="AK24" i="18"/>
  <c r="C33" i="7"/>
  <c r="C35" i="10"/>
  <c r="C39" i="10" s="1"/>
  <c r="C42" i="10" s="1"/>
  <c r="I20" i="12"/>
  <c r="G20" i="7"/>
  <c r="AH47" i="16"/>
  <c r="AJ47" i="16" s="1"/>
  <c r="AK114" i="20"/>
  <c r="AM114" i="20" s="1"/>
  <c r="J52" i="3"/>
  <c r="I23" i="7" l="1"/>
  <c r="I20" i="7"/>
  <c r="AK28" i="18"/>
  <c r="AH57" i="16"/>
  <c r="AJ57" i="16" s="1"/>
  <c r="I34" i="11"/>
  <c r="AA31" i="3"/>
  <c r="AA29" i="3"/>
  <c r="AA28" i="3"/>
  <c r="AA27" i="3"/>
  <c r="AA22" i="3"/>
  <c r="AH100" i="17"/>
  <c r="AJ100" i="17" s="1"/>
  <c r="AH98" i="17"/>
  <c r="AJ98" i="17" s="1"/>
  <c r="AH97" i="17"/>
  <c r="AJ97" i="17" s="1"/>
  <c r="AH96" i="17"/>
  <c r="AJ96" i="17" s="1"/>
  <c r="AH95" i="17"/>
  <c r="AJ95" i="17" s="1"/>
  <c r="AH94" i="17"/>
  <c r="AJ94" i="17" s="1"/>
  <c r="AH93" i="17"/>
  <c r="AJ93" i="17" s="1"/>
  <c r="AH92" i="17"/>
  <c r="AJ92" i="17" s="1"/>
  <c r="AH88" i="17"/>
  <c r="AJ88" i="17" s="1"/>
  <c r="AH87" i="17"/>
  <c r="AJ87" i="17" s="1"/>
  <c r="AH85" i="17"/>
  <c r="AJ85" i="17" s="1"/>
  <c r="AH84" i="17"/>
  <c r="AJ84" i="17" s="1"/>
  <c r="AH81" i="17"/>
  <c r="AJ81" i="17" s="1"/>
  <c r="AH80" i="17"/>
  <c r="AJ80" i="17" s="1"/>
  <c r="AH79" i="17"/>
  <c r="AJ79" i="17" s="1"/>
  <c r="AH78" i="17"/>
  <c r="AJ78" i="17" s="1"/>
  <c r="AH76" i="17"/>
  <c r="AJ76" i="17" s="1"/>
  <c r="AH75" i="17"/>
  <c r="AJ75" i="17" s="1"/>
  <c r="AH74" i="17"/>
  <c r="AJ74" i="17" s="1"/>
  <c r="AH73" i="17"/>
  <c r="AJ73" i="17" s="1"/>
  <c r="AH72" i="17"/>
  <c r="AJ72" i="17" s="1"/>
  <c r="AH71" i="17"/>
  <c r="AJ71" i="17" s="1"/>
  <c r="AH69" i="17"/>
  <c r="AJ69" i="17" s="1"/>
  <c r="AH65" i="17"/>
  <c r="AJ65" i="17" s="1"/>
  <c r="AH64" i="17"/>
  <c r="AJ64" i="17" s="1"/>
  <c r="AH62" i="17"/>
  <c r="AJ62" i="17" s="1"/>
  <c r="AH61" i="17"/>
  <c r="AJ61" i="17" s="1"/>
  <c r="AK51" i="21" l="1"/>
  <c r="AK50" i="21"/>
  <c r="AK48" i="21"/>
  <c r="AK47" i="21"/>
  <c r="AM47" i="21" s="1"/>
  <c r="AK46" i="21"/>
  <c r="AM46" i="21" s="1"/>
  <c r="AK45" i="21"/>
  <c r="AK44" i="21"/>
  <c r="AK43" i="21"/>
  <c r="AK42" i="21"/>
  <c r="AK41" i="21"/>
  <c r="AM41" i="21" s="1"/>
  <c r="AK39" i="21"/>
  <c r="AK38" i="21"/>
  <c r="AK37" i="21"/>
  <c r="AK36" i="21"/>
  <c r="AK35" i="21"/>
  <c r="AK34" i="21"/>
  <c r="AK32" i="21"/>
  <c r="AK30" i="21"/>
  <c r="AK29" i="21"/>
  <c r="AK28" i="21"/>
  <c r="AK27" i="21"/>
  <c r="AK26" i="21"/>
  <c r="AK24" i="21"/>
  <c r="AK23" i="21"/>
  <c r="AK22" i="21"/>
  <c r="AK21" i="21"/>
  <c r="AM21" i="21" s="1"/>
  <c r="AK81" i="20"/>
  <c r="AM81" i="20" s="1"/>
  <c r="AK80" i="20"/>
  <c r="AM80" i="20" s="1"/>
  <c r="AK79" i="20"/>
  <c r="AM79" i="20" s="1"/>
  <c r="AK78" i="20"/>
  <c r="AM78" i="20" s="1"/>
  <c r="AK76" i="20"/>
  <c r="AM76" i="20" s="1"/>
  <c r="AK75" i="20"/>
  <c r="AM75" i="20" s="1"/>
  <c r="AK74" i="20"/>
  <c r="AK73" i="20"/>
  <c r="AM73" i="20" s="1"/>
  <c r="AK72" i="20"/>
  <c r="AM72" i="20" s="1"/>
  <c r="AK69" i="20"/>
  <c r="AM69" i="20" s="1"/>
  <c r="AK68" i="20"/>
  <c r="AM68" i="20" s="1"/>
  <c r="AK67" i="20"/>
  <c r="AM67" i="20" s="1"/>
  <c r="AK66" i="20"/>
  <c r="AK64" i="20"/>
  <c r="AK62" i="20"/>
  <c r="AM62" i="20" s="1"/>
  <c r="AK61" i="20"/>
  <c r="AM61" i="20" s="1"/>
  <c r="AK60" i="20"/>
  <c r="AM60" i="20" s="1"/>
  <c r="AK59" i="20"/>
  <c r="AM59" i="20" s="1"/>
  <c r="AK57" i="20"/>
  <c r="AM57" i="20" s="1"/>
  <c r="AK56" i="20"/>
  <c r="AM56" i="20" s="1"/>
  <c r="AK55" i="20"/>
  <c r="AM55" i="20" s="1"/>
  <c r="AK54" i="20"/>
  <c r="AM54" i="20" s="1"/>
  <c r="AK53" i="20"/>
  <c r="AM53" i="20" s="1"/>
  <c r="AK52" i="20"/>
  <c r="AM52" i="20" s="1"/>
  <c r="AK49" i="20"/>
  <c r="AM49" i="20" s="1"/>
  <c r="AK48" i="20"/>
  <c r="AM48" i="20" s="1"/>
  <c r="AK47" i="20"/>
  <c r="AM47" i="20" s="1"/>
  <c r="AK46" i="20"/>
  <c r="AM46" i="20" s="1"/>
  <c r="AK44" i="20"/>
  <c r="AM44" i="20" s="1"/>
  <c r="J117" i="19"/>
  <c r="AK84" i="21" l="1"/>
  <c r="AM84" i="21" s="1"/>
  <c r="AE56" i="21"/>
  <c r="AM56" i="21" s="1"/>
  <c r="AK19" i="21"/>
  <c r="G101" i="16"/>
  <c r="E101" i="16"/>
  <c r="AK71" i="20"/>
  <c r="AM71" i="20" s="1"/>
  <c r="AB81" i="16"/>
  <c r="AB73" i="16"/>
  <c r="AB97" i="16"/>
  <c r="AH64" i="16"/>
  <c r="AJ64" i="16" s="1"/>
  <c r="AB74" i="16"/>
  <c r="AB85" i="16"/>
  <c r="AB94" i="16"/>
  <c r="AB79" i="16"/>
  <c r="AB78" i="16"/>
  <c r="AB62" i="16"/>
  <c r="AB95" i="16"/>
  <c r="AB98" i="16"/>
  <c r="AB69" i="16"/>
  <c r="AB65" i="16"/>
  <c r="AB72" i="16"/>
  <c r="AB88" i="16"/>
  <c r="AB76" i="16"/>
  <c r="AB80" i="16"/>
  <c r="AB84" i="16"/>
  <c r="AB92" i="16"/>
  <c r="AB96" i="16"/>
  <c r="AB100" i="16"/>
  <c r="AB71" i="16"/>
  <c r="AH71" i="16" s="1"/>
  <c r="AJ71" i="16" s="1"/>
  <c r="AB75" i="16"/>
  <c r="AB87" i="16"/>
  <c r="J121" i="19" l="1"/>
  <c r="AH69" i="16"/>
  <c r="AJ69" i="16" s="1"/>
  <c r="AH93" i="16"/>
  <c r="AJ93" i="16" s="1"/>
  <c r="AH65" i="16"/>
  <c r="AJ65" i="16" s="1"/>
  <c r="AH100" i="16"/>
  <c r="AJ100" i="16" s="1"/>
  <c r="AH95" i="16"/>
  <c r="AJ95" i="16" s="1"/>
  <c r="AH94" i="16"/>
  <c r="AJ94" i="16" s="1"/>
  <c r="AH80" i="16"/>
  <c r="AJ80" i="16" s="1"/>
  <c r="AH79" i="16"/>
  <c r="AJ79" i="16" s="1"/>
  <c r="AH78" i="16"/>
  <c r="AJ78" i="16" s="1"/>
  <c r="AH96" i="16"/>
  <c r="AJ96" i="16" s="1"/>
  <c r="AH74" i="16"/>
  <c r="AJ74" i="16" s="1"/>
  <c r="AH62" i="16"/>
  <c r="AJ62" i="16" s="1"/>
  <c r="AH75" i="16"/>
  <c r="AJ75" i="16" s="1"/>
  <c r="AH92" i="16"/>
  <c r="AJ92" i="16" s="1"/>
  <c r="AH88" i="16"/>
  <c r="AJ88" i="16" s="1"/>
  <c r="AH98" i="16"/>
  <c r="AJ98" i="16" s="1"/>
  <c r="AH81" i="16"/>
  <c r="AJ81" i="16" s="1"/>
  <c r="AH87" i="16"/>
  <c r="AJ87" i="16" s="1"/>
  <c r="AH76" i="16"/>
  <c r="AJ76" i="16" s="1"/>
  <c r="AH73" i="16"/>
  <c r="AJ73" i="16" s="1"/>
  <c r="AH85" i="16"/>
  <c r="AJ85" i="16" s="1"/>
  <c r="AH84" i="16"/>
  <c r="AJ84" i="16" s="1"/>
  <c r="AH72" i="16"/>
  <c r="AJ72" i="16" s="1"/>
  <c r="AH97" i="16"/>
  <c r="AJ97" i="16" s="1"/>
  <c r="AK52" i="21"/>
  <c r="J21" i="3"/>
  <c r="AK82" i="20"/>
  <c r="AB61" i="16"/>
  <c r="I101" i="16"/>
  <c r="G27" i="11" l="1"/>
  <c r="K27" i="11"/>
  <c r="G24" i="10"/>
  <c r="T24" i="11"/>
  <c r="AM82" i="20"/>
  <c r="AH61" i="16"/>
  <c r="AJ61" i="16" s="1"/>
  <c r="I24" i="10" l="1"/>
  <c r="AA21" i="3"/>
  <c r="I32" i="14" l="1"/>
  <c r="O23" i="26"/>
  <c r="AA14" i="27"/>
  <c r="H44" i="5" s="1"/>
  <c r="AA17" i="27"/>
  <c r="AD19" i="27"/>
  <c r="AA25" i="27"/>
  <c r="AA26" i="27"/>
  <c r="AA27" i="27"/>
  <c r="AD29" i="27"/>
  <c r="AA40" i="27"/>
  <c r="AD42" i="27"/>
  <c r="AD33" i="28"/>
  <c r="AA32" i="28"/>
  <c r="AG32" i="28" s="1"/>
  <c r="AI32" i="28" s="1"/>
  <c r="AA31" i="28"/>
  <c r="AG31" i="28" s="1"/>
  <c r="AI31" i="28" s="1"/>
  <c r="AD25" i="28"/>
  <c r="AA24" i="28"/>
  <c r="AG24" i="28" s="1"/>
  <c r="AI24" i="28" s="1"/>
  <c r="AA23" i="28"/>
  <c r="AG23" i="28" s="1"/>
  <c r="AI23" i="28" s="1"/>
  <c r="AA22" i="28"/>
  <c r="AG22" i="28" s="1"/>
  <c r="AI22" i="28" s="1"/>
  <c r="AD17" i="28"/>
  <c r="AA16" i="28"/>
  <c r="AA13" i="28"/>
  <c r="AB16" i="26"/>
  <c r="AB19" i="26"/>
  <c r="AB20" i="26"/>
  <c r="AB21" i="26"/>
  <c r="AE23" i="26"/>
  <c r="AB29" i="26"/>
  <c r="D26" i="5"/>
  <c r="AB31" i="26"/>
  <c r="AE34" i="26"/>
  <c r="AB44" i="26"/>
  <c r="AB45" i="26"/>
  <c r="AH45" i="26" s="1"/>
  <c r="AJ45" i="26" s="1"/>
  <c r="A38" i="12"/>
  <c r="A49" i="8"/>
  <c r="A48" i="8"/>
  <c r="E41" i="8"/>
  <c r="C41" i="8"/>
  <c r="E40" i="8"/>
  <c r="C40" i="8"/>
  <c r="E33" i="8"/>
  <c r="E32" i="8"/>
  <c r="E31" i="8"/>
  <c r="E30" i="8"/>
  <c r="E29" i="8"/>
  <c r="C33" i="8"/>
  <c r="C32" i="8"/>
  <c r="C31" i="8"/>
  <c r="C30" i="8"/>
  <c r="C29" i="8"/>
  <c r="E25" i="8"/>
  <c r="C25" i="8"/>
  <c r="E24" i="8"/>
  <c r="C24" i="8"/>
  <c r="E23" i="8"/>
  <c r="E22" i="8"/>
  <c r="E20" i="8"/>
  <c r="C23" i="8"/>
  <c r="C21" i="8"/>
  <c r="C22" i="8"/>
  <c r="C20" i="8"/>
  <c r="C43" i="9"/>
  <c r="C31" i="9"/>
  <c r="C32" i="12"/>
  <c r="E34" i="8" l="1"/>
  <c r="D36" i="5"/>
  <c r="AH16" i="26"/>
  <c r="AJ16" i="26" s="1"/>
  <c r="D44" i="5"/>
  <c r="L44" i="5" s="1"/>
  <c r="S44" i="5" s="1"/>
  <c r="U44" i="5" s="1"/>
  <c r="D35" i="5"/>
  <c r="AB47" i="26"/>
  <c r="AG14" i="27"/>
  <c r="AI14" i="27" s="1"/>
  <c r="AH32" i="26"/>
  <c r="AJ32" i="26" s="1"/>
  <c r="D28" i="5"/>
  <c r="L28" i="5" s="1"/>
  <c r="S28" i="5" s="1"/>
  <c r="U28" i="5" s="1"/>
  <c r="AH31" i="26"/>
  <c r="AJ31" i="26" s="1"/>
  <c r="D27" i="5"/>
  <c r="AH30" i="26"/>
  <c r="AJ30" i="26" s="1"/>
  <c r="AH29" i="26"/>
  <c r="AJ29" i="26" s="1"/>
  <c r="D25" i="5"/>
  <c r="AH21" i="26"/>
  <c r="AJ21" i="26" s="1"/>
  <c r="D20" i="5"/>
  <c r="L20" i="5" s="1"/>
  <c r="S20" i="5" s="1"/>
  <c r="U20" i="5" s="1"/>
  <c r="AH20" i="26"/>
  <c r="AJ20" i="26" s="1"/>
  <c r="D19" i="5"/>
  <c r="L19" i="5" s="1"/>
  <c r="S19" i="5" s="1"/>
  <c r="U19" i="5" s="1"/>
  <c r="AH19" i="26"/>
  <c r="AJ19" i="26" s="1"/>
  <c r="D18" i="5"/>
  <c r="C26" i="8"/>
  <c r="E26" i="8"/>
  <c r="AG40" i="27"/>
  <c r="AI40" i="27" s="1"/>
  <c r="H36" i="5"/>
  <c r="AG39" i="27"/>
  <c r="AI39" i="27" s="1"/>
  <c r="H35" i="5"/>
  <c r="AG27" i="27"/>
  <c r="AI27" i="27" s="1"/>
  <c r="H27" i="5"/>
  <c r="AG26" i="27"/>
  <c r="AI26" i="27" s="1"/>
  <c r="H26" i="5"/>
  <c r="L26" i="5" s="1"/>
  <c r="S26" i="5" s="1"/>
  <c r="U26" i="5" s="1"/>
  <c r="AG25" i="27"/>
  <c r="AI25" i="27" s="1"/>
  <c r="H25" i="5"/>
  <c r="AA19" i="27"/>
  <c r="H18" i="5"/>
  <c r="AE39" i="26"/>
  <c r="AE53" i="26" s="1"/>
  <c r="AE55" i="26" s="1"/>
  <c r="AH44" i="26"/>
  <c r="AJ44" i="26" s="1"/>
  <c r="E42" i="8"/>
  <c r="C42" i="8"/>
  <c r="AA17" i="28"/>
  <c r="AG16" i="28"/>
  <c r="AI16" i="28" s="1"/>
  <c r="AD28" i="28"/>
  <c r="AD37" i="28" s="1"/>
  <c r="AD38" i="28" s="1"/>
  <c r="AG33" i="28"/>
  <c r="AI33" i="28" s="1"/>
  <c r="AD34" i="27"/>
  <c r="AD48" i="27" s="1"/>
  <c r="AD50" i="27" s="1"/>
  <c r="AA33" i="28"/>
  <c r="AA42" i="27"/>
  <c r="AG17" i="27"/>
  <c r="AI17" i="27" s="1"/>
  <c r="AB23" i="26"/>
  <c r="AB34" i="26"/>
  <c r="AA29" i="27"/>
  <c r="AG25" i="28"/>
  <c r="AI25" i="28" s="1"/>
  <c r="AA25" i="28"/>
  <c r="AG13" i="28"/>
  <c r="AI13" i="28" s="1"/>
  <c r="C34" i="8"/>
  <c r="C47" i="9"/>
  <c r="C50" i="9" s="1"/>
  <c r="C36" i="12"/>
  <c r="C39" i="12" s="1"/>
  <c r="D37" i="5" l="1"/>
  <c r="L36" i="5"/>
  <c r="S36" i="5" s="1"/>
  <c r="U36" i="5" s="1"/>
  <c r="AH47" i="26"/>
  <c r="AJ47" i="26" s="1"/>
  <c r="D29" i="5"/>
  <c r="L27" i="5"/>
  <c r="S27" i="5" s="1"/>
  <c r="U27" i="5" s="1"/>
  <c r="AH34" i="26"/>
  <c r="AJ34" i="26" s="1"/>
  <c r="AH23" i="26"/>
  <c r="AJ23" i="26" s="1"/>
  <c r="D21" i="5"/>
  <c r="AA28" i="28"/>
  <c r="AG17" i="28"/>
  <c r="AI17" i="28" s="1"/>
  <c r="H37" i="5"/>
  <c r="L35" i="5"/>
  <c r="AG42" i="27"/>
  <c r="AI42" i="27" s="1"/>
  <c r="H29" i="5"/>
  <c r="L25" i="5"/>
  <c r="AG29" i="27"/>
  <c r="AI29" i="27" s="1"/>
  <c r="H21" i="5"/>
  <c r="L18" i="5"/>
  <c r="AA34" i="27"/>
  <c r="AA48" i="27" s="1"/>
  <c r="AA50" i="27" s="1"/>
  <c r="AG50" i="27" s="1"/>
  <c r="AI50" i="27" s="1"/>
  <c r="AG19" i="27"/>
  <c r="AI19" i="27" s="1"/>
  <c r="AB39" i="26"/>
  <c r="C46" i="8"/>
  <c r="C49" i="8" s="1"/>
  <c r="C37" i="8"/>
  <c r="N39" i="11"/>
  <c r="N42" i="11" s="1"/>
  <c r="C39" i="11"/>
  <c r="C42" i="11" s="1"/>
  <c r="M37" i="14"/>
  <c r="M40" i="14" s="1"/>
  <c r="AA37" i="28" l="1"/>
  <c r="AG37" i="28" s="1"/>
  <c r="AI37" i="28" s="1"/>
  <c r="AG28" i="28"/>
  <c r="AI28" i="28" s="1"/>
  <c r="D32" i="5"/>
  <c r="D42" i="5" s="1"/>
  <c r="D45" i="5" s="1"/>
  <c r="AH39" i="26"/>
  <c r="AJ39" i="26" s="1"/>
  <c r="L37" i="5"/>
  <c r="S35" i="5"/>
  <c r="U35" i="5" s="1"/>
  <c r="S25" i="5"/>
  <c r="L29" i="5"/>
  <c r="H32" i="5"/>
  <c r="H42" i="5" s="1"/>
  <c r="H45" i="5" s="1"/>
  <c r="L21" i="5"/>
  <c r="S18" i="5"/>
  <c r="AG34" i="27"/>
  <c r="AI34" i="27" s="1"/>
  <c r="AB53" i="26"/>
  <c r="AB55" i="26" s="1"/>
  <c r="AH55" i="26" s="1"/>
  <c r="AJ55" i="26" s="1"/>
  <c r="A6" i="14"/>
  <c r="A6" i="12"/>
  <c r="A6" i="11"/>
  <c r="A6" i="9"/>
  <c r="A6" i="8"/>
  <c r="AD60" i="23"/>
  <c r="AJ60" i="23" s="1"/>
  <c r="AL60" i="23" s="1"/>
  <c r="AD59" i="23"/>
  <c r="AD58" i="23"/>
  <c r="AD55" i="23"/>
  <c r="AJ55" i="23" s="1"/>
  <c r="AL55" i="23" s="1"/>
  <c r="AD54" i="23"/>
  <c r="AJ54" i="23" s="1"/>
  <c r="AD52" i="23"/>
  <c r="AD51" i="23"/>
  <c r="AD50" i="23"/>
  <c r="AJ50" i="23" s="1"/>
  <c r="AD48" i="23"/>
  <c r="AJ48" i="23" s="1"/>
  <c r="AL48" i="23" s="1"/>
  <c r="AD46" i="23"/>
  <c r="AJ46" i="23" s="1"/>
  <c r="AL46" i="23" s="1"/>
  <c r="AD45" i="23"/>
  <c r="AD44" i="23"/>
  <c r="AJ44" i="23" s="1"/>
  <c r="AL44" i="23" s="1"/>
  <c r="AD43" i="23"/>
  <c r="AD41" i="23"/>
  <c r="AD39" i="23"/>
  <c r="AD37" i="23"/>
  <c r="AA41" i="22"/>
  <c r="AA39" i="22"/>
  <c r="AG39" i="22" s="1"/>
  <c r="AI39" i="22" s="1"/>
  <c r="AA38" i="22"/>
  <c r="AG38" i="22" s="1"/>
  <c r="AI38" i="22" s="1"/>
  <c r="AA37" i="22"/>
  <c r="AA38" i="28" l="1"/>
  <c r="AG38" i="28" s="1"/>
  <c r="AI38" i="28" s="1"/>
  <c r="AG41" i="22"/>
  <c r="AI41" i="22" s="1"/>
  <c r="AA43" i="22"/>
  <c r="AJ39" i="23"/>
  <c r="AL39" i="23" s="1"/>
  <c r="AJ58" i="23"/>
  <c r="AL58" i="23" s="1"/>
  <c r="AJ43" i="23"/>
  <c r="AL43" i="23" s="1"/>
  <c r="AJ51" i="23"/>
  <c r="AL51" i="23" s="1"/>
  <c r="AJ41" i="23"/>
  <c r="AL41" i="23" s="1"/>
  <c r="AJ52" i="23"/>
  <c r="AL52" i="23" s="1"/>
  <c r="AJ59" i="23"/>
  <c r="AL59" i="23" s="1"/>
  <c r="AJ45" i="23"/>
  <c r="AL45" i="23" s="1"/>
  <c r="AH53" i="26"/>
  <c r="AJ53" i="26" s="1"/>
  <c r="S37" i="5"/>
  <c r="U37" i="5" s="1"/>
  <c r="U25" i="5"/>
  <c r="S29" i="5"/>
  <c r="U29" i="5" s="1"/>
  <c r="L32" i="5"/>
  <c r="L42" i="5" s="1"/>
  <c r="L45" i="5" s="1"/>
  <c r="S21" i="5"/>
  <c r="U18" i="5"/>
  <c r="AG37" i="22"/>
  <c r="AI37" i="22" s="1"/>
  <c r="AJ37" i="23"/>
  <c r="AL37" i="23" s="1"/>
  <c r="AD61" i="23"/>
  <c r="AG48" i="27"/>
  <c r="AI48" i="27" s="1"/>
  <c r="C33" i="14"/>
  <c r="D47" i="22"/>
  <c r="D83" i="19"/>
  <c r="H18" i="2" s="1"/>
  <c r="S32" i="5" l="1"/>
  <c r="U32" i="5" s="1"/>
  <c r="AG43" i="22"/>
  <c r="AI43" i="22" s="1"/>
  <c r="U21" i="5"/>
  <c r="AJ61" i="23"/>
  <c r="C37" i="14"/>
  <c r="C40" i="14" s="1"/>
  <c r="E39" i="12"/>
  <c r="S42" i="5" l="1"/>
  <c r="U42" i="5" s="1"/>
  <c r="AB12" i="17"/>
  <c r="S45" i="5" l="1"/>
  <c r="U45" i="5" s="1"/>
  <c r="Q26" i="14"/>
  <c r="U26" i="14" s="1"/>
  <c r="S26" i="14" l="1"/>
  <c r="N44" i="3"/>
  <c r="L44" i="3"/>
  <c r="N41" i="3"/>
  <c r="L41" i="3"/>
  <c r="N39" i="3"/>
  <c r="L39" i="3"/>
  <c r="N36" i="3"/>
  <c r="L36" i="3"/>
  <c r="N35" i="3"/>
  <c r="L35" i="3"/>
  <c r="N34" i="3"/>
  <c r="L34" i="3"/>
  <c r="N33" i="3"/>
  <c r="L33" i="3"/>
  <c r="N32" i="3"/>
  <c r="L32" i="3"/>
  <c r="N31" i="3"/>
  <c r="L31" i="3"/>
  <c r="N29" i="3"/>
  <c r="L29" i="3"/>
  <c r="N28" i="3"/>
  <c r="L28" i="3"/>
  <c r="N27" i="3"/>
  <c r="L27" i="3"/>
  <c r="N19" i="3"/>
  <c r="L19" i="3"/>
  <c r="T15" i="3"/>
  <c r="R15" i="3"/>
  <c r="N15" i="3"/>
  <c r="L15" i="3"/>
  <c r="J15" i="3"/>
  <c r="H15" i="3"/>
  <c r="T14" i="3"/>
  <c r="N14" i="3"/>
  <c r="J14" i="3"/>
  <c r="H37" i="3" l="1"/>
  <c r="H45" i="3" s="1"/>
  <c r="N37" i="3"/>
  <c r="L37" i="3"/>
  <c r="H23" i="3"/>
  <c r="R44" i="3"/>
  <c r="H53" i="3"/>
  <c r="E46" i="8"/>
  <c r="Y137" i="17"/>
  <c r="W137" i="17"/>
  <c r="U137" i="17"/>
  <c r="S137" i="17"/>
  <c r="Q137" i="17"/>
  <c r="O137" i="17"/>
  <c r="I137" i="17"/>
  <c r="G137" i="17"/>
  <c r="E137" i="17"/>
  <c r="AB135" i="17"/>
  <c r="AH135" i="17" s="1"/>
  <c r="AJ135" i="17" s="1"/>
  <c r="AB134" i="17"/>
  <c r="C137" i="17"/>
  <c r="AB126" i="17"/>
  <c r="AH126" i="17" s="1"/>
  <c r="AB125" i="17"/>
  <c r="AH125" i="17" s="1"/>
  <c r="AJ125" i="17" s="1"/>
  <c r="AB123" i="17"/>
  <c r="AH123" i="17" s="1"/>
  <c r="AJ123" i="17" s="1"/>
  <c r="AB122" i="17"/>
  <c r="AH122" i="17" s="1"/>
  <c r="AJ122" i="17" s="1"/>
  <c r="AB121" i="17"/>
  <c r="AH121" i="17" s="1"/>
  <c r="AJ121" i="17" s="1"/>
  <c r="Y119" i="17"/>
  <c r="Y128" i="17" s="1"/>
  <c r="W119" i="17"/>
  <c r="W128" i="17" s="1"/>
  <c r="U119" i="17"/>
  <c r="U128" i="17" s="1"/>
  <c r="S119" i="17"/>
  <c r="S128" i="17" s="1"/>
  <c r="Q119" i="17"/>
  <c r="Q128" i="17" s="1"/>
  <c r="O119" i="17"/>
  <c r="O128" i="17" s="1"/>
  <c r="I119" i="17"/>
  <c r="I128" i="17" s="1"/>
  <c r="G119" i="17"/>
  <c r="G128" i="17" s="1"/>
  <c r="E119" i="17"/>
  <c r="E128" i="17" s="1"/>
  <c r="AB118" i="17"/>
  <c r="AH118" i="17" s="1"/>
  <c r="AJ118" i="17" s="1"/>
  <c r="AB117" i="17"/>
  <c r="AH117" i="17" s="1"/>
  <c r="AJ117" i="17" s="1"/>
  <c r="AB116" i="17"/>
  <c r="AH116" i="17" s="1"/>
  <c r="AJ116" i="17" s="1"/>
  <c r="AB115" i="17"/>
  <c r="AH115" i="17" s="1"/>
  <c r="AJ115" i="17" s="1"/>
  <c r="AB114" i="17"/>
  <c r="AH114" i="17" s="1"/>
  <c r="AJ114" i="17" s="1"/>
  <c r="AB113" i="17"/>
  <c r="AH113" i="17" s="1"/>
  <c r="AJ113" i="17" s="1"/>
  <c r="AB111" i="17"/>
  <c r="AH111" i="17" s="1"/>
  <c r="AJ111" i="17" s="1"/>
  <c r="AB110" i="17"/>
  <c r="AH110" i="17" s="1"/>
  <c r="C119" i="17"/>
  <c r="C128" i="17" s="1"/>
  <c r="AB109" i="17"/>
  <c r="AB103" i="17"/>
  <c r="AH103" i="17" s="1"/>
  <c r="AB16" i="17"/>
  <c r="AH16" i="17" s="1"/>
  <c r="AJ16" i="17" s="1"/>
  <c r="E43" i="9"/>
  <c r="E31" i="9"/>
  <c r="AH134" i="17" l="1"/>
  <c r="AB137" i="17"/>
  <c r="G25" i="13"/>
  <c r="S25" i="14"/>
  <c r="I25" i="14"/>
  <c r="S21" i="14"/>
  <c r="I131" i="17"/>
  <c r="I141" i="17" s="1"/>
  <c r="Q131" i="17"/>
  <c r="Q141" i="17" s="1"/>
  <c r="Y131" i="17"/>
  <c r="Y141" i="17" s="1"/>
  <c r="U131" i="17"/>
  <c r="U141" i="17" s="1"/>
  <c r="E131" i="17"/>
  <c r="E141" i="17" s="1"/>
  <c r="S131" i="17"/>
  <c r="S141" i="17" s="1"/>
  <c r="E33" i="14"/>
  <c r="E37" i="14" s="1"/>
  <c r="AA53" i="3"/>
  <c r="H48" i="3"/>
  <c r="H57" i="3" s="1"/>
  <c r="Y53" i="3"/>
  <c r="AA37" i="3"/>
  <c r="AA45" i="3" s="1"/>
  <c r="Y37" i="3"/>
  <c r="Y45" i="3" s="1"/>
  <c r="E37" i="8"/>
  <c r="E47" i="9"/>
  <c r="E50" i="9" s="1"/>
  <c r="AE143" i="17"/>
  <c r="AB119" i="17"/>
  <c r="AB128" i="17" s="1"/>
  <c r="AH109" i="17"/>
  <c r="AJ109" i="17" s="1"/>
  <c r="G131" i="17"/>
  <c r="G141" i="17" s="1"/>
  <c r="O131" i="17"/>
  <c r="O141" i="17" s="1"/>
  <c r="W131" i="17"/>
  <c r="W141" i="17" s="1"/>
  <c r="AH137" i="17" l="1"/>
  <c r="AJ137" i="17" s="1"/>
  <c r="AJ134" i="17"/>
  <c r="I25" i="13"/>
  <c r="K25" i="13"/>
  <c r="AH119" i="17"/>
  <c r="E49" i="8"/>
  <c r="P39" i="11"/>
  <c r="P42" i="11" s="1"/>
  <c r="E40" i="14"/>
  <c r="Y48" i="3"/>
  <c r="Y57" i="3" s="1"/>
  <c r="Y61" i="3" s="1"/>
  <c r="O37" i="14"/>
  <c r="O40" i="14" s="1"/>
  <c r="E42" i="11"/>
  <c r="AH128" i="17" l="1"/>
  <c r="AJ128" i="17" s="1"/>
  <c r="AJ119" i="17"/>
  <c r="AC47" i="19"/>
  <c r="AI47" i="19" s="1"/>
  <c r="AK47" i="19" s="1"/>
  <c r="AC48" i="19"/>
  <c r="AI48" i="19" s="1"/>
  <c r="AK48" i="19" s="1"/>
  <c r="AC50" i="19"/>
  <c r="AI50" i="19" s="1"/>
  <c r="AK50" i="19" s="1"/>
  <c r="AC54" i="19"/>
  <c r="AI54" i="19" s="1"/>
  <c r="AK54" i="19" s="1"/>
  <c r="AC55" i="19"/>
  <c r="AI55" i="19" s="1"/>
  <c r="AK55" i="19" s="1"/>
  <c r="AC57" i="19"/>
  <c r="AI57" i="19" s="1"/>
  <c r="AK57" i="19" s="1"/>
  <c r="AC61" i="19"/>
  <c r="AI61" i="19" s="1"/>
  <c r="AK61" i="19" s="1"/>
  <c r="AC66" i="19"/>
  <c r="AI66" i="19" s="1"/>
  <c r="AK66" i="19" s="1"/>
  <c r="AC68" i="19"/>
  <c r="AI68" i="19" s="1"/>
  <c r="AK68" i="19" s="1"/>
  <c r="AC69" i="19"/>
  <c r="AI69" i="19" s="1"/>
  <c r="AK69" i="19" s="1"/>
  <c r="AC70" i="19"/>
  <c r="AI70" i="19" s="1"/>
  <c r="AK70" i="19" s="1"/>
  <c r="AC73" i="19"/>
  <c r="AI73" i="19" s="1"/>
  <c r="AK73" i="19" s="1"/>
  <c r="AC75" i="19"/>
  <c r="AI75" i="19" s="1"/>
  <c r="AC76" i="19"/>
  <c r="AI76" i="19" s="1"/>
  <c r="AK76" i="19" s="1"/>
  <c r="AC77" i="19"/>
  <c r="AI77" i="19" s="1"/>
  <c r="AK77" i="19" s="1"/>
  <c r="AC79" i="19"/>
  <c r="AI79" i="19" s="1"/>
  <c r="AK79" i="19" s="1"/>
  <c r="AC82" i="19"/>
  <c r="AI82" i="19" s="1"/>
  <c r="AK82" i="19" s="1"/>
  <c r="AC81" i="19"/>
  <c r="AI81" i="19" s="1"/>
  <c r="AK81" i="19" s="1"/>
  <c r="AC62" i="19"/>
  <c r="AI62" i="19" s="1"/>
  <c r="AK62" i="19" s="1"/>
  <c r="AC53" i="19"/>
  <c r="AI53" i="19" s="1"/>
  <c r="AK53" i="19" s="1"/>
  <c r="AC65" i="19"/>
  <c r="AI65" i="19" s="1"/>
  <c r="AC60" i="19"/>
  <c r="AI60" i="19" s="1"/>
  <c r="AK60" i="19" s="1"/>
  <c r="AC87" i="18"/>
  <c r="AI87" i="18" s="1"/>
  <c r="AK87" i="18" s="1"/>
  <c r="AC86" i="18"/>
  <c r="AC83" i="18"/>
  <c r="AC82" i="18"/>
  <c r="AC79" i="18"/>
  <c r="AC78" i="18"/>
  <c r="AI78" i="18" s="1"/>
  <c r="AK78" i="18" s="1"/>
  <c r="AC76" i="18"/>
  <c r="AC75" i="18"/>
  <c r="AC73" i="18"/>
  <c r="AI73" i="18" s="1"/>
  <c r="AK73" i="18" s="1"/>
  <c r="AC72" i="18"/>
  <c r="AC71" i="18"/>
  <c r="AC69" i="18"/>
  <c r="AC68" i="18"/>
  <c r="AC67" i="18"/>
  <c r="AC66" i="18"/>
  <c r="AC62" i="18"/>
  <c r="AI62" i="18" s="1"/>
  <c r="AK62" i="18" s="1"/>
  <c r="AC61" i="18"/>
  <c r="AI61" i="18" s="1"/>
  <c r="AK61" i="18" s="1"/>
  <c r="AC59" i="18"/>
  <c r="C90" i="17" l="1"/>
  <c r="AB90" i="17" s="1"/>
  <c r="AH90" i="17" s="1"/>
  <c r="AJ90" i="17" s="1"/>
  <c r="C90" i="16"/>
  <c r="AB90" i="16" s="1"/>
  <c r="C86" i="17"/>
  <c r="AB86" i="17" s="1"/>
  <c r="AH86" i="17" s="1"/>
  <c r="AJ86" i="17" s="1"/>
  <c r="C86" i="16"/>
  <c r="AB86" i="16" s="1"/>
  <c r="C66" i="17"/>
  <c r="AB66" i="17" s="1"/>
  <c r="C66" i="16"/>
  <c r="C99" i="17"/>
  <c r="C99" i="16"/>
  <c r="AB99" i="16" s="1"/>
  <c r="C67" i="17"/>
  <c r="AB67" i="17" s="1"/>
  <c r="AH67" i="17" s="1"/>
  <c r="AJ67" i="17" s="1"/>
  <c r="C67" i="16"/>
  <c r="AB67" i="16" s="1"/>
  <c r="AB83" i="17"/>
  <c r="AH83" i="17" s="1"/>
  <c r="AB91" i="17"/>
  <c r="AH91" i="17" s="1"/>
  <c r="AJ91" i="17" s="1"/>
  <c r="AC64" i="18"/>
  <c r="AI64" i="18" s="1"/>
  <c r="AC63" i="18"/>
  <c r="AI63" i="18" s="1"/>
  <c r="AK63" i="18" s="1"/>
  <c r="AC77" i="18"/>
  <c r="AI77" i="18" s="1"/>
  <c r="AB91" i="16"/>
  <c r="AC81" i="18"/>
  <c r="AI81" i="18" s="1"/>
  <c r="AK81" i="18" s="1"/>
  <c r="AB83" i="16"/>
  <c r="AC88" i="18"/>
  <c r="AI88" i="18" s="1"/>
  <c r="AK88" i="18" s="1"/>
  <c r="AC80" i="19"/>
  <c r="AI80" i="19" s="1"/>
  <c r="AK80" i="19" s="1"/>
  <c r="AC78" i="19"/>
  <c r="AI78" i="19" s="1"/>
  <c r="AK78" i="19" s="1"/>
  <c r="AC74" i="19"/>
  <c r="AI74" i="19" s="1"/>
  <c r="AK74" i="19" s="1"/>
  <c r="AC72" i="19"/>
  <c r="AI72" i="19" s="1"/>
  <c r="AK72" i="19" s="1"/>
  <c r="AC67" i="19"/>
  <c r="AI67" i="19" s="1"/>
  <c r="AK67" i="19" s="1"/>
  <c r="AC63" i="19"/>
  <c r="AI63" i="19" s="1"/>
  <c r="AK63" i="19" s="1"/>
  <c r="AC58" i="19"/>
  <c r="AI58" i="19" s="1"/>
  <c r="AK58" i="19" s="1"/>
  <c r="AC56" i="19"/>
  <c r="AI56" i="19" s="1"/>
  <c r="AK56" i="19" s="1"/>
  <c r="AC49" i="19"/>
  <c r="AI49" i="19" s="1"/>
  <c r="AK49" i="19" s="1"/>
  <c r="AC45" i="19"/>
  <c r="AI86" i="18"/>
  <c r="AK86" i="18" s="1"/>
  <c r="AI83" i="18"/>
  <c r="AK83" i="18" s="1"/>
  <c r="AI82" i="18"/>
  <c r="AK82" i="18" s="1"/>
  <c r="AI79" i="18"/>
  <c r="AK79" i="18" s="1"/>
  <c r="AI76" i="18"/>
  <c r="AI75" i="18"/>
  <c r="AK75" i="18" s="1"/>
  <c r="AI72" i="18"/>
  <c r="AK72" i="18" s="1"/>
  <c r="AI71" i="18"/>
  <c r="AK71" i="18" s="1"/>
  <c r="AI70" i="18"/>
  <c r="AK70" i="18" s="1"/>
  <c r="AI69" i="18"/>
  <c r="AK69" i="18" s="1"/>
  <c r="AI68" i="18"/>
  <c r="AK68" i="18" s="1"/>
  <c r="AI67" i="18"/>
  <c r="AK67" i="18" s="1"/>
  <c r="AI66" i="18"/>
  <c r="AK66" i="18" s="1"/>
  <c r="AI59" i="18"/>
  <c r="AK59" i="18" s="1"/>
  <c r="AI58" i="18"/>
  <c r="AK58" i="18" s="1"/>
  <c r="D89" i="18"/>
  <c r="D18" i="2" s="1"/>
  <c r="D93" i="18" l="1"/>
  <c r="D21" i="3"/>
  <c r="AH67" i="16"/>
  <c r="AJ67" i="16" s="1"/>
  <c r="AH99" i="16"/>
  <c r="AJ99" i="16" s="1"/>
  <c r="AH91" i="16"/>
  <c r="AJ91" i="16" s="1"/>
  <c r="AH90" i="16"/>
  <c r="AJ90" i="16" s="1"/>
  <c r="AH83" i="16"/>
  <c r="AJ83" i="16" s="1"/>
  <c r="AH86" i="16"/>
  <c r="AJ86" i="16" s="1"/>
  <c r="AC83" i="19"/>
  <c r="C101" i="17"/>
  <c r="C105" i="17" s="1"/>
  <c r="AB99" i="17"/>
  <c r="AH99" i="17" s="1"/>
  <c r="AJ99" i="17" s="1"/>
  <c r="AH66" i="17"/>
  <c r="AJ66" i="17" s="1"/>
  <c r="AB66" i="16"/>
  <c r="C101" i="16"/>
  <c r="AI45" i="19"/>
  <c r="AK45" i="19" s="1"/>
  <c r="AI89" i="18"/>
  <c r="AK89" i="18" s="1"/>
  <c r="AC89" i="18"/>
  <c r="G24" i="9" s="1"/>
  <c r="I24" i="9" l="1"/>
  <c r="AB101" i="17"/>
  <c r="AB105" i="17" s="1"/>
  <c r="AH101" i="17"/>
  <c r="AJ101" i="17" s="1"/>
  <c r="AH66" i="16"/>
  <c r="AJ66" i="16" s="1"/>
  <c r="AB101" i="16"/>
  <c r="AI83" i="19"/>
  <c r="C131" i="17"/>
  <c r="C141" i="17" s="1"/>
  <c r="C143" i="17" s="1"/>
  <c r="F18" i="2"/>
  <c r="E143" i="17" l="1"/>
  <c r="AH105" i="17"/>
  <c r="AJ105" i="17" s="1"/>
  <c r="AH101" i="16"/>
  <c r="AJ101" i="16" s="1"/>
  <c r="F21" i="3"/>
  <c r="G143" i="17" l="1"/>
  <c r="AB131" i="17"/>
  <c r="I143" i="17" l="1"/>
  <c r="AH131" i="17"/>
  <c r="AJ131" i="17" s="1"/>
  <c r="AB141" i="17"/>
  <c r="K143" i="17" l="1"/>
  <c r="AB143" i="17"/>
  <c r="AH143" i="17" s="1"/>
  <c r="AJ143" i="17" s="1"/>
  <c r="AH141" i="17"/>
  <c r="AJ141" i="17" s="1"/>
  <c r="M143" i="17" l="1"/>
  <c r="G105" i="16"/>
  <c r="L52" i="3"/>
  <c r="L51" i="3"/>
  <c r="L43" i="3"/>
  <c r="R43" i="3" s="1"/>
  <c r="L40" i="3"/>
  <c r="L21" i="3"/>
  <c r="R21" i="3" s="1"/>
  <c r="L20" i="3"/>
  <c r="L18" i="3"/>
  <c r="L17" i="3"/>
  <c r="D52" i="3"/>
  <c r="D51" i="3"/>
  <c r="D41" i="3"/>
  <c r="R41" i="3" s="1"/>
  <c r="D40" i="3"/>
  <c r="D39" i="3"/>
  <c r="R39" i="3" s="1"/>
  <c r="D36" i="3"/>
  <c r="R36" i="3" s="1"/>
  <c r="D35" i="3"/>
  <c r="R35" i="3" s="1"/>
  <c r="D34" i="3"/>
  <c r="R34" i="3" s="1"/>
  <c r="D33" i="3"/>
  <c r="R33" i="3" s="1"/>
  <c r="D32" i="3"/>
  <c r="R32" i="3" s="1"/>
  <c r="D31" i="3"/>
  <c r="R31" i="3" s="1"/>
  <c r="D29" i="3"/>
  <c r="R29" i="3" s="1"/>
  <c r="D28" i="3"/>
  <c r="R28" i="3" s="1"/>
  <c r="D27" i="3"/>
  <c r="D22" i="3"/>
  <c r="D20" i="3"/>
  <c r="D19" i="3"/>
  <c r="R19" i="3" s="1"/>
  <c r="D18" i="3"/>
  <c r="D17" i="3"/>
  <c r="O143" i="17" l="1"/>
  <c r="D37" i="3"/>
  <c r="D45" i="3" s="1"/>
  <c r="R27" i="3"/>
  <c r="R37" i="3" s="1"/>
  <c r="D53" i="3"/>
  <c r="R20" i="3"/>
  <c r="R52" i="3"/>
  <c r="D23" i="3"/>
  <c r="R18" i="3"/>
  <c r="R17" i="3"/>
  <c r="R40" i="3"/>
  <c r="L45" i="3"/>
  <c r="L53" i="3"/>
  <c r="R51" i="3"/>
  <c r="Q143" i="17" l="1"/>
  <c r="R45" i="3"/>
  <c r="D48" i="3"/>
  <c r="D57" i="3" s="1"/>
  <c r="R53" i="3"/>
  <c r="S143" i="17" l="1"/>
  <c r="G26" i="10"/>
  <c r="G65" i="23"/>
  <c r="L22" i="3"/>
  <c r="AH100" i="20"/>
  <c r="U143" i="17" l="1"/>
  <c r="AH107" i="20"/>
  <c r="I26" i="10"/>
  <c r="I27" i="11"/>
  <c r="R22" i="3"/>
  <c r="R23" i="3" s="1"/>
  <c r="R48" i="3" s="1"/>
  <c r="R57" i="3" s="1"/>
  <c r="L23" i="3"/>
  <c r="L48" i="3" s="1"/>
  <c r="L57" i="3" s="1"/>
  <c r="G30" i="9"/>
  <c r="AC97" i="18"/>
  <c r="AC98" i="18"/>
  <c r="AC99" i="18"/>
  <c r="AC101" i="18"/>
  <c r="AC102" i="18"/>
  <c r="AC103" i="18"/>
  <c r="AC104" i="18"/>
  <c r="AC105" i="18"/>
  <c r="AC106" i="18"/>
  <c r="AC109" i="18"/>
  <c r="F15" i="6"/>
  <c r="W143" i="17" l="1"/>
  <c r="Y143" i="17" s="1"/>
  <c r="I30" i="9"/>
  <c r="AI121" i="18"/>
  <c r="AK121" i="18" s="1"/>
  <c r="G28" i="9"/>
  <c r="AI122" i="18"/>
  <c r="AK122" i="18" s="1"/>
  <c r="G29" i="9"/>
  <c r="E105" i="16"/>
  <c r="AI123" i="18"/>
  <c r="AK123" i="18" s="1"/>
  <c r="I29" i="9" l="1"/>
  <c r="I28" i="9"/>
  <c r="X29" i="27"/>
  <c r="J40" i="3"/>
  <c r="J36" i="3"/>
  <c r="J35" i="3"/>
  <c r="J34" i="3"/>
  <c r="J33" i="3"/>
  <c r="J32" i="3"/>
  <c r="J31" i="3"/>
  <c r="J29" i="3"/>
  <c r="J28" i="3"/>
  <c r="J27" i="3"/>
  <c r="T32" i="11" l="1"/>
  <c r="J22" i="3"/>
  <c r="AE86" i="20"/>
  <c r="AM86" i="20" s="1"/>
  <c r="J44" i="3"/>
  <c r="T44" i="3" s="1"/>
  <c r="J41" i="3"/>
  <c r="J39" i="3"/>
  <c r="J37" i="3"/>
  <c r="G26" i="13"/>
  <c r="AL82" i="24"/>
  <c r="AL81" i="24"/>
  <c r="AL80" i="24"/>
  <c r="AL77" i="24"/>
  <c r="AN77" i="24" s="1"/>
  <c r="AL75" i="24"/>
  <c r="AN75" i="24" s="1"/>
  <c r="AL74" i="24"/>
  <c r="AL73" i="24"/>
  <c r="AN73" i="24" s="1"/>
  <c r="AL72" i="24"/>
  <c r="AF27" i="24"/>
  <c r="AI75" i="25"/>
  <c r="AA75" i="25"/>
  <c r="Y75" i="25"/>
  <c r="W75" i="25"/>
  <c r="S75" i="25"/>
  <c r="Q75" i="25"/>
  <c r="O75" i="25"/>
  <c r="M75" i="25"/>
  <c r="K75" i="25"/>
  <c r="I75" i="25"/>
  <c r="G75" i="25"/>
  <c r="E75" i="25"/>
  <c r="AI59" i="25"/>
  <c r="AA59" i="25"/>
  <c r="AA66" i="25" s="1"/>
  <c r="Y59" i="25"/>
  <c r="Y66" i="25" s="1"/>
  <c r="W59" i="25"/>
  <c r="W66" i="25" s="1"/>
  <c r="S59" i="25"/>
  <c r="S66" i="25" s="1"/>
  <c r="Q59" i="25"/>
  <c r="Q66" i="25" s="1"/>
  <c r="O59" i="25"/>
  <c r="O66" i="25" s="1"/>
  <c r="M59" i="25"/>
  <c r="M66" i="25" s="1"/>
  <c r="K59" i="25"/>
  <c r="K66" i="25" s="1"/>
  <c r="I59" i="25"/>
  <c r="I66" i="25" s="1"/>
  <c r="G59" i="25"/>
  <c r="G66" i="25" s="1"/>
  <c r="E59" i="25"/>
  <c r="AL63" i="25"/>
  <c r="AL62" i="25"/>
  <c r="AL61" i="25"/>
  <c r="AL57" i="25"/>
  <c r="AL56" i="25"/>
  <c r="AL55" i="25"/>
  <c r="AL54" i="25"/>
  <c r="AN54" i="25" s="1"/>
  <c r="AL53" i="25"/>
  <c r="AL51" i="25"/>
  <c r="AL49" i="25"/>
  <c r="AF45" i="25"/>
  <c r="AN45" i="25" s="1"/>
  <c r="AI95" i="24"/>
  <c r="AA95" i="24"/>
  <c r="Y95" i="24"/>
  <c r="W95" i="24"/>
  <c r="S95" i="24"/>
  <c r="Q95" i="24"/>
  <c r="O95" i="24"/>
  <c r="M95" i="24"/>
  <c r="K95" i="24"/>
  <c r="I95" i="24"/>
  <c r="G95" i="24"/>
  <c r="Y47" i="26"/>
  <c r="W47" i="26"/>
  <c r="U47" i="26"/>
  <c r="S47" i="26"/>
  <c r="Q47" i="26"/>
  <c r="O47" i="26"/>
  <c r="M47" i="26"/>
  <c r="K47" i="26"/>
  <c r="I47" i="26"/>
  <c r="G47" i="26"/>
  <c r="E47" i="26"/>
  <c r="C47" i="26"/>
  <c r="Y34" i="26"/>
  <c r="W34" i="26"/>
  <c r="U34" i="26"/>
  <c r="S34" i="26"/>
  <c r="Q34" i="26"/>
  <c r="O34" i="26"/>
  <c r="O39" i="26" s="1"/>
  <c r="O53" i="26" s="1"/>
  <c r="M34" i="26"/>
  <c r="K34" i="26"/>
  <c r="I34" i="26"/>
  <c r="G34" i="26"/>
  <c r="E34" i="26"/>
  <c r="C34" i="26"/>
  <c r="Y23" i="26"/>
  <c r="Y39" i="26" s="1"/>
  <c r="Y53" i="26" s="1"/>
  <c r="W23" i="26"/>
  <c r="U23" i="26"/>
  <c r="S23" i="26"/>
  <c r="Q23" i="26"/>
  <c r="Q39" i="26" s="1"/>
  <c r="Q53" i="26" s="1"/>
  <c r="M23" i="26"/>
  <c r="K23" i="26"/>
  <c r="I23" i="26"/>
  <c r="E23" i="26"/>
  <c r="C23" i="26"/>
  <c r="AA32" i="29"/>
  <c r="AG32" i="29" s="1"/>
  <c r="AI32" i="29" s="1"/>
  <c r="AA31" i="29"/>
  <c r="AG31" i="29" s="1"/>
  <c r="AI31" i="29" s="1"/>
  <c r="AA16" i="29"/>
  <c r="X42" i="27"/>
  <c r="V42" i="27"/>
  <c r="T42" i="27"/>
  <c r="R42" i="27"/>
  <c r="P42" i="27"/>
  <c r="N42" i="27"/>
  <c r="L42" i="27"/>
  <c r="J42" i="27"/>
  <c r="H42" i="27"/>
  <c r="F42" i="27"/>
  <c r="D42" i="27"/>
  <c r="B42" i="27"/>
  <c r="V29" i="27"/>
  <c r="T29" i="27"/>
  <c r="R29" i="27"/>
  <c r="P29" i="27"/>
  <c r="N29" i="27"/>
  <c r="L29" i="27"/>
  <c r="J29" i="27"/>
  <c r="H29" i="27"/>
  <c r="F29" i="27"/>
  <c r="D29" i="27"/>
  <c r="B29" i="27"/>
  <c r="X19" i="27"/>
  <c r="X34" i="27" s="1"/>
  <c r="V19" i="27"/>
  <c r="V34" i="27" s="1"/>
  <c r="T19" i="27"/>
  <c r="T34" i="27" s="1"/>
  <c r="R19" i="27"/>
  <c r="R34" i="27" s="1"/>
  <c r="P19" i="27"/>
  <c r="N19" i="27"/>
  <c r="N34" i="27" s="1"/>
  <c r="L19" i="27"/>
  <c r="L34" i="27" s="1"/>
  <c r="J19" i="27"/>
  <c r="J34" i="27" s="1"/>
  <c r="H19" i="27"/>
  <c r="F19" i="27"/>
  <c r="D19" i="27"/>
  <c r="B19" i="27"/>
  <c r="B34" i="27" s="1"/>
  <c r="AD33" i="29"/>
  <c r="X33" i="29"/>
  <c r="V33" i="29"/>
  <c r="T33" i="29"/>
  <c r="R33" i="29"/>
  <c r="P33" i="29"/>
  <c r="N33" i="29"/>
  <c r="L33" i="29"/>
  <c r="J33" i="29"/>
  <c r="H33" i="29"/>
  <c r="F33" i="29"/>
  <c r="D33" i="29"/>
  <c r="B33" i="29"/>
  <c r="AA24" i="29"/>
  <c r="AG24" i="29" s="1"/>
  <c r="AI24" i="29" s="1"/>
  <c r="AA23" i="29"/>
  <c r="AG23" i="29" s="1"/>
  <c r="AI23" i="29" s="1"/>
  <c r="AA22" i="29"/>
  <c r="AG22" i="29" s="1"/>
  <c r="AI22" i="29" s="1"/>
  <c r="AD25" i="29"/>
  <c r="X25" i="29"/>
  <c r="V25" i="29"/>
  <c r="T25" i="29"/>
  <c r="R25" i="29"/>
  <c r="P25" i="29"/>
  <c r="N25" i="29"/>
  <c r="L25" i="29"/>
  <c r="J25" i="29"/>
  <c r="H25" i="29"/>
  <c r="F25" i="29"/>
  <c r="D25" i="29"/>
  <c r="X33" i="28"/>
  <c r="V33" i="28"/>
  <c r="T33" i="28"/>
  <c r="R33" i="28"/>
  <c r="P33" i="28"/>
  <c r="N33" i="28"/>
  <c r="L33" i="28"/>
  <c r="H33" i="28"/>
  <c r="F33" i="28"/>
  <c r="D33" i="28"/>
  <c r="B33" i="28"/>
  <c r="X25" i="28"/>
  <c r="V25" i="28"/>
  <c r="T25" i="28"/>
  <c r="R25" i="28"/>
  <c r="P25" i="28"/>
  <c r="N25" i="28"/>
  <c r="L25" i="28"/>
  <c r="J25" i="28"/>
  <c r="H25" i="28"/>
  <c r="F25" i="28"/>
  <c r="D25" i="28"/>
  <c r="B25" i="28"/>
  <c r="X17" i="28"/>
  <c r="X28" i="28" s="1"/>
  <c r="V17" i="28"/>
  <c r="V28" i="28" s="1"/>
  <c r="T17" i="28"/>
  <c r="R17" i="28"/>
  <c r="P17" i="28"/>
  <c r="N17" i="28"/>
  <c r="L17" i="28"/>
  <c r="L28" i="28" s="1"/>
  <c r="J17" i="28"/>
  <c r="H17" i="28"/>
  <c r="F17" i="28"/>
  <c r="D17" i="28"/>
  <c r="B17" i="28"/>
  <c r="B25" i="29"/>
  <c r="AD17" i="29"/>
  <c r="X17" i="29"/>
  <c r="V17" i="29"/>
  <c r="T17" i="29"/>
  <c r="R17" i="29"/>
  <c r="N17" i="29"/>
  <c r="L17" i="29"/>
  <c r="J17" i="29"/>
  <c r="H17" i="29"/>
  <c r="F17" i="29"/>
  <c r="B17" i="29"/>
  <c r="J17" i="33"/>
  <c r="J16" i="33"/>
  <c r="J15" i="33"/>
  <c r="H18" i="33"/>
  <c r="F18" i="33"/>
  <c r="D18" i="33"/>
  <c r="J44" i="32"/>
  <c r="H44" i="32"/>
  <c r="F44" i="32"/>
  <c r="D44" i="32"/>
  <c r="L43" i="32"/>
  <c r="L42" i="32"/>
  <c r="L41" i="32"/>
  <c r="L40" i="32"/>
  <c r="L39" i="32"/>
  <c r="L38" i="32"/>
  <c r="L37" i="32"/>
  <c r="L36" i="32"/>
  <c r="L35" i="32"/>
  <c r="L34" i="32"/>
  <c r="L33" i="32"/>
  <c r="L32" i="32"/>
  <c r="L31" i="32"/>
  <c r="L30" i="32"/>
  <c r="L29" i="32"/>
  <c r="L28" i="32"/>
  <c r="L27" i="32"/>
  <c r="L21" i="32"/>
  <c r="L20" i="32"/>
  <c r="J23" i="32"/>
  <c r="H23" i="32"/>
  <c r="F23" i="32"/>
  <c r="D23" i="32"/>
  <c r="J16" i="32"/>
  <c r="H16" i="32"/>
  <c r="F16" i="32"/>
  <c r="D16" i="32"/>
  <c r="L14" i="32"/>
  <c r="L16" i="32" s="1"/>
  <c r="K38" i="31"/>
  <c r="K37" i="31"/>
  <c r="K36" i="31"/>
  <c r="K35" i="31"/>
  <c r="K34" i="31"/>
  <c r="K33" i="31"/>
  <c r="K32" i="31"/>
  <c r="K31" i="31"/>
  <c r="K24" i="31"/>
  <c r="K23" i="31"/>
  <c r="K22" i="31"/>
  <c r="K21" i="31"/>
  <c r="K20" i="31"/>
  <c r="K19" i="31"/>
  <c r="K18" i="31"/>
  <c r="K17" i="31"/>
  <c r="I39" i="31"/>
  <c r="G39" i="31"/>
  <c r="E39" i="31"/>
  <c r="C39" i="31"/>
  <c r="I25" i="31"/>
  <c r="G25" i="31"/>
  <c r="E25" i="31"/>
  <c r="C25" i="31"/>
  <c r="AI78" i="24"/>
  <c r="AI85" i="24" s="1"/>
  <c r="AA78" i="24"/>
  <c r="AA85" i="24" s="1"/>
  <c r="Y78" i="24"/>
  <c r="Y85" i="24" s="1"/>
  <c r="W78" i="24"/>
  <c r="W85" i="24" s="1"/>
  <c r="S78" i="24"/>
  <c r="S85" i="24" s="1"/>
  <c r="Q78" i="24"/>
  <c r="Q85" i="24" s="1"/>
  <c r="O78" i="24"/>
  <c r="O85" i="24" s="1"/>
  <c r="M78" i="24"/>
  <c r="M85" i="24" s="1"/>
  <c r="K78" i="24"/>
  <c r="K85" i="24" s="1"/>
  <c r="I78" i="24"/>
  <c r="I85" i="24" s="1"/>
  <c r="G78" i="24"/>
  <c r="G85" i="24" s="1"/>
  <c r="E95" i="24"/>
  <c r="E78" i="24"/>
  <c r="G96" i="23"/>
  <c r="G79" i="23"/>
  <c r="G86" i="23" s="1"/>
  <c r="G31" i="12"/>
  <c r="AA62" i="22"/>
  <c r="G25" i="12" s="1"/>
  <c r="AA53" i="22"/>
  <c r="AA51" i="22"/>
  <c r="G29" i="12" s="1"/>
  <c r="AG12" i="22"/>
  <c r="AI12" i="22" s="1"/>
  <c r="AA45" i="22"/>
  <c r="AA47" i="22" s="1"/>
  <c r="D65" i="22"/>
  <c r="D55" i="22"/>
  <c r="B65" i="22"/>
  <c r="B55" i="22"/>
  <c r="AH86" i="21"/>
  <c r="AH70" i="21"/>
  <c r="Z86" i="21"/>
  <c r="X86" i="21"/>
  <c r="V86" i="21"/>
  <c r="T86" i="21"/>
  <c r="R86" i="21"/>
  <c r="P86" i="21"/>
  <c r="N86" i="21"/>
  <c r="J86" i="21"/>
  <c r="H86" i="21"/>
  <c r="F86" i="21"/>
  <c r="D86" i="21"/>
  <c r="AE100" i="20"/>
  <c r="G30" i="11" s="1"/>
  <c r="Z116" i="20"/>
  <c r="X116" i="20"/>
  <c r="V116" i="20"/>
  <c r="T116" i="20"/>
  <c r="R116" i="20"/>
  <c r="P116" i="20"/>
  <c r="N116" i="20"/>
  <c r="L116" i="20"/>
  <c r="J116" i="20"/>
  <c r="H116" i="20"/>
  <c r="F116" i="20"/>
  <c r="Z100" i="20"/>
  <c r="Z107" i="20" s="1"/>
  <c r="X100" i="20"/>
  <c r="X107" i="20" s="1"/>
  <c r="V100" i="20"/>
  <c r="V107" i="20" s="1"/>
  <c r="T100" i="20"/>
  <c r="T107" i="20" s="1"/>
  <c r="T110" i="20" s="1"/>
  <c r="R100" i="20"/>
  <c r="R107" i="20" s="1"/>
  <c r="P100" i="20"/>
  <c r="P107" i="20" s="1"/>
  <c r="N100" i="20"/>
  <c r="N107" i="20" s="1"/>
  <c r="L100" i="20"/>
  <c r="L107" i="20" s="1"/>
  <c r="J100" i="20"/>
  <c r="J107" i="20" s="1"/>
  <c r="H100" i="20"/>
  <c r="H107" i="20" s="1"/>
  <c r="F100" i="20"/>
  <c r="F107" i="20" s="1"/>
  <c r="D116" i="20"/>
  <c r="D100" i="20"/>
  <c r="D107" i="20" s="1"/>
  <c r="D110" i="20" s="1"/>
  <c r="Z117" i="19"/>
  <c r="X117" i="19"/>
  <c r="V117" i="19"/>
  <c r="T117" i="19"/>
  <c r="R117" i="19"/>
  <c r="P117" i="19"/>
  <c r="N117" i="19"/>
  <c r="H117" i="19"/>
  <c r="F117" i="19"/>
  <c r="Z101" i="19"/>
  <c r="Z108" i="19" s="1"/>
  <c r="D117" i="19"/>
  <c r="AF131" i="18"/>
  <c r="AF107" i="18"/>
  <c r="AF113" i="18" s="1"/>
  <c r="B28" i="28" l="1"/>
  <c r="B37" i="28" s="1"/>
  <c r="B38" i="28" s="1"/>
  <c r="U39" i="26"/>
  <c r="U53" i="26" s="1"/>
  <c r="G21" i="14"/>
  <c r="R28" i="28"/>
  <c r="N28" i="28"/>
  <c r="AM100" i="20"/>
  <c r="AH77" i="21"/>
  <c r="L37" i="28"/>
  <c r="I29" i="12"/>
  <c r="T28" i="28"/>
  <c r="T37" i="28" s="1"/>
  <c r="N37" i="28"/>
  <c r="V37" i="28"/>
  <c r="X37" i="28"/>
  <c r="R37" i="28"/>
  <c r="G32" i="10"/>
  <c r="G33" i="10"/>
  <c r="F34" i="27"/>
  <c r="F48" i="27" s="1"/>
  <c r="H28" i="28"/>
  <c r="H37" i="28" s="1"/>
  <c r="G25" i="10"/>
  <c r="H121" i="19"/>
  <c r="E85" i="24"/>
  <c r="E88" i="24" s="1"/>
  <c r="E100" i="24" s="1"/>
  <c r="E66" i="25"/>
  <c r="E69" i="25" s="1"/>
  <c r="E79" i="25" s="1"/>
  <c r="W39" i="26"/>
  <c r="W53" i="26" s="1"/>
  <c r="T28" i="29"/>
  <c r="T37" i="29" s="1"/>
  <c r="S39" i="26"/>
  <c r="S53" i="26" s="1"/>
  <c r="T120" i="20"/>
  <c r="X48" i="27"/>
  <c r="P28" i="28"/>
  <c r="P37" i="28" s="1"/>
  <c r="D34" i="27"/>
  <c r="D48" i="27" s="1"/>
  <c r="J47" i="32"/>
  <c r="N28" i="29"/>
  <c r="N37" i="29" s="1"/>
  <c r="B28" i="29"/>
  <c r="B37" i="29" s="1"/>
  <c r="B38" i="29" s="1"/>
  <c r="H28" i="29"/>
  <c r="H37" i="29" s="1"/>
  <c r="P28" i="29"/>
  <c r="P37" i="29" s="1"/>
  <c r="X28" i="29"/>
  <c r="X37" i="29" s="1"/>
  <c r="N48" i="27"/>
  <c r="V48" i="27"/>
  <c r="R28" i="29"/>
  <c r="R37" i="29" s="1"/>
  <c r="F28" i="29"/>
  <c r="F37" i="29" s="1"/>
  <c r="V28" i="29"/>
  <c r="V37" i="29" s="1"/>
  <c r="L28" i="29"/>
  <c r="L37" i="29" s="1"/>
  <c r="M39" i="26"/>
  <c r="I42" i="31"/>
  <c r="J28" i="29"/>
  <c r="J37" i="29" s="1"/>
  <c r="T25" i="11"/>
  <c r="J28" i="28"/>
  <c r="J37" i="28" s="1"/>
  <c r="G31" i="10"/>
  <c r="I26" i="13"/>
  <c r="X121" i="19"/>
  <c r="N121" i="19"/>
  <c r="D120" i="20"/>
  <c r="I24" i="14"/>
  <c r="I26" i="14"/>
  <c r="I31" i="12"/>
  <c r="I25" i="12"/>
  <c r="AF22" i="24"/>
  <c r="T31" i="11"/>
  <c r="I31" i="11"/>
  <c r="I32" i="11"/>
  <c r="I33" i="11"/>
  <c r="O101" i="23"/>
  <c r="AG45" i="22"/>
  <c r="AI45" i="22" s="1"/>
  <c r="G24" i="12"/>
  <c r="D47" i="32"/>
  <c r="AG33" i="29"/>
  <c r="AI33" i="29" s="1"/>
  <c r="AG25" i="29"/>
  <c r="AI25" i="29" s="1"/>
  <c r="N110" i="20"/>
  <c r="N120" i="20" s="1"/>
  <c r="V110" i="20"/>
  <c r="V120" i="20" s="1"/>
  <c r="L110" i="20"/>
  <c r="L120" i="20" s="1"/>
  <c r="P110" i="20"/>
  <c r="P120" i="20" s="1"/>
  <c r="X110" i="20"/>
  <c r="X120" i="20" s="1"/>
  <c r="R110" i="20"/>
  <c r="R120" i="20" s="1"/>
  <c r="Z110" i="20"/>
  <c r="Z120" i="20" s="1"/>
  <c r="AL75" i="25"/>
  <c r="AN75" i="25" s="1"/>
  <c r="G32" i="13"/>
  <c r="AL91" i="24"/>
  <c r="AF95" i="24"/>
  <c r="AD44" i="3"/>
  <c r="G33" i="8"/>
  <c r="J45" i="3"/>
  <c r="J110" i="20"/>
  <c r="J120" i="20" s="1"/>
  <c r="J23" i="3"/>
  <c r="Q88" i="24"/>
  <c r="Q100" i="24" s="1"/>
  <c r="K88" i="24"/>
  <c r="K100" i="24" s="1"/>
  <c r="S88" i="24"/>
  <c r="S100" i="24" s="1"/>
  <c r="AA88" i="24"/>
  <c r="AA100" i="24" s="1"/>
  <c r="W88" i="24"/>
  <c r="W100" i="24" s="1"/>
  <c r="M88" i="24"/>
  <c r="M100" i="24" s="1"/>
  <c r="Y88" i="24"/>
  <c r="Y100" i="24" s="1"/>
  <c r="O88" i="24"/>
  <c r="O100" i="24" s="1"/>
  <c r="AL62" i="24"/>
  <c r="AN62" i="24" s="1"/>
  <c r="AL83" i="24"/>
  <c r="AN83" i="24" s="1"/>
  <c r="O69" i="25"/>
  <c r="O79" i="25" s="1"/>
  <c r="M69" i="25"/>
  <c r="M79" i="25" s="1"/>
  <c r="W69" i="25"/>
  <c r="W79" i="25" s="1"/>
  <c r="K69" i="25"/>
  <c r="K79" i="25" s="1"/>
  <c r="S69" i="25"/>
  <c r="S79" i="25" s="1"/>
  <c r="AA69" i="25"/>
  <c r="AA79" i="25" s="1"/>
  <c r="Q69" i="25"/>
  <c r="Q79" i="25" s="1"/>
  <c r="Y69" i="25"/>
  <c r="Y79" i="25" s="1"/>
  <c r="AL50" i="25"/>
  <c r="AN50" i="25" s="1"/>
  <c r="I39" i="26"/>
  <c r="I53" i="26" s="1"/>
  <c r="C39" i="26"/>
  <c r="C53" i="26" s="1"/>
  <c r="C55" i="26" s="1"/>
  <c r="K39" i="26"/>
  <c r="K53" i="26" s="1"/>
  <c r="J48" i="27"/>
  <c r="R48" i="27"/>
  <c r="L48" i="27"/>
  <c r="T48" i="27"/>
  <c r="H34" i="27"/>
  <c r="H48" i="27" s="1"/>
  <c r="P34" i="27"/>
  <c r="P48" i="27" s="1"/>
  <c r="B48" i="27"/>
  <c r="B50" i="27" s="1"/>
  <c r="AD28" i="29"/>
  <c r="AD37" i="29" s="1"/>
  <c r="AD38" i="29" s="1"/>
  <c r="D28" i="29"/>
  <c r="D37" i="29" s="1"/>
  <c r="AA17" i="29"/>
  <c r="AG16" i="29"/>
  <c r="AI16" i="29" s="1"/>
  <c r="K101" i="23"/>
  <c r="G23" i="12"/>
  <c r="AG53" i="22"/>
  <c r="AI53" i="22" s="1"/>
  <c r="G30" i="12"/>
  <c r="P121" i="19"/>
  <c r="R121" i="19"/>
  <c r="Z111" i="19"/>
  <c r="Z121" i="19" s="1"/>
  <c r="T121" i="19"/>
  <c r="V121" i="19"/>
  <c r="G39" i="26"/>
  <c r="G53" i="26" s="1"/>
  <c r="AG63" i="22"/>
  <c r="AI63" i="22" s="1"/>
  <c r="AG62" i="22"/>
  <c r="AI62" i="22" s="1"/>
  <c r="F28" i="28"/>
  <c r="F37" i="28" s="1"/>
  <c r="H110" i="20"/>
  <c r="H120" i="20" s="1"/>
  <c r="I101" i="23"/>
  <c r="AL64" i="25"/>
  <c r="AN64" i="25" s="1"/>
  <c r="I69" i="25"/>
  <c r="I79" i="25" s="1"/>
  <c r="AL70" i="24"/>
  <c r="AN70" i="24" s="1"/>
  <c r="I88" i="24"/>
  <c r="I100" i="24" s="1"/>
  <c r="AL19" i="24"/>
  <c r="AN19" i="24" s="1"/>
  <c r="AL26" i="24"/>
  <c r="AN26" i="24" s="1"/>
  <c r="D58" i="22"/>
  <c r="D70" i="22" s="1"/>
  <c r="AL92" i="24"/>
  <c r="AN92" i="24" s="1"/>
  <c r="AL20" i="24"/>
  <c r="AN20" i="24" s="1"/>
  <c r="E39" i="26"/>
  <c r="E53" i="26" s="1"/>
  <c r="AL21" i="24"/>
  <c r="AN21" i="24" s="1"/>
  <c r="D28" i="28"/>
  <c r="D37" i="28" s="1"/>
  <c r="G89" i="23"/>
  <c r="G101" i="23" s="1"/>
  <c r="AL76" i="24"/>
  <c r="AN76" i="24" s="1"/>
  <c r="AL69" i="24"/>
  <c r="AN69" i="24" s="1"/>
  <c r="AF78" i="24"/>
  <c r="G88" i="24"/>
  <c r="G100" i="24" s="1"/>
  <c r="AL68" i="24"/>
  <c r="AN68" i="24" s="1"/>
  <c r="AF75" i="25"/>
  <c r="AL58" i="25"/>
  <c r="AF59" i="25"/>
  <c r="Q30" i="14" s="1"/>
  <c r="G69" i="25"/>
  <c r="G79" i="25" s="1"/>
  <c r="AL43" i="25"/>
  <c r="AN43" i="25" s="1"/>
  <c r="AA65" i="22"/>
  <c r="AA55" i="22"/>
  <c r="AG51" i="22"/>
  <c r="AI51" i="22" s="1"/>
  <c r="AH110" i="20"/>
  <c r="AH120" i="20" s="1"/>
  <c r="AK100" i="20"/>
  <c r="F110" i="20"/>
  <c r="F120" i="20" s="1"/>
  <c r="AE107" i="20"/>
  <c r="AM107" i="20" s="1"/>
  <c r="F121" i="19"/>
  <c r="H47" i="32"/>
  <c r="L44" i="32"/>
  <c r="F47" i="32"/>
  <c r="L23" i="32"/>
  <c r="G42" i="31"/>
  <c r="E42" i="31"/>
  <c r="C42" i="31"/>
  <c r="AF116" i="18"/>
  <c r="AF135" i="18" s="1"/>
  <c r="AF137" i="18" s="1"/>
  <c r="AA33" i="29"/>
  <c r="AA25" i="29"/>
  <c r="J18" i="33"/>
  <c r="K39" i="31"/>
  <c r="K25" i="31"/>
  <c r="W138" i="16"/>
  <c r="U138" i="16"/>
  <c r="S138" i="16"/>
  <c r="Q138" i="16"/>
  <c r="O138" i="16"/>
  <c r="M138" i="16"/>
  <c r="Y119" i="16"/>
  <c r="Y128" i="16" s="1"/>
  <c r="W119" i="16"/>
  <c r="W128" i="16" s="1"/>
  <c r="U119" i="16"/>
  <c r="U128" i="16" s="1"/>
  <c r="S119" i="16"/>
  <c r="S128" i="16" s="1"/>
  <c r="Q119" i="16"/>
  <c r="Q128" i="16" s="1"/>
  <c r="O119" i="16"/>
  <c r="O128" i="16" s="1"/>
  <c r="M119" i="16"/>
  <c r="M128" i="16" s="1"/>
  <c r="N34" i="6"/>
  <c r="N26" i="6"/>
  <c r="N19" i="6"/>
  <c r="N34" i="2"/>
  <c r="L34" i="2"/>
  <c r="K133" i="30"/>
  <c r="K134" i="30"/>
  <c r="K135" i="30"/>
  <c r="K119" i="30"/>
  <c r="I108" i="30"/>
  <c r="G108" i="30"/>
  <c r="E108" i="30"/>
  <c r="C108" i="30"/>
  <c r="K102" i="30"/>
  <c r="K104" i="30"/>
  <c r="K101" i="30"/>
  <c r="I96" i="30"/>
  <c r="E96" i="30"/>
  <c r="C96" i="30"/>
  <c r="K90" i="30"/>
  <c r="K91" i="30"/>
  <c r="K92" i="30"/>
  <c r="K93" i="30"/>
  <c r="K94" i="30"/>
  <c r="K95" i="30"/>
  <c r="K89" i="30"/>
  <c r="I86" i="30"/>
  <c r="G86" i="30"/>
  <c r="C86" i="30"/>
  <c r="K69" i="30"/>
  <c r="K70" i="30"/>
  <c r="K71" i="30"/>
  <c r="K72" i="30"/>
  <c r="K73" i="30"/>
  <c r="K75" i="30"/>
  <c r="K76" i="30"/>
  <c r="K77" i="30"/>
  <c r="K78" i="30"/>
  <c r="K79" i="30"/>
  <c r="K80" i="30"/>
  <c r="K81" i="30"/>
  <c r="K83" i="30"/>
  <c r="K68" i="30"/>
  <c r="K63" i="30"/>
  <c r="K64" i="30"/>
  <c r="K65" i="30"/>
  <c r="K66" i="30"/>
  <c r="K62" i="30"/>
  <c r="K35" i="30"/>
  <c r="K36" i="30"/>
  <c r="K37" i="30"/>
  <c r="K38" i="30"/>
  <c r="K39" i="30"/>
  <c r="K40" i="30"/>
  <c r="K41" i="30"/>
  <c r="K42" i="30"/>
  <c r="K43" i="30"/>
  <c r="K44" i="30"/>
  <c r="K45" i="30"/>
  <c r="K46" i="30"/>
  <c r="K47" i="30"/>
  <c r="K48" i="30"/>
  <c r="K49" i="30"/>
  <c r="K50" i="30"/>
  <c r="K52" i="30"/>
  <c r="K53" i="30"/>
  <c r="K54" i="30"/>
  <c r="K55" i="30"/>
  <c r="K56" i="30"/>
  <c r="K57" i="30"/>
  <c r="K58" i="30"/>
  <c r="K34" i="30"/>
  <c r="K28" i="30"/>
  <c r="K29" i="30"/>
  <c r="K30" i="30"/>
  <c r="K31" i="30"/>
  <c r="K32" i="30"/>
  <c r="K27" i="30"/>
  <c r="G21" i="13" l="1"/>
  <c r="G30" i="14"/>
  <c r="G20" i="14"/>
  <c r="G20" i="13" s="1"/>
  <c r="I33" i="10"/>
  <c r="I30" i="11"/>
  <c r="I35" i="11" s="1"/>
  <c r="G35" i="11"/>
  <c r="AN59" i="25"/>
  <c r="K26" i="12"/>
  <c r="K36" i="12" s="1"/>
  <c r="K35" i="11"/>
  <c r="G32" i="12"/>
  <c r="K32" i="12"/>
  <c r="K86" i="30"/>
  <c r="I32" i="10"/>
  <c r="G27" i="10"/>
  <c r="K27" i="10"/>
  <c r="I31" i="10"/>
  <c r="K151" i="30"/>
  <c r="E55" i="26"/>
  <c r="D38" i="28"/>
  <c r="D50" i="27"/>
  <c r="D38" i="29"/>
  <c r="I25" i="10"/>
  <c r="I27" i="10" s="1"/>
  <c r="K108" i="30"/>
  <c r="G26" i="12"/>
  <c r="G24" i="13"/>
  <c r="Q27" i="14"/>
  <c r="M53" i="26"/>
  <c r="AG65" i="22"/>
  <c r="AI65" i="22" s="1"/>
  <c r="G31" i="13"/>
  <c r="I32" i="13"/>
  <c r="S32" i="14"/>
  <c r="S31" i="14"/>
  <c r="AL45" i="25"/>
  <c r="U27" i="14"/>
  <c r="S24" i="14"/>
  <c r="S27" i="14" s="1"/>
  <c r="I21" i="14"/>
  <c r="I31" i="14"/>
  <c r="I30" i="12"/>
  <c r="I32" i="12" s="1"/>
  <c r="G32" i="7"/>
  <c r="I24" i="12"/>
  <c r="I23" i="12"/>
  <c r="G24" i="7"/>
  <c r="AL27" i="24"/>
  <c r="AN27" i="24" s="1"/>
  <c r="AF32" i="24"/>
  <c r="AF64" i="24" s="1"/>
  <c r="AL22" i="24"/>
  <c r="AN22" i="24" s="1"/>
  <c r="I33" i="8"/>
  <c r="AG47" i="22"/>
  <c r="AI47" i="22" s="1"/>
  <c r="AG17" i="29"/>
  <c r="AI17" i="29" s="1"/>
  <c r="U131" i="16"/>
  <c r="U142" i="16" s="1"/>
  <c r="Q131" i="16"/>
  <c r="Q142" i="16" s="1"/>
  <c r="O131" i="16"/>
  <c r="O142" i="16" s="1"/>
  <c r="W131" i="16"/>
  <c r="W142" i="16" s="1"/>
  <c r="M131" i="16"/>
  <c r="M142" i="16" s="1"/>
  <c r="S131" i="16"/>
  <c r="S142" i="16" s="1"/>
  <c r="Y131" i="16"/>
  <c r="Y142" i="16" s="1"/>
  <c r="J48" i="3"/>
  <c r="AL59" i="25"/>
  <c r="AF66" i="25"/>
  <c r="AF69" i="25" s="1"/>
  <c r="AA28" i="29"/>
  <c r="AA37" i="29" s="1"/>
  <c r="AL78" i="24"/>
  <c r="AN78" i="24" s="1"/>
  <c r="AA58" i="22"/>
  <c r="AL95" i="24"/>
  <c r="AN95" i="24" s="1"/>
  <c r="AF85" i="24"/>
  <c r="K96" i="30"/>
  <c r="AG55" i="22"/>
  <c r="AI55" i="22" s="1"/>
  <c r="AK107" i="20"/>
  <c r="AE110" i="20"/>
  <c r="L47" i="32"/>
  <c r="N29" i="6"/>
  <c r="N39" i="6" s="1"/>
  <c r="N42" i="6" s="1"/>
  <c r="AI88" i="24"/>
  <c r="K42" i="31"/>
  <c r="X12" i="2"/>
  <c r="H24" i="6"/>
  <c r="AC14" i="18"/>
  <c r="AK37" i="18"/>
  <c r="AK52" i="18"/>
  <c r="AC91" i="18"/>
  <c r="G25" i="9" s="1"/>
  <c r="K25" i="9" s="1"/>
  <c r="AI98" i="18"/>
  <c r="AI99" i="18"/>
  <c r="AK99" i="18" s="1"/>
  <c r="AI101" i="18"/>
  <c r="AK101" i="18" s="1"/>
  <c r="AI102" i="18"/>
  <c r="AK102" i="18" s="1"/>
  <c r="AI103" i="18"/>
  <c r="AK103" i="18" s="1"/>
  <c r="AI104" i="18"/>
  <c r="AK104" i="18" s="1"/>
  <c r="AI105" i="18"/>
  <c r="AK105" i="18" s="1"/>
  <c r="AI106" i="18"/>
  <c r="AK106" i="18" s="1"/>
  <c r="D107" i="18"/>
  <c r="D113" i="18" s="1"/>
  <c r="F107" i="18"/>
  <c r="F113" i="18" s="1"/>
  <c r="H107" i="18"/>
  <c r="H113" i="18" s="1"/>
  <c r="J107" i="18"/>
  <c r="J113" i="18" s="1"/>
  <c r="L107" i="18"/>
  <c r="L113" i="18" s="1"/>
  <c r="N107" i="18"/>
  <c r="N113" i="18" s="1"/>
  <c r="P107" i="18"/>
  <c r="P113" i="18" s="1"/>
  <c r="R107" i="18"/>
  <c r="R113" i="18" s="1"/>
  <c r="T107" i="18"/>
  <c r="T113" i="18" s="1"/>
  <c r="V107" i="18"/>
  <c r="V113" i="18" s="1"/>
  <c r="X107" i="18"/>
  <c r="X113" i="18" s="1"/>
  <c r="Z107" i="18"/>
  <c r="Z113" i="18" s="1"/>
  <c r="AI109" i="18"/>
  <c r="AK109" i="18" s="1"/>
  <c r="AC110" i="18"/>
  <c r="AC111" i="18"/>
  <c r="AC120" i="18"/>
  <c r="G27" i="9" s="1"/>
  <c r="AC124" i="18"/>
  <c r="AC125" i="18"/>
  <c r="AI125" i="18" s="1"/>
  <c r="AC127" i="18"/>
  <c r="AC128" i="18"/>
  <c r="AI128" i="18" s="1"/>
  <c r="AK128" i="18" s="1"/>
  <c r="D131" i="18"/>
  <c r="F131" i="18"/>
  <c r="H131" i="18"/>
  <c r="J131" i="18"/>
  <c r="L131" i="18"/>
  <c r="N131" i="18"/>
  <c r="P131" i="18"/>
  <c r="R131" i="18"/>
  <c r="T131" i="18"/>
  <c r="V131" i="18"/>
  <c r="X131" i="18"/>
  <c r="Z131" i="18"/>
  <c r="Z70" i="21"/>
  <c r="Z77" i="21" s="1"/>
  <c r="Z80" i="21" s="1"/>
  <c r="Z90" i="21" s="1"/>
  <c r="X70" i="21"/>
  <c r="X77" i="21" s="1"/>
  <c r="X80" i="21" s="1"/>
  <c r="V70" i="21"/>
  <c r="V77" i="21" s="1"/>
  <c r="V80" i="21" s="1"/>
  <c r="T70" i="21"/>
  <c r="T77" i="21" s="1"/>
  <c r="T80" i="21" s="1"/>
  <c r="R70" i="21"/>
  <c r="R77" i="21" s="1"/>
  <c r="P70" i="21"/>
  <c r="P77" i="21" s="1"/>
  <c r="P80" i="21" s="1"/>
  <c r="N70" i="21"/>
  <c r="N77" i="21" s="1"/>
  <c r="N80" i="21" s="1"/>
  <c r="J70" i="21"/>
  <c r="J77" i="21" s="1"/>
  <c r="J80" i="21" s="1"/>
  <c r="H70" i="21"/>
  <c r="H77" i="21" s="1"/>
  <c r="H80" i="21" s="1"/>
  <c r="D70" i="21"/>
  <c r="D77" i="21" s="1"/>
  <c r="F70" i="21"/>
  <c r="F77" i="21" s="1"/>
  <c r="F80" i="21" s="1"/>
  <c r="AH80" i="21"/>
  <c r="AH90" i="21" s="1"/>
  <c r="I21" i="13" l="1"/>
  <c r="G22" i="7"/>
  <c r="I20" i="14"/>
  <c r="I27" i="14" s="1"/>
  <c r="K27" i="14"/>
  <c r="G27" i="14"/>
  <c r="K39" i="12"/>
  <c r="AA70" i="22"/>
  <c r="AA73" i="22" s="1"/>
  <c r="F50" i="2"/>
  <c r="G39" i="9"/>
  <c r="I31" i="13"/>
  <c r="G55" i="26"/>
  <c r="F50" i="27"/>
  <c r="F38" i="29"/>
  <c r="F38" i="28"/>
  <c r="AF79" i="25"/>
  <c r="P38" i="29"/>
  <c r="AI14" i="18"/>
  <c r="AK14" i="18" s="1"/>
  <c r="G49" i="9"/>
  <c r="K27" i="13"/>
  <c r="I20" i="13"/>
  <c r="I27" i="9"/>
  <c r="G41" i="7"/>
  <c r="I26" i="12"/>
  <c r="I36" i="12" s="1"/>
  <c r="I39" i="12" s="1"/>
  <c r="I24" i="13"/>
  <c r="G27" i="13"/>
  <c r="G21" i="7"/>
  <c r="AI100" i="24"/>
  <c r="D80" i="21"/>
  <c r="D90" i="21" s="1"/>
  <c r="R80" i="21"/>
  <c r="R90" i="21" s="1"/>
  <c r="G33" i="7"/>
  <c r="G30" i="13"/>
  <c r="I25" i="9"/>
  <c r="G31" i="9"/>
  <c r="G25" i="7"/>
  <c r="U33" i="14"/>
  <c r="S30" i="14"/>
  <c r="S33" i="14" s="1"/>
  <c r="Q33" i="14"/>
  <c r="Q37" i="14" s="1"/>
  <c r="Q40" i="14" s="1"/>
  <c r="K33" i="14"/>
  <c r="I30" i="14"/>
  <c r="I33" i="14" s="1"/>
  <c r="I24" i="7"/>
  <c r="I32" i="7"/>
  <c r="AL32" i="24"/>
  <c r="AN32" i="24" s="1"/>
  <c r="AI91" i="18"/>
  <c r="AK91" i="18" s="1"/>
  <c r="AC93" i="18"/>
  <c r="AG28" i="29"/>
  <c r="AI28" i="29" s="1"/>
  <c r="P90" i="21"/>
  <c r="X90" i="21"/>
  <c r="N90" i="21"/>
  <c r="T90" i="21"/>
  <c r="V90" i="21"/>
  <c r="J90" i="21"/>
  <c r="AI127" i="18"/>
  <c r="AK127" i="18" s="1"/>
  <c r="G38" i="9"/>
  <c r="AI124" i="18"/>
  <c r="AK124" i="18" s="1"/>
  <c r="AI111" i="18"/>
  <c r="AK111" i="18" s="1"/>
  <c r="G36" i="9"/>
  <c r="AI110" i="18"/>
  <c r="AK110" i="18" s="1"/>
  <c r="G35" i="9"/>
  <c r="G33" i="14"/>
  <c r="G36" i="12"/>
  <c r="G39" i="12" s="1"/>
  <c r="AK44" i="18"/>
  <c r="X116" i="18"/>
  <c r="P116" i="18"/>
  <c r="H116" i="18"/>
  <c r="N116" i="18"/>
  <c r="V116" i="18"/>
  <c r="H90" i="21"/>
  <c r="AF88" i="24"/>
  <c r="AF100" i="24" s="1"/>
  <c r="AL85" i="24"/>
  <c r="AN85" i="24" s="1"/>
  <c r="AI120" i="18"/>
  <c r="AK120" i="18" s="1"/>
  <c r="F49" i="2"/>
  <c r="F51" i="3" s="1"/>
  <c r="F116" i="18"/>
  <c r="F90" i="21"/>
  <c r="AK110" i="20"/>
  <c r="AM110" i="20" s="1"/>
  <c r="AC131" i="18"/>
  <c r="Z116" i="18"/>
  <c r="R116" i="18"/>
  <c r="J116" i="18"/>
  <c r="T116" i="18"/>
  <c r="L116" i="18"/>
  <c r="D116" i="18"/>
  <c r="AC107" i="18"/>
  <c r="AI97" i="18"/>
  <c r="AK97" i="18" s="1"/>
  <c r="I22" i="7" l="1"/>
  <c r="G37" i="14"/>
  <c r="H38" i="29"/>
  <c r="I30" i="13"/>
  <c r="I33" i="13" s="1"/>
  <c r="K33" i="13"/>
  <c r="K37" i="13" s="1"/>
  <c r="K40" i="13" s="1"/>
  <c r="I25" i="7"/>
  <c r="H50" i="27"/>
  <c r="I21" i="7"/>
  <c r="H38" i="28"/>
  <c r="T38" i="28"/>
  <c r="R38" i="29"/>
  <c r="P50" i="27"/>
  <c r="Q55" i="26"/>
  <c r="I27" i="13"/>
  <c r="G49" i="7"/>
  <c r="I49" i="9"/>
  <c r="K31" i="9"/>
  <c r="I41" i="7"/>
  <c r="AI131" i="18"/>
  <c r="AK131" i="18" s="1"/>
  <c r="G26" i="7"/>
  <c r="I33" i="7"/>
  <c r="G33" i="13"/>
  <c r="G37" i="13" s="1"/>
  <c r="G40" i="13" s="1"/>
  <c r="I36" i="9"/>
  <c r="G31" i="7"/>
  <c r="AI107" i="18"/>
  <c r="G34" i="9"/>
  <c r="I38" i="9"/>
  <c r="I35" i="9"/>
  <c r="G30" i="7"/>
  <c r="I39" i="9"/>
  <c r="U37" i="14"/>
  <c r="K37" i="14"/>
  <c r="K40" i="14" s="1"/>
  <c r="I37" i="14"/>
  <c r="I40" i="14" s="1"/>
  <c r="S37" i="14"/>
  <c r="AL64" i="24"/>
  <c r="AN64" i="24" s="1"/>
  <c r="H61" i="3"/>
  <c r="AK54" i="18"/>
  <c r="AG37" i="29"/>
  <c r="AI37" i="29" s="1"/>
  <c r="AG58" i="22"/>
  <c r="AL88" i="24"/>
  <c r="AN88" i="24" s="1"/>
  <c r="AC113" i="18"/>
  <c r="P33" i="6"/>
  <c r="P32" i="6"/>
  <c r="H33" i="6"/>
  <c r="H32" i="6"/>
  <c r="F19" i="6"/>
  <c r="D33" i="6"/>
  <c r="D32" i="6"/>
  <c r="B19" i="6"/>
  <c r="V38" i="28" l="1"/>
  <c r="X38" i="28" s="1"/>
  <c r="AG70" i="22"/>
  <c r="AI70" i="22" s="1"/>
  <c r="AI58" i="22"/>
  <c r="J38" i="28"/>
  <c r="J38" i="29"/>
  <c r="I37" i="13"/>
  <c r="I40" i="13" s="1"/>
  <c r="I26" i="7"/>
  <c r="I49" i="7"/>
  <c r="I55" i="26"/>
  <c r="T38" i="29"/>
  <c r="S55" i="26"/>
  <c r="R50" i="27"/>
  <c r="K26" i="7"/>
  <c r="AK107" i="18"/>
  <c r="AI113" i="18"/>
  <c r="AK113" i="18" s="1"/>
  <c r="AL100" i="24"/>
  <c r="AN100" i="24" s="1"/>
  <c r="I31" i="7"/>
  <c r="I34" i="9"/>
  <c r="I43" i="9" s="1"/>
  <c r="K43" i="9"/>
  <c r="K47" i="9" s="1"/>
  <c r="K50" i="9" s="1"/>
  <c r="I30" i="7"/>
  <c r="U40" i="14"/>
  <c r="S40" i="14"/>
  <c r="AI93" i="18"/>
  <c r="AK93" i="18" s="1"/>
  <c r="G40" i="14"/>
  <c r="AC116" i="18"/>
  <c r="AI116" i="18" s="1"/>
  <c r="AK116" i="18" s="1"/>
  <c r="D34" i="6"/>
  <c r="L33" i="6"/>
  <c r="S33" i="6" s="1"/>
  <c r="U33" i="6" s="1"/>
  <c r="F26" i="6"/>
  <c r="F29" i="6" s="1"/>
  <c r="F34" i="6"/>
  <c r="P34" i="6"/>
  <c r="U34" i="6" s="1"/>
  <c r="B34" i="6"/>
  <c r="J32" i="6"/>
  <c r="J33" i="6"/>
  <c r="H34" i="6"/>
  <c r="L32" i="6"/>
  <c r="S32" i="6" s="1"/>
  <c r="U32" i="6" s="1"/>
  <c r="G34" i="10"/>
  <c r="V38" i="29" l="1"/>
  <c r="X38" i="29" s="1"/>
  <c r="AG73" i="22"/>
  <c r="AI73" i="22" s="1"/>
  <c r="L38" i="29"/>
  <c r="L38" i="28"/>
  <c r="J50" i="27"/>
  <c r="T50" i="27"/>
  <c r="U55" i="26"/>
  <c r="S34" i="6"/>
  <c r="I34" i="10"/>
  <c r="G42" i="7"/>
  <c r="K43" i="7" s="1"/>
  <c r="T34" i="11"/>
  <c r="L34" i="6"/>
  <c r="F39" i="6"/>
  <c r="J34" i="6"/>
  <c r="N38" i="28" l="1"/>
  <c r="P38" i="28" s="1"/>
  <c r="R38" i="28" s="1"/>
  <c r="F42" i="6"/>
  <c r="N38" i="29"/>
  <c r="L50" i="27"/>
  <c r="K55" i="26"/>
  <c r="W55" i="26"/>
  <c r="Y55" i="26" s="1"/>
  <c r="V50" i="27"/>
  <c r="X50" i="27" s="1"/>
  <c r="I42" i="7"/>
  <c r="I43" i="7" s="1"/>
  <c r="G43" i="7"/>
  <c r="J41" i="6" l="1"/>
  <c r="F45" i="5"/>
  <c r="M55" i="26"/>
  <c r="N57" i="2"/>
  <c r="N59" i="3" s="1"/>
  <c r="F57" i="2"/>
  <c r="B45" i="5" l="1"/>
  <c r="N50" i="27"/>
  <c r="J44" i="5"/>
  <c r="J45" i="5" s="1"/>
  <c r="F59" i="3"/>
  <c r="T59" i="3" s="1"/>
  <c r="K13" i="30"/>
  <c r="K22" i="30"/>
  <c r="AD40" i="2"/>
  <c r="O55" i="26" l="1"/>
  <c r="AD59" i="3"/>
  <c r="AF59" i="3" s="1"/>
  <c r="G48" i="8"/>
  <c r="AG92" i="23"/>
  <c r="AL92" i="23" s="1"/>
  <c r="AE126" i="16"/>
  <c r="AG83" i="23"/>
  <c r="AL83" i="23" s="1"/>
  <c r="AG82" i="23"/>
  <c r="AL82" i="23" s="1"/>
  <c r="AG81" i="23"/>
  <c r="AL81" i="23" s="1"/>
  <c r="AG73" i="23"/>
  <c r="AL73" i="23" s="1"/>
  <c r="AG65" i="23"/>
  <c r="AK74" i="21"/>
  <c r="AM74" i="21" s="1"/>
  <c r="AK68" i="21"/>
  <c r="AK96" i="20"/>
  <c r="AM96" i="20" s="1"/>
  <c r="R26" i="11"/>
  <c r="AK75" i="21"/>
  <c r="AK73" i="21"/>
  <c r="AM73" i="21" s="1"/>
  <c r="AK72" i="21"/>
  <c r="AM72" i="21" s="1"/>
  <c r="AK69" i="21"/>
  <c r="AM69" i="21" s="1"/>
  <c r="AK67" i="21"/>
  <c r="AM67" i="21" s="1"/>
  <c r="AK66" i="21"/>
  <c r="AM66" i="21" s="1"/>
  <c r="AK65" i="21"/>
  <c r="AM65" i="21" s="1"/>
  <c r="AK64" i="21"/>
  <c r="AM64" i="21" s="1"/>
  <c r="AK61" i="21"/>
  <c r="AM61" i="21" s="1"/>
  <c r="AK62" i="21"/>
  <c r="AM62" i="21" s="1"/>
  <c r="AK54" i="21"/>
  <c r="AK56" i="21" s="1"/>
  <c r="AK105" i="20"/>
  <c r="AK104" i="20"/>
  <c r="AM104" i="20" s="1"/>
  <c r="AK103" i="20"/>
  <c r="AM103" i="20" s="1"/>
  <c r="AK102" i="20"/>
  <c r="AM102" i="20" s="1"/>
  <c r="AK99" i="20"/>
  <c r="AM99" i="20" s="1"/>
  <c r="AK98" i="20"/>
  <c r="AM98" i="20" s="1"/>
  <c r="AK97" i="20"/>
  <c r="AM97" i="20" s="1"/>
  <c r="AK95" i="20"/>
  <c r="AM95" i="20" s="1"/>
  <c r="AK94" i="20"/>
  <c r="AM94" i="20" s="1"/>
  <c r="AK92" i="20"/>
  <c r="AM92" i="20" s="1"/>
  <c r="AK91" i="20"/>
  <c r="AM91" i="20" s="1"/>
  <c r="AK90" i="20"/>
  <c r="AM90" i="20" s="1"/>
  <c r="AK84" i="20"/>
  <c r="AM84" i="20" s="1"/>
  <c r="AE116" i="16" l="1"/>
  <c r="AE114" i="16"/>
  <c r="AE111" i="16"/>
  <c r="AE110" i="16"/>
  <c r="AE109" i="16"/>
  <c r="R27" i="11"/>
  <c r="V26" i="11"/>
  <c r="V27" i="11" s="1"/>
  <c r="AE117" i="16"/>
  <c r="AE118" i="16"/>
  <c r="AD33" i="2"/>
  <c r="AE122" i="16"/>
  <c r="AE115" i="16"/>
  <c r="AE121" i="16"/>
  <c r="AE113" i="16"/>
  <c r="AE123" i="16"/>
  <c r="I48" i="8"/>
  <c r="T26" i="11"/>
  <c r="T27" i="11" s="1"/>
  <c r="AK86" i="20"/>
  <c r="J53" i="3"/>
  <c r="J57" i="3" s="1"/>
  <c r="J61" i="3" s="1"/>
  <c r="AE86" i="21"/>
  <c r="AM86" i="21" s="1"/>
  <c r="AK83" i="21"/>
  <c r="AK113" i="20"/>
  <c r="AM113" i="20" s="1"/>
  <c r="AE116" i="20"/>
  <c r="AD48" i="2"/>
  <c r="AI48" i="2" s="1"/>
  <c r="AG96" i="23"/>
  <c r="AG79" i="23"/>
  <c r="AG86" i="23" s="1"/>
  <c r="AK60" i="21"/>
  <c r="AM60" i="21" s="1"/>
  <c r="AE70" i="21"/>
  <c r="R30" i="11" s="1"/>
  <c r="V35" i="11" l="1"/>
  <c r="AM70" i="21"/>
  <c r="AE120" i="20"/>
  <c r="AM116" i="20"/>
  <c r="AE119" i="16"/>
  <c r="AK86" i="21"/>
  <c r="C43" i="7"/>
  <c r="AK116" i="20"/>
  <c r="AK120" i="20" s="1"/>
  <c r="AM120" i="20" s="1"/>
  <c r="I39" i="11"/>
  <c r="G39" i="11"/>
  <c r="K42" i="11" s="1"/>
  <c r="AE77" i="21"/>
  <c r="AM77" i="21" s="1"/>
  <c r="AK70" i="21"/>
  <c r="AG89" i="23"/>
  <c r="G30" i="10" l="1"/>
  <c r="G29" i="7" s="1"/>
  <c r="T30" i="11"/>
  <c r="T35" i="11" s="1"/>
  <c r="T39" i="11" s="1"/>
  <c r="R35" i="11"/>
  <c r="R39" i="11" s="1"/>
  <c r="AG101" i="23"/>
  <c r="C34" i="7"/>
  <c r="C47" i="7" s="1"/>
  <c r="C50" i="7" s="1"/>
  <c r="AK77" i="21"/>
  <c r="AE80" i="21"/>
  <c r="AM80" i="21" s="1"/>
  <c r="AD38" i="2"/>
  <c r="AD37" i="2"/>
  <c r="AD36" i="2"/>
  <c r="AD32" i="2"/>
  <c r="AD31" i="2"/>
  <c r="AD30" i="2"/>
  <c r="AD29" i="2"/>
  <c r="AD28" i="2"/>
  <c r="AD26" i="2"/>
  <c r="AD25" i="2"/>
  <c r="AD18" i="2"/>
  <c r="K35" i="10" l="1"/>
  <c r="K39" i="10" s="1"/>
  <c r="K42" i="10" s="1"/>
  <c r="G35" i="10"/>
  <c r="G39" i="10" s="1"/>
  <c r="G42" i="10" s="1"/>
  <c r="I30" i="10"/>
  <c r="I35" i="10" s="1"/>
  <c r="I39" i="10" s="1"/>
  <c r="I42" i="10" s="1"/>
  <c r="I29" i="7"/>
  <c r="G34" i="7"/>
  <c r="AE90" i="21"/>
  <c r="AM90" i="21" s="1"/>
  <c r="AG103" i="23"/>
  <c r="C37" i="7"/>
  <c r="AD19" i="2"/>
  <c r="AA23" i="3"/>
  <c r="AA48" i="3" s="1"/>
  <c r="R42" i="11"/>
  <c r="G42" i="11"/>
  <c r="I42" i="11"/>
  <c r="AK80" i="21"/>
  <c r="AK90" i="21" s="1"/>
  <c r="L51" i="2"/>
  <c r="AD24" i="2"/>
  <c r="L42" i="2"/>
  <c r="L20" i="2"/>
  <c r="J15" i="6"/>
  <c r="AA57" i="3" l="1"/>
  <c r="AA61" i="3" s="1"/>
  <c r="V42" i="11"/>
  <c r="T42" i="11"/>
  <c r="L45" i="2"/>
  <c r="L55" i="2" s="1"/>
  <c r="J57" i="2"/>
  <c r="AA13" i="29"/>
  <c r="R57" i="2"/>
  <c r="C135" i="16"/>
  <c r="E84" i="23"/>
  <c r="E92" i="23"/>
  <c r="P51" i="2" s="1"/>
  <c r="E83" i="23"/>
  <c r="E82" i="23"/>
  <c r="E81" i="23"/>
  <c r="E78" i="23"/>
  <c r="E77" i="23"/>
  <c r="E76" i="23"/>
  <c r="E75" i="23"/>
  <c r="E74" i="23"/>
  <c r="E73" i="23"/>
  <c r="E71" i="23"/>
  <c r="E70" i="23"/>
  <c r="E69" i="23"/>
  <c r="E63" i="23"/>
  <c r="D85" i="19"/>
  <c r="H19" i="2" s="1"/>
  <c r="D106" i="19"/>
  <c r="H41" i="2" s="1"/>
  <c r="D105" i="19"/>
  <c r="H38" i="2" s="1"/>
  <c r="D104" i="19"/>
  <c r="H37" i="2" s="1"/>
  <c r="D103" i="19"/>
  <c r="H36" i="2" s="1"/>
  <c r="D100" i="19"/>
  <c r="H33" i="2" s="1"/>
  <c r="D99" i="19"/>
  <c r="H32" i="2" s="1"/>
  <c r="D98" i="19"/>
  <c r="H31" i="2" s="1"/>
  <c r="D97" i="19"/>
  <c r="H30" i="2" s="1"/>
  <c r="D96" i="19"/>
  <c r="H29" i="2" s="1"/>
  <c r="D95" i="19"/>
  <c r="H28" i="2" s="1"/>
  <c r="D93" i="19"/>
  <c r="H26" i="2" s="1"/>
  <c r="D92" i="19"/>
  <c r="H25" i="2" s="1"/>
  <c r="D91" i="19"/>
  <c r="H24" i="2" s="1"/>
  <c r="E65" i="23" l="1"/>
  <c r="P20" i="2"/>
  <c r="D87" i="19"/>
  <c r="C103" i="16"/>
  <c r="C113" i="16"/>
  <c r="C117" i="16"/>
  <c r="C123" i="16"/>
  <c r="C111" i="16"/>
  <c r="C116" i="16"/>
  <c r="C122" i="16"/>
  <c r="C110" i="16"/>
  <c r="C115" i="16"/>
  <c r="C121" i="16"/>
  <c r="C126" i="16"/>
  <c r="C109" i="16"/>
  <c r="C114" i="16"/>
  <c r="C118" i="16"/>
  <c r="AG13" i="29"/>
  <c r="AI13" i="29" s="1"/>
  <c r="AA38" i="29"/>
  <c r="AG38" i="29" s="1"/>
  <c r="AI38" i="29" s="1"/>
  <c r="D101" i="19"/>
  <c r="D108" i="19" s="1"/>
  <c r="AD69" i="23"/>
  <c r="AJ69" i="23" s="1"/>
  <c r="AL69" i="23" s="1"/>
  <c r="E79" i="23"/>
  <c r="E86" i="23" s="1"/>
  <c r="AD74" i="23"/>
  <c r="AJ74" i="23" s="1"/>
  <c r="AL74" i="23" s="1"/>
  <c r="AD78" i="23"/>
  <c r="AJ78" i="23" s="1"/>
  <c r="AL78" i="23" s="1"/>
  <c r="AD92" i="23"/>
  <c r="AJ92" i="23" s="1"/>
  <c r="E96" i="23"/>
  <c r="AD63" i="23"/>
  <c r="AD77" i="23"/>
  <c r="AJ77" i="23" s="1"/>
  <c r="AL77" i="23" s="1"/>
  <c r="AD94" i="23"/>
  <c r="AL61" i="23"/>
  <c r="AD71" i="23"/>
  <c r="AD76" i="23"/>
  <c r="AJ76" i="23" s="1"/>
  <c r="AL76" i="23" s="1"/>
  <c r="AD82" i="23"/>
  <c r="AJ82" i="23" s="1"/>
  <c r="AD93" i="23"/>
  <c r="AJ93" i="23" s="1"/>
  <c r="AL93" i="23" s="1"/>
  <c r="AD73" i="23"/>
  <c r="AJ73" i="23" s="1"/>
  <c r="AD83" i="23"/>
  <c r="AJ83" i="23" s="1"/>
  <c r="AD70" i="23"/>
  <c r="AJ70" i="23" s="1"/>
  <c r="AL70" i="23" s="1"/>
  <c r="AD75" i="23"/>
  <c r="AJ75" i="23" s="1"/>
  <c r="AD81" i="23"/>
  <c r="AJ81" i="23" s="1"/>
  <c r="AD84" i="23"/>
  <c r="AC96" i="19"/>
  <c r="AI96" i="19" s="1"/>
  <c r="AK96" i="19" s="1"/>
  <c r="AC106" i="19"/>
  <c r="AI106" i="19" s="1"/>
  <c r="AC99" i="19"/>
  <c r="AI99" i="19" s="1"/>
  <c r="AK99" i="19" s="1"/>
  <c r="AC93" i="19"/>
  <c r="AI93" i="19" s="1"/>
  <c r="AK93" i="19" s="1"/>
  <c r="AC91" i="19"/>
  <c r="AC100" i="19"/>
  <c r="AI100" i="19" s="1"/>
  <c r="AK100" i="19" s="1"/>
  <c r="AC105" i="19"/>
  <c r="AI105" i="19" s="1"/>
  <c r="AK105" i="19" s="1"/>
  <c r="AC92" i="19"/>
  <c r="AI92" i="19" s="1"/>
  <c r="AK92" i="19" s="1"/>
  <c r="AC97" i="19"/>
  <c r="AI97" i="19" s="1"/>
  <c r="AK97" i="19" s="1"/>
  <c r="AC103" i="19"/>
  <c r="AI103" i="19" s="1"/>
  <c r="AK103" i="19" s="1"/>
  <c r="AC85" i="19"/>
  <c r="AC87" i="19" s="1"/>
  <c r="AC104" i="19"/>
  <c r="AI104" i="19" s="1"/>
  <c r="AK104" i="19" s="1"/>
  <c r="AC98" i="19"/>
  <c r="AI98" i="19" s="1"/>
  <c r="AK98" i="19" s="1"/>
  <c r="AI115" i="19"/>
  <c r="AK115" i="19" s="1"/>
  <c r="AC95" i="19"/>
  <c r="AB51" i="2"/>
  <c r="AB34" i="2"/>
  <c r="AB42" i="2" s="1"/>
  <c r="AB20" i="2"/>
  <c r="X57" i="2"/>
  <c r="AI57" i="2" s="1"/>
  <c r="V48" i="2"/>
  <c r="K15" i="30"/>
  <c r="K16" i="30"/>
  <c r="K17" i="30"/>
  <c r="K18" i="30"/>
  <c r="K19" i="30"/>
  <c r="K20" i="30"/>
  <c r="K21" i="30"/>
  <c r="K14" i="30"/>
  <c r="I23" i="30"/>
  <c r="G23" i="30"/>
  <c r="E23" i="30"/>
  <c r="C23" i="30"/>
  <c r="Z135" i="18"/>
  <c r="X135" i="18"/>
  <c r="V135" i="18"/>
  <c r="T135" i="18"/>
  <c r="R135" i="18"/>
  <c r="P135" i="18"/>
  <c r="N135" i="18"/>
  <c r="L135" i="18"/>
  <c r="J135" i="18"/>
  <c r="H135" i="18"/>
  <c r="F135" i="18"/>
  <c r="AI95" i="19" l="1"/>
  <c r="AK95" i="19" s="1"/>
  <c r="AC101" i="19"/>
  <c r="C105" i="16"/>
  <c r="AB103" i="16"/>
  <c r="AJ94" i="23"/>
  <c r="AL94" i="23" s="1"/>
  <c r="AD65" i="23"/>
  <c r="AI85" i="19"/>
  <c r="AK85" i="19" s="1"/>
  <c r="AJ63" i="23"/>
  <c r="AL63" i="23" s="1"/>
  <c r="AK83" i="19"/>
  <c r="AI114" i="19"/>
  <c r="AK114" i="19" s="1"/>
  <c r="AC117" i="19"/>
  <c r="AI117" i="19" s="1"/>
  <c r="AK117" i="19" s="1"/>
  <c r="D111" i="19"/>
  <c r="D121" i="19" s="1"/>
  <c r="D123" i="19" s="1"/>
  <c r="E89" i="23"/>
  <c r="E101" i="23" s="1"/>
  <c r="E103" i="23" s="1"/>
  <c r="AI91" i="19"/>
  <c r="AK91" i="19" s="1"/>
  <c r="AJ84" i="23"/>
  <c r="AL84" i="23" s="1"/>
  <c r="AD79" i="23"/>
  <c r="AD86" i="23" s="1"/>
  <c r="AJ71" i="23"/>
  <c r="AL71" i="23" s="1"/>
  <c r="AD96" i="23"/>
  <c r="AJ96" i="23" s="1"/>
  <c r="AL96" i="23" s="1"/>
  <c r="P34" i="2"/>
  <c r="H51" i="2"/>
  <c r="H34" i="2"/>
  <c r="H42" i="2" s="1"/>
  <c r="H20" i="2"/>
  <c r="AG57" i="2"/>
  <c r="K23" i="30"/>
  <c r="AB45" i="2"/>
  <c r="AB55" i="2" s="1"/>
  <c r="AB59" i="2" s="1"/>
  <c r="D135" i="18"/>
  <c r="D137" i="18" s="1"/>
  <c r="F137" i="18" l="1"/>
  <c r="P42" i="2"/>
  <c r="P45" i="2" s="1"/>
  <c r="P55" i="2" s="1"/>
  <c r="AJ79" i="23"/>
  <c r="AL79" i="23" s="1"/>
  <c r="AI101" i="19"/>
  <c r="AI87" i="19"/>
  <c r="AJ65" i="23"/>
  <c r="F123" i="19"/>
  <c r="H45" i="2"/>
  <c r="H55" i="2" s="1"/>
  <c r="AC108" i="19"/>
  <c r="D34" i="2"/>
  <c r="D42" i="2" s="1"/>
  <c r="AD89" i="23"/>
  <c r="AD101" i="23" s="1"/>
  <c r="AJ101" i="23" s="1"/>
  <c r="AL101" i="23" s="1"/>
  <c r="D20" i="2"/>
  <c r="AL65" i="23" l="1"/>
  <c r="H137" i="18"/>
  <c r="J137" i="18" s="1"/>
  <c r="L137" i="18" s="1"/>
  <c r="G103" i="23"/>
  <c r="AK87" i="19"/>
  <c r="AI108" i="19"/>
  <c r="AK108" i="19" s="1"/>
  <c r="AK101" i="19"/>
  <c r="AC111" i="19"/>
  <c r="AC121" i="19" s="1"/>
  <c r="H123" i="19"/>
  <c r="D45" i="2"/>
  <c r="D55" i="2" s="1"/>
  <c r="AI66" i="25"/>
  <c r="AK14" i="19"/>
  <c r="AI14" i="19"/>
  <c r="AI69" i="25" l="1"/>
  <c r="AN69" i="25" s="1"/>
  <c r="AN66" i="25"/>
  <c r="N137" i="18"/>
  <c r="D61" i="3"/>
  <c r="AI111" i="19"/>
  <c r="AK111" i="19" s="1"/>
  <c r="D59" i="2"/>
  <c r="J123" i="19"/>
  <c r="AL66" i="25"/>
  <c r="AC123" i="19"/>
  <c r="P137" i="18" l="1"/>
  <c r="AL69" i="25"/>
  <c r="AI79" i="25"/>
  <c r="AN79" i="25" s="1"/>
  <c r="I103" i="23"/>
  <c r="L123" i="19"/>
  <c r="AI121" i="19"/>
  <c r="AK121" i="19" s="1"/>
  <c r="AI123" i="19"/>
  <c r="AK123" i="19" s="1"/>
  <c r="R137" i="18" l="1"/>
  <c r="AL79" i="25"/>
  <c r="K103" i="23"/>
  <c r="AA103" i="23"/>
  <c r="N123" i="19"/>
  <c r="T137" i="18" l="1"/>
  <c r="M103" i="23"/>
  <c r="P123" i="19"/>
  <c r="V40" i="2"/>
  <c r="V137" i="18" l="1"/>
  <c r="R123" i="19"/>
  <c r="B26" i="6"/>
  <c r="B29" i="6" s="1"/>
  <c r="B39" i="6" s="1"/>
  <c r="B42" i="6" s="1"/>
  <c r="X137" i="18" l="1"/>
  <c r="Z137" i="18" s="1"/>
  <c r="O103" i="23"/>
  <c r="T123" i="19"/>
  <c r="C98" i="30"/>
  <c r="C153" i="30" s="1"/>
  <c r="H59" i="2" l="1"/>
  <c r="V123" i="19"/>
  <c r="X123" i="19" s="1"/>
  <c r="Z123" i="19" s="1"/>
  <c r="E98" i="30"/>
  <c r="E153" i="30" s="1"/>
  <c r="I98" i="30"/>
  <c r="I153" i="30" s="1"/>
  <c r="G98" i="30"/>
  <c r="G153" i="30" s="1"/>
  <c r="Q103" i="23" l="1"/>
  <c r="K98" i="30"/>
  <c r="K153" i="30" s="1"/>
  <c r="E43" i="7" l="1"/>
  <c r="E34" i="7"/>
  <c r="S103" i="23" l="1"/>
  <c r="E37" i="7"/>
  <c r="E47" i="7"/>
  <c r="E50" i="7" s="1"/>
  <c r="U103" i="23" l="1"/>
  <c r="W103" i="23" s="1"/>
  <c r="AD51" i="2"/>
  <c r="AD20" i="2"/>
  <c r="AD34" i="2"/>
  <c r="AD42" i="2" s="1"/>
  <c r="AE135" i="16"/>
  <c r="P59" i="2" l="1"/>
  <c r="Y103" i="23"/>
  <c r="AE105" i="16"/>
  <c r="AE138" i="16"/>
  <c r="P19" i="6"/>
  <c r="H41" i="6"/>
  <c r="D41" i="6"/>
  <c r="L41" i="6" l="1"/>
  <c r="S41" i="6" s="1"/>
  <c r="U41" i="6" s="1"/>
  <c r="P26" i="6"/>
  <c r="P29" i="6" s="1"/>
  <c r="AD45" i="2"/>
  <c r="AD55" i="2" s="1"/>
  <c r="AD59" i="2" s="1"/>
  <c r="P39" i="6" l="1"/>
  <c r="H25" i="6"/>
  <c r="H18" i="6"/>
  <c r="H19" i="6" s="1"/>
  <c r="P42" i="6" l="1"/>
  <c r="H23" i="6"/>
  <c r="H26" i="6" s="1"/>
  <c r="H29" i="6" s="1"/>
  <c r="H39" i="6" s="1"/>
  <c r="H42" i="6" s="1"/>
  <c r="D25" i="6" l="1"/>
  <c r="L25" i="6" s="1"/>
  <c r="S25" i="6" s="1"/>
  <c r="U25" i="6" s="1"/>
  <c r="D24" i="6"/>
  <c r="D23" i="6"/>
  <c r="D18" i="6"/>
  <c r="D19" i="6" l="1"/>
  <c r="L18" i="6"/>
  <c r="S18" i="6" s="1"/>
  <c r="U18" i="6" s="1"/>
  <c r="D26" i="6"/>
  <c r="S19" i="6" l="1"/>
  <c r="U19" i="6" s="1"/>
  <c r="D29" i="6"/>
  <c r="D39" i="6" s="1"/>
  <c r="D42" i="6" s="1"/>
  <c r="W29" i="27"/>
  <c r="AJ15" i="23" l="1"/>
  <c r="AL15" i="23" s="1"/>
  <c r="AJ103" i="23" l="1"/>
  <c r="R48" i="2"/>
  <c r="R30" i="2"/>
  <c r="R37" i="2"/>
  <c r="R36" i="2"/>
  <c r="R28" i="2"/>
  <c r="R38" i="2"/>
  <c r="R50" i="2"/>
  <c r="R41" i="2"/>
  <c r="R33" i="2"/>
  <c r="R32" i="2"/>
  <c r="R31" i="2"/>
  <c r="R29" i="2"/>
  <c r="R26" i="2"/>
  <c r="R24" i="2"/>
  <c r="R19" i="2"/>
  <c r="R18" i="2"/>
  <c r="R20" i="2" l="1"/>
  <c r="X48" i="2"/>
  <c r="R49" i="2"/>
  <c r="R51" i="2" s="1"/>
  <c r="R25" i="2"/>
  <c r="R34" i="2" s="1"/>
  <c r="R42" i="2" s="1"/>
  <c r="AB134" i="16" l="1"/>
  <c r="R45" i="2"/>
  <c r="R55" i="2" s="1"/>
  <c r="R59" i="2" s="1"/>
  <c r="AJ86" i="23"/>
  <c r="AD103" i="23"/>
  <c r="AL103" i="23" s="1"/>
  <c r="AL86" i="23" l="1"/>
  <c r="AJ89" i="23"/>
  <c r="AL89" i="23" s="1"/>
  <c r="AH134" i="16"/>
  <c r="N50" i="2" l="1"/>
  <c r="N52" i="3" s="1"/>
  <c r="N49" i="2"/>
  <c r="N51" i="3" s="1"/>
  <c r="N40" i="2"/>
  <c r="N37" i="2"/>
  <c r="N40" i="3" s="1"/>
  <c r="N19" i="2"/>
  <c r="N22" i="3" s="1"/>
  <c r="N18" i="2"/>
  <c r="N21" i="3" s="1"/>
  <c r="T21" i="3" s="1"/>
  <c r="N20" i="3"/>
  <c r="N18" i="3"/>
  <c r="N17" i="3"/>
  <c r="N23" i="3" l="1"/>
  <c r="G24" i="8"/>
  <c r="AD21" i="3"/>
  <c r="AF21" i="3" s="1"/>
  <c r="X40" i="2"/>
  <c r="AI40" i="2" s="1"/>
  <c r="N43" i="3"/>
  <c r="T43" i="3" s="1"/>
  <c r="T51" i="3"/>
  <c r="N53" i="3"/>
  <c r="N42" i="2"/>
  <c r="N51" i="2"/>
  <c r="N20" i="2"/>
  <c r="I24" i="8" l="1"/>
  <c r="N45" i="3"/>
  <c r="N48" i="3" s="1"/>
  <c r="AG40" i="2"/>
  <c r="G40" i="8"/>
  <c r="AD51" i="3"/>
  <c r="G32" i="8"/>
  <c r="AD43" i="3"/>
  <c r="AF43" i="3" s="1"/>
  <c r="N45" i="2"/>
  <c r="N55" i="2" s="1"/>
  <c r="N59" i="2" s="1"/>
  <c r="N57" i="3" l="1"/>
  <c r="N61" i="3" s="1"/>
  <c r="I40" i="8"/>
  <c r="I32" i="8"/>
  <c r="AF51" i="3"/>
  <c r="V49" i="2" l="1"/>
  <c r="V50" i="2"/>
  <c r="V51" i="2" l="1"/>
  <c r="I138" i="16"/>
  <c r="G138" i="16"/>
  <c r="E138" i="16"/>
  <c r="J50" i="2"/>
  <c r="J49" i="2"/>
  <c r="AB135" i="16" l="1"/>
  <c r="J51" i="2"/>
  <c r="V41" i="2" l="1"/>
  <c r="V17" i="2"/>
  <c r="V29" i="2"/>
  <c r="V32" i="2"/>
  <c r="V16" i="2"/>
  <c r="V25" i="2"/>
  <c r="V28" i="2"/>
  <c r="V37" i="2"/>
  <c r="J30" i="2"/>
  <c r="V30" i="2"/>
  <c r="V24" i="2"/>
  <c r="V31" i="2"/>
  <c r="J26" i="2"/>
  <c r="V26" i="2"/>
  <c r="V33" i="2"/>
  <c r="V15" i="2"/>
  <c r="J32" i="2"/>
  <c r="V18" i="2"/>
  <c r="I119" i="16" l="1"/>
  <c r="G119" i="16"/>
  <c r="E119" i="16"/>
  <c r="V34" i="2"/>
  <c r="J37" i="2"/>
  <c r="J31" i="2"/>
  <c r="J29" i="2"/>
  <c r="J28" i="2"/>
  <c r="V38" i="2"/>
  <c r="AB111" i="16"/>
  <c r="AB113" i="16"/>
  <c r="AB114" i="16"/>
  <c r="V19" i="2"/>
  <c r="V36" i="2"/>
  <c r="AB116" i="16"/>
  <c r="AB115" i="16"/>
  <c r="AB110" i="16"/>
  <c r="AB117" i="16"/>
  <c r="J33" i="2"/>
  <c r="J24" i="2"/>
  <c r="J41" i="2"/>
  <c r="X41" i="2" s="1"/>
  <c r="AI41" i="2" s="1"/>
  <c r="J25" i="2"/>
  <c r="I128" i="16" l="1"/>
  <c r="I105" i="16"/>
  <c r="G128" i="16"/>
  <c r="E128" i="16"/>
  <c r="V20" i="2"/>
  <c r="AB109" i="16"/>
  <c r="J34" i="2"/>
  <c r="V42" i="2"/>
  <c r="AG41" i="2"/>
  <c r="J36" i="2"/>
  <c r="J19" i="2"/>
  <c r="J38" i="2"/>
  <c r="J18" i="2"/>
  <c r="G131" i="16" l="1"/>
  <c r="G142" i="16" s="1"/>
  <c r="I131" i="16"/>
  <c r="I142" i="16" s="1"/>
  <c r="E131" i="16"/>
  <c r="E142" i="16" s="1"/>
  <c r="V45" i="2"/>
  <c r="V55" i="2" s="1"/>
  <c r="J20" i="2"/>
  <c r="J42" i="2"/>
  <c r="J45" i="2" l="1"/>
  <c r="J55" i="2" s="1"/>
  <c r="J59" i="2" s="1"/>
  <c r="F38" i="2"/>
  <c r="F41" i="3" s="1"/>
  <c r="T41" i="3" s="1"/>
  <c r="F37" i="2"/>
  <c r="F36" i="2"/>
  <c r="F33" i="2"/>
  <c r="F32" i="2"/>
  <c r="F31" i="2"/>
  <c r="F30" i="2"/>
  <c r="F29" i="2"/>
  <c r="F28" i="2"/>
  <c r="F19" i="2"/>
  <c r="F17" i="2"/>
  <c r="F15" i="2"/>
  <c r="F18" i="3" l="1"/>
  <c r="T18" i="3" s="1"/>
  <c r="X29" i="2"/>
  <c r="F32" i="3"/>
  <c r="T32" i="3" s="1"/>
  <c r="AD32" i="3" s="1"/>
  <c r="AF32" i="3" s="1"/>
  <c r="X33" i="2"/>
  <c r="AI33" i="2" s="1"/>
  <c r="F36" i="3"/>
  <c r="T36" i="3" s="1"/>
  <c r="AD36" i="3" s="1"/>
  <c r="AF36" i="3" s="1"/>
  <c r="G31" i="8"/>
  <c r="AD41" i="3"/>
  <c r="AF41" i="3" s="1"/>
  <c r="F22" i="3"/>
  <c r="T22" i="3" s="1"/>
  <c r="X31" i="2"/>
  <c r="F34" i="3"/>
  <c r="T34" i="3" s="1"/>
  <c r="AD34" i="3" s="1"/>
  <c r="AF34" i="3" s="1"/>
  <c r="X37" i="2"/>
  <c r="AI37" i="2" s="1"/>
  <c r="F40" i="3"/>
  <c r="T40" i="3" s="1"/>
  <c r="AD40" i="3" s="1"/>
  <c r="AF40" i="3" s="1"/>
  <c r="X28" i="2"/>
  <c r="F31" i="3"/>
  <c r="T31" i="3" s="1"/>
  <c r="AD31" i="3" s="1"/>
  <c r="AF31" i="3" s="1"/>
  <c r="X32" i="2"/>
  <c r="F35" i="3"/>
  <c r="T35" i="3" s="1"/>
  <c r="AD35" i="3" s="1"/>
  <c r="AF35" i="3" s="1"/>
  <c r="F20" i="3"/>
  <c r="T20" i="3" s="1"/>
  <c r="X30" i="2"/>
  <c r="F33" i="3"/>
  <c r="T33" i="3" s="1"/>
  <c r="AD33" i="3" s="1"/>
  <c r="AF33" i="3" s="1"/>
  <c r="X36" i="2"/>
  <c r="F39" i="3"/>
  <c r="T39" i="3" s="1"/>
  <c r="X19" i="2"/>
  <c r="AI19" i="2" s="1"/>
  <c r="X38" i="2"/>
  <c r="AI38" i="2" s="1"/>
  <c r="X18" i="2"/>
  <c r="AI18" i="2" s="1"/>
  <c r="X17" i="2"/>
  <c r="AI17" i="2" s="1"/>
  <c r="X15" i="2"/>
  <c r="AI15" i="2" s="1"/>
  <c r="F16" i="2"/>
  <c r="F24" i="2"/>
  <c r="F27" i="3" s="1"/>
  <c r="F25" i="2"/>
  <c r="F28" i="3" s="1"/>
  <c r="T28" i="3" s="1"/>
  <c r="AD28" i="3" s="1"/>
  <c r="F52" i="3"/>
  <c r="AG36" i="2" l="1"/>
  <c r="AI36" i="2"/>
  <c r="AG32" i="2"/>
  <c r="AI32" i="2"/>
  <c r="AG31" i="2"/>
  <c r="AI31" i="2"/>
  <c r="AG30" i="2"/>
  <c r="AI30" i="2"/>
  <c r="AG29" i="2"/>
  <c r="AI29" i="2"/>
  <c r="AG28" i="2"/>
  <c r="AI28" i="2"/>
  <c r="I31" i="8"/>
  <c r="AG33" i="2"/>
  <c r="AD18" i="3"/>
  <c r="AF18" i="3" s="1"/>
  <c r="G21" i="8"/>
  <c r="F53" i="3"/>
  <c r="T52" i="3"/>
  <c r="AD52" i="3" s="1"/>
  <c r="AD53" i="3" s="1"/>
  <c r="T27" i="3"/>
  <c r="AD20" i="3"/>
  <c r="AF20" i="3" s="1"/>
  <c r="G23" i="8"/>
  <c r="AG37" i="2"/>
  <c r="AD22" i="3"/>
  <c r="G25" i="8"/>
  <c r="F19" i="3"/>
  <c r="T19" i="3" s="1"/>
  <c r="AD39" i="3"/>
  <c r="AF39" i="3" s="1"/>
  <c r="G30" i="8"/>
  <c r="F51" i="2"/>
  <c r="X24" i="2"/>
  <c r="AI24" i="2" s="1"/>
  <c r="AG19" i="2"/>
  <c r="X50" i="2"/>
  <c r="AI50" i="2" s="1"/>
  <c r="X49" i="2"/>
  <c r="AI49" i="2" s="1"/>
  <c r="AG38" i="2"/>
  <c r="X25" i="2"/>
  <c r="AI25" i="2" s="1"/>
  <c r="AG18" i="2"/>
  <c r="AG17" i="2"/>
  <c r="X16" i="2"/>
  <c r="AI16" i="2" s="1"/>
  <c r="AG15" i="2"/>
  <c r="F26" i="2"/>
  <c r="X51" i="2" l="1"/>
  <c r="I23" i="8"/>
  <c r="I30" i="8"/>
  <c r="I25" i="8"/>
  <c r="I21" i="8"/>
  <c r="I31" i="9"/>
  <c r="I47" i="9" s="1"/>
  <c r="I50" i="9" s="1"/>
  <c r="AD27" i="3"/>
  <c r="AF27" i="3" s="1"/>
  <c r="F34" i="2"/>
  <c r="F29" i="3"/>
  <c r="G22" i="8"/>
  <c r="AD19" i="3"/>
  <c r="AF19" i="3" s="1"/>
  <c r="G41" i="8"/>
  <c r="K42" i="8" s="1"/>
  <c r="T53" i="3"/>
  <c r="AG24" i="2"/>
  <c r="AG50" i="2"/>
  <c r="AG49" i="2"/>
  <c r="X26" i="2"/>
  <c r="AI26" i="2" s="1"/>
  <c r="AG25" i="2"/>
  <c r="AC135" i="18"/>
  <c r="AC137" i="18" s="1"/>
  <c r="AG16" i="2"/>
  <c r="I41" i="8" l="1"/>
  <c r="I42" i="8" s="1"/>
  <c r="I22" i="8"/>
  <c r="G42" i="8"/>
  <c r="AF52" i="3"/>
  <c r="AF53" i="3"/>
  <c r="F42" i="2"/>
  <c r="T29" i="3"/>
  <c r="F37" i="3"/>
  <c r="F45" i="3" s="1"/>
  <c r="AG26" i="2"/>
  <c r="AG34" i="2" s="1"/>
  <c r="AG42" i="2" s="1"/>
  <c r="X34" i="2"/>
  <c r="AI34" i="2" s="1"/>
  <c r="AE128" i="16"/>
  <c r="AE131" i="16" s="1"/>
  <c r="AB16" i="16"/>
  <c r="AH16" i="16" s="1"/>
  <c r="AJ16" i="16" s="1"/>
  <c r="K34" i="7" l="1"/>
  <c r="AD29" i="3"/>
  <c r="T37" i="3"/>
  <c r="G43" i="9"/>
  <c r="G47" i="9" s="1"/>
  <c r="X42" i="2"/>
  <c r="AI42" i="2" s="1"/>
  <c r="K37" i="7" l="1"/>
  <c r="K47" i="7"/>
  <c r="K50" i="7" s="1"/>
  <c r="AE142" i="16"/>
  <c r="AE144" i="16" s="1"/>
  <c r="AF29" i="3"/>
  <c r="AD37" i="3"/>
  <c r="AD45" i="3" s="1"/>
  <c r="G29" i="8"/>
  <c r="T45" i="3"/>
  <c r="J25" i="6"/>
  <c r="L24" i="6"/>
  <c r="S24" i="6" s="1"/>
  <c r="U24" i="6" s="1"/>
  <c r="J24" i="6"/>
  <c r="L23" i="6"/>
  <c r="S23" i="6" s="1"/>
  <c r="U23" i="6" s="1"/>
  <c r="J23" i="6"/>
  <c r="L19" i="6"/>
  <c r="J18" i="6"/>
  <c r="J19" i="6" s="1"/>
  <c r="L15" i="6"/>
  <c r="H15" i="6"/>
  <c r="L14" i="6"/>
  <c r="H14" i="6"/>
  <c r="P14" i="6" s="1"/>
  <c r="S26" i="6" l="1"/>
  <c r="U26" i="6" s="1"/>
  <c r="I29" i="8"/>
  <c r="I34" i="8" s="1"/>
  <c r="K34" i="8"/>
  <c r="AF37" i="3"/>
  <c r="AF45" i="3"/>
  <c r="G34" i="8"/>
  <c r="J26" i="6"/>
  <c r="J29" i="6" s="1"/>
  <c r="J39" i="6" s="1"/>
  <c r="J42" i="6" s="1"/>
  <c r="L26" i="6"/>
  <c r="L29" i="6" s="1"/>
  <c r="S29" i="6" s="1"/>
  <c r="U29" i="6" s="1"/>
  <c r="L39" i="6" l="1"/>
  <c r="L42" i="6" l="1"/>
  <c r="S39" i="6"/>
  <c r="U39" i="6" s="1"/>
  <c r="AB136" i="16"/>
  <c r="AB138" i="16" s="1"/>
  <c r="AG48" i="2"/>
  <c r="AB126" i="16"/>
  <c r="AB125" i="16"/>
  <c r="AB123" i="16"/>
  <c r="AB122" i="16"/>
  <c r="AB121" i="16"/>
  <c r="AH117" i="16"/>
  <c r="AJ117" i="16" s="1"/>
  <c r="AH116" i="16"/>
  <c r="AJ116" i="16" s="1"/>
  <c r="AH115" i="16"/>
  <c r="AJ115" i="16" s="1"/>
  <c r="AH114" i="16"/>
  <c r="AJ114" i="16" s="1"/>
  <c r="AH113" i="16"/>
  <c r="AJ113" i="16" s="1"/>
  <c r="AH111" i="16"/>
  <c r="AJ111" i="16" s="1"/>
  <c r="AH110" i="16"/>
  <c r="AJ110" i="16" s="1"/>
  <c r="V12" i="2"/>
  <c r="P12" i="2"/>
  <c r="N12" i="2"/>
  <c r="L12" i="2"/>
  <c r="J12" i="2"/>
  <c r="H12" i="2"/>
  <c r="AA14" i="3"/>
  <c r="X11" i="2"/>
  <c r="N11" i="2"/>
  <c r="J11" i="2"/>
  <c r="R11" i="2" s="1"/>
  <c r="S42" i="6" l="1"/>
  <c r="AG51" i="2"/>
  <c r="AI51" i="2" s="1"/>
  <c r="C138" i="16"/>
  <c r="AB118" i="16"/>
  <c r="C119" i="16"/>
  <c r="C128" i="16" s="1"/>
  <c r="AH103" i="16"/>
  <c r="AJ103" i="16" s="1"/>
  <c r="AH123" i="16"/>
  <c r="AJ123" i="16" s="1"/>
  <c r="AH122" i="16"/>
  <c r="AJ122" i="16" s="1"/>
  <c r="AH125" i="16"/>
  <c r="AJ125" i="16" s="1"/>
  <c r="AH126" i="16"/>
  <c r="AJ126" i="16" s="1"/>
  <c r="AH121" i="16"/>
  <c r="AJ121" i="16" s="1"/>
  <c r="AH136" i="16"/>
  <c r="AJ136" i="16" s="1"/>
  <c r="AH109" i="16"/>
  <c r="AJ109" i="16" s="1"/>
  <c r="R12" i="2"/>
  <c r="AB119" i="16" l="1"/>
  <c r="AB128" i="16" s="1"/>
  <c r="AH135" i="16"/>
  <c r="AJ135" i="16" s="1"/>
  <c r="AH118" i="16"/>
  <c r="AJ118" i="16" s="1"/>
  <c r="AH138" i="16" l="1"/>
  <c r="AJ138" i="16" s="1"/>
  <c r="AH119" i="16"/>
  <c r="AJ119" i="16" s="1"/>
  <c r="AH128" i="16"/>
  <c r="AJ128" i="16" s="1"/>
  <c r="I34" i="7" l="1"/>
  <c r="I47" i="7" s="1"/>
  <c r="I50" i="7" s="1"/>
  <c r="F14" i="2"/>
  <c r="F17" i="3" l="1"/>
  <c r="X14" i="2"/>
  <c r="AI14" i="2" s="1"/>
  <c r="F20" i="2"/>
  <c r="F45" i="2" s="1"/>
  <c r="F55" i="2" s="1"/>
  <c r="F59" i="2" s="1"/>
  <c r="AI135" i="18"/>
  <c r="AK135" i="18" s="1"/>
  <c r="F23" i="3" l="1"/>
  <c r="F48" i="3" s="1"/>
  <c r="F57" i="3" s="1"/>
  <c r="F61" i="3" s="1"/>
  <c r="T17" i="3"/>
  <c r="AG14" i="2"/>
  <c r="AG20" i="2" s="1"/>
  <c r="C131" i="16"/>
  <c r="C142" i="16" s="1"/>
  <c r="C144" i="16" s="1"/>
  <c r="AB105" i="16"/>
  <c r="X20" i="2"/>
  <c r="G47" i="7"/>
  <c r="G50" i="7" s="1"/>
  <c r="AI137" i="18"/>
  <c r="AK137" i="18" s="1"/>
  <c r="X45" i="2" l="1"/>
  <c r="AI45" i="2" s="1"/>
  <c r="AI20" i="2"/>
  <c r="E144" i="16"/>
  <c r="AB131" i="16"/>
  <c r="AB142" i="16" s="1"/>
  <c r="AB144" i="16" s="1"/>
  <c r="G20" i="8"/>
  <c r="AD17" i="3"/>
  <c r="AF17" i="3" s="1"/>
  <c r="T23" i="3"/>
  <c r="T48" i="3" s="1"/>
  <c r="T57" i="3" s="1"/>
  <c r="T61" i="3" s="1"/>
  <c r="G37" i="7"/>
  <c r="X55" i="2" l="1"/>
  <c r="AI55" i="2" s="1"/>
  <c r="AG45" i="2"/>
  <c r="AG55" i="2" s="1"/>
  <c r="AG59" i="2" s="1"/>
  <c r="G26" i="8"/>
  <c r="G46" i="8" s="1"/>
  <c r="G49" i="8" s="1"/>
  <c r="K26" i="8"/>
  <c r="G144" i="16"/>
  <c r="I20" i="8"/>
  <c r="I26" i="8" s="1"/>
  <c r="I37" i="7"/>
  <c r="G50" i="9"/>
  <c r="AD23" i="3"/>
  <c r="AD48" i="3" s="1"/>
  <c r="AF48" i="3" s="1"/>
  <c r="X59" i="2" l="1"/>
  <c r="AI59" i="2" s="1"/>
  <c r="I144" i="16"/>
  <c r="AD57" i="3"/>
  <c r="K46" i="8"/>
  <c r="K49" i="8" s="1"/>
  <c r="K37" i="8"/>
  <c r="AH105" i="16"/>
  <c r="AJ105" i="16" s="1"/>
  <c r="AF23" i="3"/>
  <c r="G37" i="8"/>
  <c r="AH131" i="16"/>
  <c r="AJ131" i="16" s="1"/>
  <c r="K144" i="16" l="1"/>
  <c r="I46" i="8"/>
  <c r="I49" i="8" s="1"/>
  <c r="I37" i="8"/>
  <c r="AH142" i="16"/>
  <c r="AJ142" i="16" s="1"/>
  <c r="M144" i="16" l="1"/>
  <c r="AF57" i="3"/>
  <c r="AD61" i="3"/>
  <c r="AF61" i="3" s="1"/>
  <c r="AH144" i="16"/>
  <c r="AJ144" i="16" s="1"/>
  <c r="B70" i="22"/>
  <c r="B73" i="22" s="1"/>
  <c r="O144" i="16" l="1"/>
  <c r="Q144" i="16" l="1"/>
  <c r="D73" i="22"/>
  <c r="S144" i="16" l="1"/>
  <c r="R73" i="22"/>
  <c r="U144" i="16" l="1"/>
  <c r="F73" i="22"/>
  <c r="T73" i="22"/>
  <c r="W144" i="16" l="1"/>
  <c r="Y144" i="16" s="1"/>
  <c r="V73" i="22"/>
  <c r="H73" i="22" l="1"/>
  <c r="X73" i="22"/>
  <c r="J73" i="22" l="1"/>
  <c r="L73" i="22" l="1"/>
  <c r="V57" i="2" l="1"/>
  <c r="V59" i="2" s="1"/>
  <c r="N73" i="22"/>
  <c r="P73" i="22" s="1"/>
  <c r="L59" i="3"/>
  <c r="L59" i="2"/>
  <c r="R59" i="3" l="1"/>
  <c r="R61" i="3" s="1"/>
  <c r="L61" i="3"/>
</calcChain>
</file>

<file path=xl/sharedStrings.xml><?xml version="1.0" encoding="utf-8"?>
<sst xmlns="http://schemas.openxmlformats.org/spreadsheetml/2006/main" count="3779" uniqueCount="1537">
  <si>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</si>
  <si>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</si>
  <si>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</si>
  <si>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</si>
  <si>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</si>
  <si>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</si>
  <si>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</si>
  <si>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</si>
  <si>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</si>
  <si>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</si>
  <si>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FUND</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</si>
  <si>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</si>
  <si>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</si>
  <si>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</si>
  <si>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</si>
  <si>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</si>
  <si>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</si>
  <si>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</si>
  <si>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</si>
  <si>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</si>
  <si>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</si>
  <si>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</si>
  <si>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</si>
  <si>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</si>
  <si>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</si>
  <si>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</si>
  <si>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</si>
  <si>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</si>
  <si>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</si>
  <si>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</si>
  <si>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</si>
  <si>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</si>
  <si>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</si>
  <si>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</si>
  <si>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</si>
  <si>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</si>
  <si>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</si>
  <si>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</si>
  <si>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</si>
  <si>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</si>
  <si>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</si>
  <si>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</si>
  <si>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</si>
  <si>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</si>
  <si>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</si>
  <si>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</si>
  <si>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</si>
  <si>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</si>
  <si>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</si>
  <si>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</si>
  <si>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</si>
  <si>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</si>
  <si>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</si>
  <si>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</si>
  <si>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</si>
  <si>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</si>
  <si>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</si>
  <si>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</si>
  <si>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 xml:space="preserve">TOTAL </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</si>
  <si>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</si>
  <si>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</si>
  <si>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</si>
  <si>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</si>
  <si>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</si>
  <si>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</si>
  <si>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</si>
  <si>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</si>
  <si>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</si>
  <si>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</si>
  <si>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</si>
  <si>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</si>
  <si>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</si>
  <si>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</si>
  <si>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</si>
  <si>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</si>
  <si>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</si>
  <si>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</si>
  <si>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</si>
  <si>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</si>
  <si>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</si>
  <si>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</si>
  <si>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</si>
  <si>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</si>
  <si>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</si>
  <si>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</si>
  <si>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</si>
  <si>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</si>
  <si>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</si>
  <si>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</si>
  <si>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</si>
  <si>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</si>
  <si>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</si>
  <si>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</si>
  <si>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</si>
  <si>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</si>
  <si>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</si>
  <si>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</si>
  <si>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</si>
  <si>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</si>
  <si>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</si>
  <si>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</si>
  <si>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</si>
  <si>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</si>
  <si>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</si>
  <si>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</si>
  <si>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</si>
  <si>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</si>
  <si>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(continued)</t>
  </si>
  <si>
    <t>GENERAL</t>
  </si>
  <si>
    <t xml:space="preserve">  Transfers From:</t>
  </si>
  <si>
    <t xml:space="preserve">    PIT in excess of Revenue Bond Debt Service</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</si>
  <si>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</si>
  <si>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</si>
  <si>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</si>
  <si>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</si>
  <si>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</si>
  <si>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</si>
  <si>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</si>
  <si>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</si>
  <si>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</si>
  <si>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</si>
  <si>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</si>
  <si>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</si>
  <si>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</si>
  <si>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</si>
  <si>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</si>
  <si>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</si>
  <si>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</si>
  <si>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</si>
  <si>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</si>
  <si>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</si>
  <si>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</si>
  <si>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</si>
  <si>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</si>
  <si>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</si>
  <si>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</si>
  <si>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</si>
  <si>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</si>
  <si>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</si>
  <si>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</si>
  <si>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</si>
  <si>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</si>
  <si>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</si>
  <si>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</si>
  <si>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</si>
  <si>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</si>
  <si>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</si>
  <si>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</si>
  <si>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</si>
  <si>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</si>
  <si>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</si>
  <si>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</si>
  <si>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</si>
  <si>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</si>
  <si>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JANUARY</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</si>
  <si>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</si>
  <si>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</si>
  <si>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</si>
  <si>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</si>
  <si>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</si>
  <si>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</si>
  <si>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</si>
  <si>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</si>
  <si>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</si>
  <si>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</si>
  <si>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</si>
  <si>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</si>
  <si>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</si>
  <si>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</si>
  <si>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</si>
  <si>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</si>
  <si>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</si>
  <si>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</si>
  <si>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</si>
  <si>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</si>
  <si>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</si>
  <si>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</si>
  <si>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</si>
  <si>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</si>
  <si>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</si>
  <si>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</si>
  <si>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</si>
  <si>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</si>
  <si>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</si>
  <si>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</si>
  <si>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</si>
  <si>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</si>
  <si>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</si>
  <si>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</si>
  <si>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</si>
  <si>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</si>
  <si>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</si>
  <si>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</si>
  <si>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</si>
  <si>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</si>
  <si>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</si>
  <si>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</si>
  <si>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</si>
  <si>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</si>
  <si>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</si>
  <si>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</si>
  <si>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</si>
  <si>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</si>
  <si>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</si>
  <si>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</si>
  <si>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</si>
  <si>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</si>
  <si>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</si>
  <si>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</si>
  <si>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</si>
  <si>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</si>
  <si>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</si>
  <si>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</si>
  <si>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</si>
  <si>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</si>
  <si>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</si>
  <si>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</si>
  <si>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</si>
  <si>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</si>
  <si>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</si>
  <si>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</si>
  <si>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</si>
  <si>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</si>
  <si>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</si>
  <si>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</si>
  <si>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</si>
  <si>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</si>
  <si>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</si>
  <si>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</si>
  <si>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</si>
  <si>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</si>
  <si>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</si>
  <si>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</si>
  <si>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</si>
  <si>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</si>
  <si>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</si>
  <si>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</si>
  <si>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</si>
  <si>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</si>
  <si>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SUMMARY OF CASH RECEIPTS, DISBURSEMENTS AND   </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</si>
  <si>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</si>
  <si>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</si>
  <si>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</si>
  <si>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</si>
  <si>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</si>
  <si>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</si>
  <si>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</si>
  <si>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</si>
  <si>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</si>
  <si>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</si>
  <si>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</si>
  <si>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</si>
  <si>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</si>
  <si>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</si>
  <si>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</si>
  <si>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</si>
  <si>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</si>
  <si>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</si>
  <si>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</si>
  <si>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</si>
  <si>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</si>
  <si>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</si>
  <si>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</si>
  <si>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</si>
  <si>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</si>
  <si>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</si>
  <si>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</si>
  <si>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</si>
  <si>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</si>
  <si>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</si>
  <si>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</si>
  <si>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</si>
  <si>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</si>
  <si>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</si>
  <si>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</si>
  <si>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</si>
  <si>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</si>
  <si>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</si>
  <si>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</si>
  <si>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</si>
  <si>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</si>
  <si>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</si>
  <si>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</si>
  <si>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</si>
  <si>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</si>
  <si>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</si>
  <si>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</si>
  <si>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</si>
  <si>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</si>
  <si>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</si>
  <si>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</si>
  <si>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</si>
  <si>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</si>
  <si>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</si>
  <si>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</si>
  <si>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</si>
  <si>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</si>
  <si>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</si>
  <si>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</si>
  <si>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</si>
  <si>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</si>
  <si>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</si>
  <si>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</si>
  <si>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</si>
  <si>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</si>
  <si>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</si>
  <si>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</si>
  <si>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</si>
  <si>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</si>
  <si>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</si>
  <si>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</si>
  <si>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</si>
  <si>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</si>
  <si>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</si>
  <si>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</si>
  <si>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</si>
  <si>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</si>
  <si>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</si>
  <si>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</si>
  <si>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</si>
  <si>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</si>
  <si>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</si>
  <si>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</si>
  <si>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</si>
  <si>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</si>
  <si>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</si>
  <si>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</si>
  <si>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</si>
  <si>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</si>
  <si>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</si>
  <si>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</si>
  <si>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</si>
  <si>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</si>
  <si>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</si>
  <si>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</si>
  <si>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</si>
  <si>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</si>
  <si>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</si>
  <si>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</si>
  <si>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</si>
  <si>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</si>
  <si>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</si>
  <si>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</si>
  <si>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</si>
  <si>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</si>
  <si>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</si>
  <si>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</si>
  <si>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</si>
  <si>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</si>
  <si>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</si>
  <si>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</si>
  <si>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</si>
  <si>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</si>
  <si>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</si>
  <si>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</si>
  <si>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</si>
  <si>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</si>
  <si>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</si>
  <si>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</si>
  <si>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</si>
  <si>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</si>
  <si>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</si>
  <si>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</si>
  <si>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</si>
  <si>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SUMMARY OF CASH RECEIPTS, DISBURSEMENTS AND</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</si>
  <si>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</si>
  <si>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</si>
  <si>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</si>
  <si>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</si>
  <si>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</si>
  <si>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</si>
  <si>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</si>
  <si>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</si>
  <si>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</si>
  <si>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</si>
  <si>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</si>
  <si>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</si>
  <si>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</si>
  <si>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</si>
  <si>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</si>
  <si>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</si>
  <si>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</si>
  <si>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</si>
  <si>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</si>
  <si>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SUMMARY OF CASH RECEIPTS, DISBURSEMENTS AND CHANGES IN FUND BALANCES </t>
  </si>
  <si>
    <t xml:space="preserve">    TOTAL PENSION TRUST FUNDS</t>
  </si>
  <si>
    <t xml:space="preserve">  66000-66049-Agriculture Producers' Security</t>
  </si>
  <si>
    <t xml:space="preserve">  66050-66099-Milk Producers' Security</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</si>
  <si>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</si>
  <si>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</si>
  <si>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</si>
  <si>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</si>
  <si>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</si>
  <si>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</si>
  <si>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</si>
  <si>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</si>
  <si>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</si>
  <si>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</si>
  <si>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</si>
  <si>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SCHEDULE 4</t>
  </si>
  <si>
    <t>SOLE CUSTODY AND INVESTMENT ACCOUNTS</t>
  </si>
  <si>
    <t xml:space="preserve">STATEMENT OF CASH RECEIPTS AND DISBURSEMENTS </t>
  </si>
  <si>
    <t>ACCOUNTS</t>
  </si>
  <si>
    <t xml:space="preserve">  70000-70049-Tobacco Settlement</t>
  </si>
  <si>
    <t xml:space="preserve">  70050-70149-Sole Custody Investment (*)</t>
  </si>
  <si>
    <t xml:space="preserve">  70200-Comptroller's Refund </t>
  </si>
  <si>
    <t>TOTAL ACCOUNTS</t>
  </si>
  <si>
    <t>(*) Includes Public Asset Fund resources</t>
  </si>
  <si>
    <t>SCHEDULE 5</t>
  </si>
  <si>
    <t>STATEMENT OF DIRECT STATE DEBT ACTIVITY</t>
  </si>
  <si>
    <t>OUTSTANDING</t>
  </si>
  <si>
    <t xml:space="preserve"> MONTH OF </t>
  </si>
  <si>
    <t>PURPOSE</t>
  </si>
  <si>
    <t>GENERAL OBLIGATION BONDED DEBT:</t>
  </si>
  <si>
    <t xml:space="preserve">  Clean Water/Clean Air:</t>
  </si>
  <si>
    <t xml:space="preserve">           Safe Drinking Water</t>
  </si>
  <si>
    <t xml:space="preserve">           Water </t>
  </si>
  <si>
    <t xml:space="preserve">           Solid Waste </t>
  </si>
  <si>
    <t xml:space="preserve">           Air</t>
  </si>
  <si>
    <t xml:space="preserve">           Water</t>
  </si>
  <si>
    <t xml:space="preserve">  Environmental Quality (1986):</t>
  </si>
  <si>
    <t xml:space="preserve">           Solid Waste Management</t>
  </si>
  <si>
    <t xml:space="preserve">  Housing:</t>
  </si>
  <si>
    <t xml:space="preserve">           Low Cost</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</si>
  <si>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</si>
  <si>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</si>
  <si>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</si>
  <si>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</si>
  <si>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</si>
  <si>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</si>
  <si>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</si>
  <si>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</si>
  <si>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</si>
  <si>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</si>
  <si>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</si>
  <si>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</si>
  <si>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</si>
  <si>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</si>
  <si>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</si>
  <si>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</si>
  <si>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</si>
  <si>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</si>
  <si>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</si>
  <si>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</si>
  <si>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</si>
  <si>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</si>
  <si>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</si>
  <si>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</si>
  <si>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</si>
  <si>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</si>
  <si>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</si>
  <si>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</si>
  <si>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</si>
  <si>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</si>
  <si>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</si>
  <si>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</si>
  <si>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</si>
  <si>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</si>
  <si>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</si>
  <si>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</si>
  <si>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</si>
  <si>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</si>
  <si>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</si>
  <si>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Albany County Airport</t>
  </si>
  <si>
    <t xml:space="preserve">         Department of Health Facilities</t>
  </si>
  <si>
    <t xml:space="preserve">         Economic Development Housing</t>
  </si>
  <si>
    <t xml:space="preserve">         Education</t>
  </si>
  <si>
    <t xml:space="preserve">         General Purpose</t>
  </si>
  <si>
    <t xml:space="preserve">         Health Care</t>
  </si>
  <si>
    <t xml:space="preserve">         OGS Parking</t>
  </si>
  <si>
    <t xml:space="preserve">     Environmental Facilities Corporation</t>
  </si>
  <si>
    <t xml:space="preserve">     Housing Finance Agency</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</si>
  <si>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</si>
  <si>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</si>
  <si>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</si>
  <si>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</si>
  <si>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</si>
  <si>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Community Enhancement Facilities Program</t>
  </si>
  <si>
    <t xml:space="preserve">         Cornell Univer. Supercomputer Center</t>
  </si>
  <si>
    <t xml:space="preserve">         Correctional Facilities</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</si>
  <si>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</si>
  <si>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</si>
  <si>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</si>
  <si>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</si>
  <si>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</si>
  <si>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</si>
  <si>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</si>
  <si>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</si>
  <si>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</si>
  <si>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</si>
  <si>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</si>
  <si>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</si>
  <si>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</si>
  <si>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</si>
  <si>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</si>
  <si>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</si>
  <si>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</si>
  <si>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</si>
  <si>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</si>
  <si>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</si>
  <si>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</si>
  <si>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</si>
  <si>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</si>
  <si>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</si>
  <si>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</si>
  <si>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</si>
  <si>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</si>
  <si>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</si>
  <si>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</si>
  <si>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</si>
  <si>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</si>
  <si>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</si>
  <si>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</si>
  <si>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</si>
  <si>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</si>
  <si>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</si>
  <si>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</si>
  <si>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</si>
  <si>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</si>
  <si>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</si>
  <si>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</si>
  <si>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</si>
  <si>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</si>
  <si>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</si>
  <si>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</si>
  <si>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</si>
  <si>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</si>
  <si>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Program/Purpose</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</si>
  <si>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</si>
  <si>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</si>
  <si>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</si>
  <si>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</si>
  <si>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</si>
  <si>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</si>
  <si>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</si>
  <si>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</si>
  <si>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</si>
  <si>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</si>
  <si>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</si>
  <si>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</si>
  <si>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</si>
  <si>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</si>
  <si>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</si>
  <si>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</si>
  <si>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</si>
  <si>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 xml:space="preserve">CHILD HEALTH INSURANCE PROGRAM         </t>
  </si>
  <si>
    <t xml:space="preserve">     CHILD HEALTH INSURANCE        </t>
  </si>
  <si>
    <t xml:space="preserve">COMMUNITY SUPPORT PROGRAM          </t>
  </si>
  <si>
    <t xml:space="preserve">     COMMUNITY SUPPORT</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</si>
  <si>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</si>
  <si>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</si>
  <si>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</si>
  <si>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</si>
  <si>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</si>
  <si>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</si>
  <si>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</si>
  <si>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</si>
  <si>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</si>
  <si>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</si>
  <si>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</si>
  <si>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</si>
  <si>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</si>
  <si>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</si>
  <si>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</si>
  <si>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</si>
  <si>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</si>
  <si>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</si>
  <si>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</si>
  <si>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</si>
  <si>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</si>
  <si>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</si>
  <si>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</si>
  <si>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</si>
  <si>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</si>
  <si>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</si>
  <si>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</si>
  <si>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</si>
  <si>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</si>
  <si>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</si>
  <si>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</si>
  <si>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</si>
  <si>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</si>
  <si>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</si>
  <si>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</si>
  <si>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</si>
  <si>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</si>
  <si>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</si>
  <si>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</si>
  <si>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</si>
  <si>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</si>
  <si>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</si>
  <si>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</si>
  <si>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</si>
  <si>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</si>
  <si>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</si>
  <si>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Transfer to the General Fund - State Purposes Account 
     (for administration of the program)</t>
  </si>
  <si>
    <t xml:space="preserve">     Reclass of SUNY Hospital Disprop Share to Transfer</t>
  </si>
  <si>
    <t xml:space="preserve">     Reconciling Adjustment (P-Card and T-Card)</t>
  </si>
  <si>
    <t>APPENDIX C</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</si>
  <si>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</si>
  <si>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</si>
  <si>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</si>
  <si>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</si>
  <si>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</si>
  <si>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</si>
  <si>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</si>
  <si>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</si>
  <si>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</si>
  <si>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</si>
  <si>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</si>
  <si>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</si>
  <si>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</si>
  <si>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</si>
  <si>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</si>
  <si>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</si>
  <si>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</si>
  <si>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</si>
  <si>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Indigent Care Fund (matched)</t>
  </si>
  <si>
    <t xml:space="preserve">     Indigent Care Fund (non-matched)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</si>
  <si>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</si>
  <si>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</si>
  <si>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</si>
  <si>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</si>
  <si>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</si>
  <si>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</si>
  <si>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</si>
  <si>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</si>
  <si>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</si>
  <si>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</si>
  <si>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</si>
  <si>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</si>
  <si>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</si>
  <si>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</si>
  <si>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</si>
  <si>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</si>
  <si>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</si>
  <si>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</si>
  <si>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</si>
  <si>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</si>
  <si>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</si>
  <si>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</si>
  <si>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</si>
  <si>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</si>
  <si>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</si>
  <si>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</si>
  <si>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</si>
  <si>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</si>
  <si>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</si>
  <si>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</si>
  <si>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</si>
  <si>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</si>
  <si>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</si>
  <si>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</si>
  <si>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</si>
  <si>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</si>
  <si>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</si>
  <si>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</si>
  <si>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</si>
  <si>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</si>
  <si>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</si>
  <si>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</si>
  <si>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</si>
  <si>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</si>
  <si>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</si>
  <si>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</si>
  <si>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</si>
  <si>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</si>
  <si>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</si>
  <si>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</si>
  <si>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</si>
  <si>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</si>
  <si>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</si>
  <si>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</si>
  <si>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</si>
  <si>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</si>
  <si>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</si>
  <si>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</si>
  <si>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</si>
  <si>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</si>
  <si>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</si>
  <si>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</si>
  <si>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</si>
  <si>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</si>
  <si>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</si>
  <si>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</si>
  <si>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</si>
  <si>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</si>
  <si>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</si>
  <si>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</si>
  <si>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</si>
  <si>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</si>
  <si>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</si>
  <si>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</si>
  <si>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</si>
  <si>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</si>
  <si>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</si>
  <si>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</si>
  <si>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</si>
  <si>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</si>
  <si>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</si>
  <si>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</si>
  <si>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</si>
  <si>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</si>
  <si>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</si>
  <si>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</si>
  <si>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</si>
  <si>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</si>
  <si>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</si>
  <si>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</si>
  <si>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</si>
  <si>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</si>
  <si>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</si>
  <si>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</si>
  <si>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</si>
  <si>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</si>
  <si>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</si>
  <si>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</si>
  <si>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</si>
  <si>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</si>
  <si>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</si>
  <si>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</si>
  <si>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</si>
  <si>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</si>
  <si>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</si>
  <si>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</si>
  <si>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</si>
  <si>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</si>
  <si>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</si>
  <si>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</si>
  <si>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</si>
  <si>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</si>
  <si>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</si>
  <si>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</si>
  <si>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</si>
  <si>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</si>
  <si>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</si>
  <si>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</si>
  <si>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</si>
  <si>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</si>
  <si>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</si>
  <si>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</si>
  <si>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</si>
  <si>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</si>
  <si>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</si>
  <si>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</si>
  <si>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TUITION REIMBURSEMENT FUND</t>
  </si>
  <si>
    <t>VOCATIONAL SCHOOL SUPERVISION</t>
  </si>
  <si>
    <t>LOCAL GOVERNMENT RECORDS MGMT</t>
  </si>
  <si>
    <t>CHILD HEALTH INSURANCE</t>
  </si>
  <si>
    <t>EPIC PREMIUM ACCOUNT</t>
  </si>
  <si>
    <t>LOTTERY-EDUCATION</t>
  </si>
  <si>
    <t>VLT EDUCATION</t>
  </si>
  <si>
    <t>ENVIR FAC CORP ADM ACCT</t>
  </si>
  <si>
    <t>ENCON  ADMIN ACCT</t>
  </si>
  <si>
    <t>HAZARDOUS BULK STORAGE</t>
  </si>
  <si>
    <t xml:space="preserve">FEDERAL GRANTS INDIRECT COST RECOVERY ACCOUNT  </t>
  </si>
  <si>
    <t>ENCON-LOW LEVEL RADIOACTIVE WASTE SITING</t>
  </si>
  <si>
    <t>ENCON-RECREATION</t>
  </si>
  <si>
    <t>PUBLIC SAFETY RECOVERY ACCOUNT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</si>
  <si>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</si>
  <si>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</si>
  <si>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</si>
  <si>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</si>
  <si>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</si>
  <si>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</si>
  <si>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</si>
  <si>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</si>
  <si>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</si>
  <si>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</si>
  <si>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</si>
  <si>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</si>
  <si>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</si>
  <si>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 xml:space="preserve">OPWDD PROVIDER OF SERVICE  </t>
  </si>
  <si>
    <t>MENTAL HYGIENE PROGRAM</t>
  </si>
  <si>
    <t>MENTAL HYGIENE PATIENT INCOME ACCOUNT</t>
  </si>
  <si>
    <t xml:space="preserve">FINANCIAL CONTROL BOARD </t>
  </si>
  <si>
    <t>RACING REGULATION ACCOUNT</t>
  </si>
  <si>
    <t xml:space="preserve">SU DORM INCOME REIMBURSE </t>
  </si>
  <si>
    <t>ENERGY RESEARCH ACCOUNT</t>
  </si>
  <si>
    <t>CRIMINAL JUSTICE IMPROVEMENT</t>
  </si>
  <si>
    <t>ENV LAB REF FEE</t>
  </si>
  <si>
    <t>CLINICAL LAB FEE</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</si>
  <si>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</si>
  <si>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</si>
  <si>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</si>
  <si>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</si>
  <si>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</si>
  <si>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</si>
  <si>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</si>
  <si>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</si>
  <si>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</si>
  <si>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</si>
  <si>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</si>
  <si>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</si>
  <si>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</si>
  <si>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</si>
  <si>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</si>
  <si>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</si>
  <si>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</si>
  <si>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</si>
  <si>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</si>
  <si>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</si>
  <si>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</si>
  <si>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DMV-COMPULSORY INS PRGM</t>
  </si>
  <si>
    <t>HOUSING INDIRECT COST RECOVERY</t>
  </si>
  <si>
    <t>ACCIDENT PREVENTION COURSE PROGRAM</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</si>
  <si>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</si>
  <si>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</si>
  <si>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</si>
  <si>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</si>
  <si>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</si>
  <si>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</si>
  <si>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</si>
  <si>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</si>
  <si>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</si>
  <si>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</si>
  <si>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</si>
  <si>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EFC DRINKING WATER PROGRAM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</si>
  <si>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</si>
  <si>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</si>
  <si>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</si>
  <si>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</si>
  <si>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</si>
  <si>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</si>
  <si>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</si>
  <si>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</si>
  <si>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</si>
  <si>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</si>
  <si>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</si>
  <si>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</si>
  <si>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</si>
  <si>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</si>
  <si>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</si>
  <si>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</si>
  <si>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</si>
  <si>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</si>
  <si>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</si>
  <si>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</si>
  <si>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</si>
  <si>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</si>
  <si>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</si>
  <si>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</si>
  <si>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</si>
  <si>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</si>
  <si>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</si>
  <si>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</si>
  <si>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</si>
  <si>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</si>
  <si>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</si>
  <si>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</si>
  <si>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</si>
  <si>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</si>
  <si>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</si>
  <si>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</si>
  <si>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</si>
  <si>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</si>
  <si>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</si>
  <si>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</si>
  <si>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</si>
  <si>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</si>
  <si>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</si>
  <si>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</si>
  <si>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</si>
  <si>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</si>
  <si>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</si>
  <si>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EHS OCCUP HEALTH PROG</t>
  </si>
  <si>
    <t>BANKING SERVICES ACCOUNT</t>
  </si>
  <si>
    <t>CULTURAL RESOURCE SURVEY</t>
  </si>
  <si>
    <t>NEIGHBOR WORK PROJECT</t>
  </si>
  <si>
    <t>AUTOMATIC/PRINT CHARGBACKS</t>
  </si>
  <si>
    <t>OFT NYT ACCT</t>
  </si>
  <si>
    <t>DATA CENTER ACCOUNT</t>
  </si>
  <si>
    <t>CYBER SECURITY INTRUSION ACCT</t>
  </si>
  <si>
    <t>DOMESTIC VIOLENCE GRANT</t>
  </si>
  <si>
    <t>CENTRALIZED TECHNOLOGY SERVICES</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</si>
  <si>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</si>
  <si>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</si>
  <si>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</si>
  <si>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</si>
  <si>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</si>
  <si>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</si>
  <si>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</si>
  <si>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</si>
  <si>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</si>
  <si>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</si>
  <si>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</si>
  <si>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General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</si>
  <si>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</si>
  <si>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</si>
  <si>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</si>
  <si>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</si>
  <si>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</si>
  <si>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</si>
  <si>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</si>
  <si>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</si>
  <si>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</si>
  <si>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Federal Capital Projects</t>
  </si>
  <si>
    <t>2.</t>
  </si>
  <si>
    <t>fund through which disbursements will ultimately be made. The more significant transfers include:</t>
  </si>
  <si>
    <r>
      <t xml:space="preserve">General Fund  </t>
    </r>
    <r>
      <rPr>
        <sz val="9"/>
        <rFont val="Arial"/>
        <family val="2"/>
      </rPr>
      <t>“Transfers to Other Funds” are as follows:</t>
    </r>
  </si>
  <si>
    <t>General Debt Service Fund</t>
  </si>
  <si>
    <t>Revenue Bond Tax Fund</t>
  </si>
  <si>
    <t>Local Government Assistance Tax Fund</t>
  </si>
  <si>
    <t>Sales Tax Revenue Bond Tax Fund</t>
  </si>
  <si>
    <t>Clean Water/Clean Air Fund</t>
  </si>
  <si>
    <t xml:space="preserve">Court Facilities Incentive Aid Fund   </t>
  </si>
  <si>
    <t>MTA Financial Assistance Fund</t>
  </si>
  <si>
    <t xml:space="preserve">NYC County Courts Operating Fund   </t>
  </si>
  <si>
    <t>3.</t>
  </si>
  <si>
    <t>Also included in the General Fund are transfers representing payments for patients residing in State-</t>
  </si>
  <si>
    <t>Medicaid Recoveries - Health Facilities</t>
  </si>
  <si>
    <t>Medicaid Recoveries - Third Parties</t>
  </si>
  <si>
    <t>Pharmacy Rebates</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</si>
  <si>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</si>
  <si>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</si>
  <si>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</si>
  <si>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</si>
  <si>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</si>
  <si>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</si>
  <si>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</si>
  <si>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</si>
  <si>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</si>
  <si>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</si>
  <si>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</si>
  <si>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</si>
  <si>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</si>
  <si>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 xml:space="preserve">Special Revenue Funds State - Statement of Receipts and Disbursements  </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</si>
  <si>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</si>
  <si>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</si>
  <si>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</si>
  <si>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</si>
  <si>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</si>
  <si>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</si>
  <si>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</si>
  <si>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</si>
  <si>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</si>
  <si>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</si>
  <si>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</si>
  <si>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</si>
  <si>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</si>
  <si>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</si>
  <si>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</si>
  <si>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</si>
  <si>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</si>
  <si>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</si>
  <si>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</si>
  <si>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</si>
  <si>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</si>
  <si>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</si>
  <si>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</si>
  <si>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</si>
  <si>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 xml:space="preserve">The State receives moneys that represent refunds, pharmacy rebates, reimbursements, or disallowances    </t>
  </si>
  <si>
    <t>Exhibit A</t>
  </si>
  <si>
    <t xml:space="preserve">Exhibit A Supplemental </t>
  </si>
  <si>
    <t>Exhibit A Footnotes</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</si>
  <si>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</si>
  <si>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</si>
  <si>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</si>
  <si>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</si>
  <si>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</si>
  <si>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</si>
  <si>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</si>
  <si>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</si>
  <si>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</si>
  <si>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</si>
  <si>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</si>
  <si>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</si>
  <si>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</si>
  <si>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</si>
  <si>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</si>
  <si>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t>
  </si>
  <si>
    <t>(***)</t>
  </si>
  <si>
    <t>(*)</t>
  </si>
  <si>
    <t>Please refer to Schedule 1 for a detailed analysis of the 'reported' cash balances of the fund group.</t>
  </si>
  <si>
    <t>SCHEDULE OF MONTH-END TEMPORARY LOANS OUTSTANDING(*)</t>
  </si>
  <si>
    <t xml:space="preserve">Special Revenue Funds Combined - Statement of Cash Flow  </t>
  </si>
  <si>
    <t xml:space="preserve">Special Revenue Funds Federal - Statement of Receipts and Disbursements  </t>
  </si>
  <si>
    <t xml:space="preserve">Capital Projects Funds State - Statement of Receipts and Disbursements  </t>
  </si>
  <si>
    <t>Cash Flow - Governmental</t>
  </si>
  <si>
    <t xml:space="preserve">Capital Projects Funds Federal - Statement of Receipts and Disbursements  </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</si>
  <si>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</si>
  <si>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</si>
  <si>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</si>
  <si>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</si>
  <si>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</si>
  <si>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</si>
  <si>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</si>
  <si>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</si>
  <si>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</si>
  <si>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</si>
  <si>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</si>
  <si>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(Amounts in millions)</t>
  </si>
  <si>
    <t xml:space="preserve">(Amounts in millions)  </t>
  </si>
  <si>
    <t xml:space="preserve">(Amounts in millions)    </t>
  </si>
  <si>
    <t>AS REQUIRED OF THE STATE COMPTROLLER</t>
  </si>
  <si>
    <t>(Amounts in thousands)</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</si>
  <si>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</si>
  <si>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</si>
  <si>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</si>
  <si>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</si>
  <si>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</si>
  <si>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</si>
  <si>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</si>
  <si>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</si>
  <si>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</si>
  <si>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</si>
  <si>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</si>
  <si>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</si>
  <si>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</si>
  <si>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</si>
  <si>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</si>
  <si>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</si>
  <si>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</si>
  <si>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</si>
  <si>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Sales Tax Revenue Bond </t>
  </si>
  <si>
    <t xml:space="preserve">         Transportation </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</si>
  <si>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</si>
  <si>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</si>
  <si>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</si>
  <si>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</si>
  <si>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</si>
  <si>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</si>
  <si>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</si>
  <si>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</si>
  <si>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</si>
  <si>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</si>
  <si>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</si>
  <si>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</si>
  <si>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</si>
  <si>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</si>
  <si>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</si>
  <si>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</si>
  <si>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</si>
  <si>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</si>
  <si>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</si>
  <si>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</si>
  <si>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</si>
  <si>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</si>
  <si>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</si>
  <si>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</si>
  <si>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</si>
  <si>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</si>
  <si>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</si>
  <si>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</si>
  <si>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</si>
  <si>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</si>
  <si>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</si>
  <si>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</si>
  <si>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</si>
  <si>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</si>
  <si>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</si>
  <si>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</si>
  <si>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</si>
  <si>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</si>
  <si>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</si>
  <si>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</si>
  <si>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</si>
  <si>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</si>
  <si>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</si>
  <si>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</si>
  <si>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</si>
  <si>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</si>
  <si>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</si>
  <si>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</si>
  <si>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</si>
  <si>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</si>
  <si>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</si>
  <si>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</si>
  <si>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</si>
  <si>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</si>
  <si>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</si>
  <si>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</si>
  <si>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</si>
  <si>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</si>
  <si>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</si>
  <si>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</si>
  <si>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</si>
  <si>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DOL EMPLOYMENT AND TRAINING GRANTS</t>
  </si>
  <si>
    <t>LABOR CONTACT CENTER ACCT</t>
  </si>
  <si>
    <t>HUMAN SERVICES CONTACT CNTR ACCT</t>
  </si>
  <si>
    <t>TAX CONTACT CENTER ACCT</t>
  </si>
  <si>
    <t xml:space="preserve">             Total Other Financing Sources (Uses)      </t>
  </si>
  <si>
    <t>(3)</t>
  </si>
  <si>
    <t>(1)</t>
  </si>
  <si>
    <t>Medicaid "Windfall" Recovery</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</si>
  <si>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</si>
  <si>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</si>
  <si>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</si>
  <si>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</si>
  <si>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</si>
  <si>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</si>
  <si>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</si>
  <si>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</si>
  <si>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xml:space="preserve">         David Axelrod Institute</t>
  </si>
  <si>
    <t>(**) Does not include 0% Compensating Balance CDs.</t>
  </si>
  <si>
    <t xml:space="preserve">  31950-31999-DOT Engineering Services</t>
  </si>
  <si>
    <t>EXHIBIT A NOTES</t>
  </si>
  <si>
    <t>4.</t>
  </si>
  <si>
    <t>NY METROPOLITAN TRANSPORTATION COUNCIL</t>
  </si>
  <si>
    <t xml:space="preserve">  Estimated Payments </t>
  </si>
  <si>
    <t xml:space="preserve">Public Authority Off-Budget Spending Report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</si>
  <si>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</si>
  <si>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</si>
  <si>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</si>
  <si>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</si>
  <si>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FINGERPRINT IDENTIFICATION AND TECH ACCOUNT</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</si>
  <si>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</si>
  <si>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</si>
  <si>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</si>
  <si>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</si>
  <si>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MATERNITY AND EARLY CHHOOD FOUNDATION</t>
  </si>
  <si>
    <t xml:space="preserve">     DIAGNOSTIC AND TREATMENT CTR UNCOMPENSATED CARE</t>
  </si>
  <si>
    <t xml:space="preserve">     HCRA PAYOR/PROVIDER AUDITS</t>
  </si>
  <si>
    <t xml:space="preserve">     BREAST AND CERVICAL CANCER </t>
  </si>
  <si>
    <t xml:space="preserve">     PART 405.4 HOSPITAL AUDITS</t>
  </si>
  <si>
    <t xml:space="preserve">           Total Program Disbursements</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</si>
  <si>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</si>
  <si>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 xml:space="preserve">Capital Projects Funds Combined - Statement of Cash Flow  </t>
  </si>
  <si>
    <t xml:space="preserve">Also included in Special Revenue funds are transfers to the General Fund from the following:  </t>
  </si>
  <si>
    <t xml:space="preserve">Operating Transfers constitute legally authorized transfers from a fund receiving revenues to a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</si>
  <si>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</si>
  <si>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</si>
  <si>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</si>
  <si>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STATEMENT OF RECEIPTS AND DISBURSEMENTS </t>
  </si>
  <si>
    <t xml:space="preserve">                                      DEBT MATURED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</si>
  <si>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</si>
  <si>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</si>
  <si>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</si>
  <si>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</si>
  <si>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</si>
  <si>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</si>
  <si>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</si>
  <si>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</si>
  <si>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         State Facilities and Equipment </t>
  </si>
  <si>
    <t xml:space="preserve">STATEMENT OF CASH FLOW - MEDICAID DISPROPORTIONATE SHARE  </t>
  </si>
  <si>
    <t xml:space="preserve">  21550-21599-Legislative Computer Services </t>
  </si>
  <si>
    <t xml:space="preserve">   Transfers from Revenue Bond Tax Fund           </t>
  </si>
  <si>
    <t xml:space="preserve">   Transfers from CW/CA Fund           </t>
  </si>
  <si>
    <t xml:space="preserve">Also included in Debt Service funds are transfers to Special Revenue funds representing receipts in excess </t>
  </si>
  <si>
    <t xml:space="preserve">of lease-purchase obligations that are used to finance a portion of the operating expenses for Departments </t>
  </si>
  <si>
    <t>resources of the General Fund and the Special Revenue Federal Fund.</t>
  </si>
  <si>
    <t>State or Federal fund appropriations from which the medical assistance payments were originally made.</t>
  </si>
  <si>
    <t>Community Enhancement Facilities Assistance Program (CEFAP)</t>
  </si>
  <si>
    <t xml:space="preserve">Urban Development Corporation (Youth Facilities) </t>
  </si>
  <si>
    <t xml:space="preserve">Dormitory Authority (Mental Hygiene)  </t>
  </si>
  <si>
    <t xml:space="preserve">of medical assistance payments previously made from appropriated State and Federal funds.  These monies  </t>
  </si>
  <si>
    <t xml:space="preserve">CAPITAL PROJECTS FUNDS - COMBINED  </t>
  </si>
  <si>
    <t xml:space="preserve">STATEMENT OF RECEIPTS AND DISBURSEMENTS    </t>
  </si>
  <si>
    <t xml:space="preserve">  60050-60149-School Capital Facilities Financing Reserve   </t>
  </si>
  <si>
    <t xml:space="preserve">           Rapid Transit and Rail Freight     </t>
  </si>
  <si>
    <t xml:space="preserve">are initially credited to an agency escrow account and shortly after receipt are allocated and refunded to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</si>
  <si>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</si>
  <si>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</si>
  <si>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</si>
  <si>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</si>
  <si>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</si>
  <si>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</si>
  <si>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</si>
  <si>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</si>
  <si>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</si>
  <si>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</si>
  <si>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</si>
  <si>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 xml:space="preserve">   Transfers from LGAC / STRBTF           </t>
  </si>
  <si>
    <t>SUNY Income Fund</t>
  </si>
  <si>
    <t>D01RVE- ALBANY</t>
  </si>
  <si>
    <t>D07RVE- BINGHAMTON</t>
  </si>
  <si>
    <t>DSAS-COMMUINTY FACILITIES</t>
  </si>
  <si>
    <t>OASAS-COMMUNITY FACILITIES</t>
  </si>
  <si>
    <t xml:space="preserve">Debt Service Funds - Statement of Cash Flow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</si>
  <si>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</si>
  <si>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</si>
  <si>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</si>
  <si>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</si>
  <si>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</si>
  <si>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</si>
  <si>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</si>
  <si>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</si>
  <si>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</si>
  <si>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</si>
  <si>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</si>
  <si>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</si>
  <si>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</si>
  <si>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</si>
  <si>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</si>
  <si>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</si>
  <si>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</si>
  <si>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</si>
  <si>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</si>
  <si>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</si>
  <si>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</si>
  <si>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</si>
  <si>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</si>
  <si>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</si>
  <si>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</si>
  <si>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</si>
  <si>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</si>
  <si>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</si>
  <si>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</si>
  <si>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</si>
  <si>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</si>
  <si>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</si>
  <si>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</si>
  <si>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</si>
  <si>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</si>
  <si>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</si>
  <si>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</si>
  <si>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</si>
  <si>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</si>
  <si>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</si>
  <si>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</si>
  <si>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</si>
  <si>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</si>
  <si>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</si>
  <si>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</si>
  <si>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</si>
  <si>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</si>
  <si>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</si>
  <si>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</si>
  <si>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</si>
  <si>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</si>
  <si>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</si>
  <si>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</si>
  <si>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</si>
  <si>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</si>
  <si>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</si>
  <si>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</si>
  <si>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</si>
  <si>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</si>
  <si>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</si>
  <si>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</si>
  <si>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</si>
  <si>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</si>
  <si>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</si>
  <si>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</si>
  <si>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 xml:space="preserve">    YEAR OVER YEAR</t>
  </si>
  <si>
    <t>Enacted</t>
  </si>
  <si>
    <t>Updated</t>
  </si>
  <si>
    <t>EXHIBIT J</t>
  </si>
  <si>
    <t xml:space="preserve">   Taxes:</t>
  </si>
  <si>
    <t xml:space="preserve">                  Total Taxes</t>
  </si>
  <si>
    <t xml:space="preserve">                  Total Miscellaneous Receipts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</si>
  <si>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</si>
  <si>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</si>
  <si>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</si>
  <si>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</si>
  <si>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</si>
  <si>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</si>
  <si>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Estimated payments</t>
  </si>
  <si>
    <t xml:space="preserve">         Returns</t>
  </si>
  <si>
    <t xml:space="preserve">         State/City Offsets</t>
  </si>
  <si>
    <t xml:space="preserve">          Other (Assessments/LLC)</t>
  </si>
  <si>
    <t xml:space="preserve">               Gross Receipts</t>
  </si>
  <si>
    <t xml:space="preserve">                  Total Personal Income Tax</t>
  </si>
  <si>
    <t xml:space="preserve">         Transfers to School Tax Relief Fund</t>
  </si>
  <si>
    <t xml:space="preserve">         Transfers to Revenue Bond Tax Fund</t>
  </si>
  <si>
    <t xml:space="preserve">         Refunds issued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</si>
  <si>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</si>
  <si>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</si>
  <si>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</si>
  <si>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</si>
  <si>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</si>
  <si>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</si>
  <si>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</si>
  <si>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</si>
  <si>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</si>
  <si>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</si>
  <si>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</si>
  <si>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</si>
  <si>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</si>
  <si>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</si>
  <si>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</si>
  <si>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</si>
  <si>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</si>
  <si>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</si>
  <si>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</si>
  <si>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</si>
  <si>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</si>
  <si>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</si>
  <si>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</si>
  <si>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</si>
  <si>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</si>
  <si>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 xml:space="preserve">          for patients residing in State-Operated Health, Mental Hygiene and State University facilities.</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</si>
  <si>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</si>
  <si>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</si>
  <si>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</si>
  <si>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</si>
  <si>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</si>
  <si>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</si>
  <si>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</si>
  <si>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</si>
  <si>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</si>
  <si>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</si>
  <si>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</si>
  <si>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</si>
  <si>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</si>
  <si>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</si>
  <si>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</si>
  <si>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</si>
  <si>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</si>
  <si>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</si>
  <si>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</si>
  <si>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</si>
  <si>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</si>
  <si>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</si>
  <si>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</si>
  <si>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</si>
  <si>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</si>
  <si>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</si>
  <si>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Personal Income Tax :</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</si>
  <si>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</si>
  <si>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</si>
  <si>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</si>
  <si>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</si>
  <si>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</si>
  <si>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</si>
  <si>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</si>
  <si>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</si>
  <si>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</si>
  <si>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</si>
  <si>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 xml:space="preserve">         Debt Reduction Reserve</t>
  </si>
  <si>
    <r>
      <t>Special Revenue Funds</t>
    </r>
    <r>
      <rPr>
        <sz val="9"/>
        <rFont val="Arial"/>
        <family val="2"/>
      </rPr>
      <t xml:space="preserve">  “Transfers To Other Funds” includes transfers to Debt Service funds of</t>
    </r>
  </si>
  <si>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</si>
  <si>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</si>
  <si>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</si>
  <si>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</si>
  <si>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</si>
  <si>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</si>
  <si>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</si>
  <si>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</si>
  <si>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</si>
  <si>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</si>
  <si>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Intra-Fund</t>
  </si>
  <si>
    <t>Transfer</t>
  </si>
  <si>
    <t>Eliminations (*)</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</si>
  <si>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</si>
  <si>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</si>
  <si>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</si>
  <si>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</si>
  <si>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GOVERNMENTAL FUNDS-STATE OPERATING (*)</t>
  </si>
  <si>
    <t xml:space="preserve">STATEMENT OF RECEIPTS AND DISBURSEMENTS   </t>
  </si>
  <si>
    <t xml:space="preserve">                        TOTAL GOVERNMENTAL FUNDS                                 YEAR OVER YEAR</t>
  </si>
  <si>
    <t>Housing Debt Service Fund</t>
  </si>
  <si>
    <t xml:space="preserve">     PART 405.4 HOSPITAL AUDITS NYCRR</t>
  </si>
  <si>
    <t xml:space="preserve">STATEMENT OF RECEIPTS AND DISBURSEMENTS BY ACCOUNT       </t>
  </si>
  <si>
    <t xml:space="preserve">SPECIAL REVENUE FUNDS - COMBINED  </t>
  </si>
  <si>
    <t xml:space="preserve">(Amounts in millions)     </t>
  </si>
  <si>
    <r>
      <t>Debt Service Funds</t>
    </r>
    <r>
      <rPr>
        <sz val="9"/>
        <rFont val="Arial"/>
        <family val="2"/>
      </rPr>
      <t xml:space="preserve"> “Transfers To Other Funds” includes transfers to the General Fund from the following:</t>
    </r>
  </si>
  <si>
    <t>PERSONAL INCOME TAX</t>
  </si>
  <si>
    <t xml:space="preserve">CONSUMPTION/USE TAXES </t>
  </si>
  <si>
    <t>BUSINESS TAXES</t>
  </si>
  <si>
    <t xml:space="preserve">OTHER TAXES </t>
  </si>
  <si>
    <t xml:space="preserve">  Transfers from Other Funds (**)</t>
  </si>
  <si>
    <t xml:space="preserve">  Transfers to Other Funds (**)</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</si>
  <si>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</si>
  <si>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</si>
  <si>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</si>
  <si>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</si>
  <si>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</si>
  <si>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</si>
  <si>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</si>
  <si>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</si>
  <si>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</si>
  <si>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</si>
  <si>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</si>
  <si>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Miscellaneous Receipts     </t>
  </si>
  <si>
    <t xml:space="preserve">          Total Other Financing Sources (Uses)   </t>
  </si>
  <si>
    <t xml:space="preserve">Ending Fund Balance     </t>
  </si>
  <si>
    <t xml:space="preserve">                      Total Other Taxes    </t>
  </si>
  <si>
    <t xml:space="preserve">          Total Other Financing Sources (Uses)     </t>
  </si>
  <si>
    <t xml:space="preserve">  Disbursements and Other Financing Uses    </t>
  </si>
  <si>
    <t xml:space="preserve">BUDGETARY BASIS - FINANCIAL PLAN AND ACTUAL     </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</si>
  <si>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</si>
  <si>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</si>
  <si>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</si>
  <si>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Intra-Fund transfer eliminations represent transfers from Special Revenue-Federal Funds.</t>
  </si>
  <si>
    <t>(*)    Intra-Fund transfer eliminations represent transfers to Special Revenue-State Funds.</t>
  </si>
  <si>
    <t>(*)  Intra-Fund transfer eliminations represent transfers from Capital Projects-Federal Funds.</t>
  </si>
  <si>
    <t>(*)  Intra-Fund transfer eliminations represent transfers to Capital Projects-State Funds.</t>
  </si>
  <si>
    <t xml:space="preserve">     Community Capital Assistance Program (CCAP)   </t>
  </si>
  <si>
    <t xml:space="preserve">(**) Eliminations between State and Federal Special Revenue Funds are not included.   </t>
  </si>
  <si>
    <t xml:space="preserve">  23700-23749-New York State Commercial Gaming Fund</t>
  </si>
  <si>
    <t xml:space="preserve">  21050-21149-Encon Special Revenue</t>
  </si>
  <si>
    <t xml:space="preserve">         Metropolitan Commuter Trans. Mobility     </t>
  </si>
  <si>
    <t xml:space="preserve">            Civil</t>
  </si>
  <si>
    <t xml:space="preserve">  30710-30719-Smart Schools Bond</t>
  </si>
  <si>
    <t xml:space="preserve">  30700-30709-State Housing Bond</t>
  </si>
  <si>
    <t xml:space="preserve">  23750-23799-Medical Marihuana Trust Fund</t>
  </si>
  <si>
    <t xml:space="preserve">     TOTAL AGENCY FUNDS   </t>
  </si>
  <si>
    <t xml:space="preserve">TOTAL FIDUCIARY FUNDS    </t>
  </si>
  <si>
    <t>FISCAL YEAR 2015-2016</t>
  </si>
  <si>
    <t xml:space="preserve">   DEBT ISSUED</t>
  </si>
  <si>
    <t xml:space="preserve">      Allocation of Month-End Balances </t>
  </si>
  <si>
    <t xml:space="preserve">Special Revenue - Federal  </t>
  </si>
  <si>
    <t>Medicaid Recoveries -Audit</t>
  </si>
  <si>
    <t xml:space="preserve">At month end, the following balances remained in agency escrow accounts.  For accounting purposes, </t>
  </si>
  <si>
    <t xml:space="preserve">adjustments have been made to reduce medical assistance spending and count these monies as financial    </t>
  </si>
  <si>
    <t>2015-2016</t>
  </si>
  <si>
    <t>Banking Services Account</t>
  </si>
  <si>
    <t xml:space="preserve">          transfer amounts do not include eliminations.</t>
  </si>
  <si>
    <t>A portion of Personal Income Tax receipts is transferred to the State Special Revenue School Tax Relief (STAR)</t>
  </si>
  <si>
    <t>Fund to be used to reimburse school districts for the STAR property tax exemptions for homeowners and payments</t>
  </si>
  <si>
    <t xml:space="preserve">     TOTAL PRIVATE PURPOSE TRUST FUNDS       </t>
  </si>
  <si>
    <t xml:space="preserve">Excess (Deficiency) of Receipts over Disbursements       </t>
  </si>
  <si>
    <t xml:space="preserve">  62000-62049-SSI SSP Payment Escrow</t>
  </si>
  <si>
    <t xml:space="preserve">  33050-33099 Dedicated Infrastructure Investment Fund</t>
  </si>
  <si>
    <t xml:space="preserve">        Patient/Client Care Reimbursement   </t>
  </si>
  <si>
    <t>Dedicated Highway &amp; Bridge Trust Fund</t>
  </si>
  <si>
    <t>AUDIT, COLLECTION, AND ENFORCEMENT PROGRAM</t>
  </si>
  <si>
    <t xml:space="preserve">     CIGARETTE STRIKE TASK FORCE</t>
  </si>
  <si>
    <t>ELDERLY PHARMACEUTICAL INS COVERAGE PRG</t>
  </si>
  <si>
    <t xml:space="preserve">     ELDERLY PHARMACEUTICAL INSURANCE COVERAGE</t>
  </si>
  <si>
    <t xml:space="preserve">                  Total Miscellaneous Receipts           </t>
  </si>
  <si>
    <t xml:space="preserve">                  Total Consumption/Use Taxes                </t>
  </si>
  <si>
    <t xml:space="preserve">                  Total Business Taxes             </t>
  </si>
  <si>
    <t xml:space="preserve">                  Total Other Taxes                   </t>
  </si>
  <si>
    <t xml:space="preserve">                  Total Taxes                </t>
  </si>
  <si>
    <t xml:space="preserve">                  Total Business Taxes                </t>
  </si>
  <si>
    <t xml:space="preserve">                  Total Other Taxes                 </t>
  </si>
  <si>
    <t xml:space="preserve">      Transformative Economic Development Projects</t>
  </si>
  <si>
    <t xml:space="preserve">      Thruway Stabilization Program</t>
  </si>
  <si>
    <t xml:space="preserve">      Southern Tier / Hudson Valley Farm Initiative</t>
  </si>
  <si>
    <t xml:space="preserve">      Penn Station Access</t>
  </si>
  <si>
    <t xml:space="preserve">      Municipal Restructuring</t>
  </si>
  <si>
    <t xml:space="preserve">      Infrastructure Improvements</t>
  </si>
  <si>
    <t xml:space="preserve">      Broadband Initiative</t>
  </si>
  <si>
    <t xml:space="preserve">   Transfers from General Fund (**)</t>
  </si>
  <si>
    <t>DEDICATED INFRASTRUCTURE INVESTMENT FUND (*)</t>
  </si>
  <si>
    <t>State Capital Projects Fund</t>
  </si>
  <si>
    <t xml:space="preserve">Beginning Fund Balance       </t>
  </si>
  <si>
    <t xml:space="preserve">   Disbursements and Other Financing Uses         </t>
  </si>
  <si>
    <t xml:space="preserve">Beginning Fund Balance              </t>
  </si>
  <si>
    <t>Dedicated Infrastructure Investment Fund - Statement of Receipts and Disbursements</t>
  </si>
  <si>
    <t xml:space="preserve">   Transfers to All Other Capital Projects</t>
  </si>
  <si>
    <t>COMPARATIVE SCHEDULE OF TAX RECEIPTS</t>
  </si>
  <si>
    <t>Temporary loans to federal funds are typically reimbursed within 2-3 days.  Such loans are made pursuant to federal regulations which require the State to disburse funds prior to</t>
  </si>
  <si>
    <t>making a reimbursement claim from the U.S. Treasury.</t>
  </si>
  <si>
    <t xml:space="preserve">   Federal Receipts             </t>
  </si>
  <si>
    <t xml:space="preserve">  Other Financing Sources over           </t>
  </si>
  <si>
    <t xml:space="preserve">      Health Care / Hospital Initiatives</t>
  </si>
  <si>
    <t xml:space="preserve">      Upstate Revitalization Program</t>
  </si>
  <si>
    <t xml:space="preserve">            Audit Fees</t>
  </si>
  <si>
    <t xml:space="preserve">        Audit Fees</t>
  </si>
  <si>
    <t>TOTAL APPROPRIATED AMOUNT</t>
  </si>
  <si>
    <r>
      <t xml:space="preserve">(*)    Fund created pursuant to Chapter 60, Laws of 2015-16, Part H and SFL  </t>
    </r>
    <r>
      <rPr>
        <sz val="11"/>
        <rFont val="Agency FB"/>
        <family val="2"/>
      </rPr>
      <t>§</t>
    </r>
    <r>
      <rPr>
        <sz val="11"/>
        <rFont val="Arial"/>
        <family val="2"/>
      </rPr>
      <t xml:space="preserve"> 93-b</t>
    </r>
  </si>
  <si>
    <t xml:space="preserve">         Consolidated Service Contract Refunding</t>
  </si>
  <si>
    <t xml:space="preserve">         DASNY Revenue Bond</t>
  </si>
  <si>
    <t xml:space="preserve">         State Department of Education Facilities</t>
  </si>
  <si>
    <t xml:space="preserve">         SUNY Community Colleges</t>
  </si>
  <si>
    <t xml:space="preserve">         SUNY Educational Facilities</t>
  </si>
  <si>
    <t xml:space="preserve">     Local Government Assistance Corporation</t>
  </si>
  <si>
    <t xml:space="preserve">         Center for Industrial Innovation at RPI</t>
  </si>
  <si>
    <t xml:space="preserve">         State Facilities and Equipment</t>
  </si>
  <si>
    <t xml:space="preserve">         Syracuse University Science and</t>
  </si>
  <si>
    <t xml:space="preserve">  Medical Marijuana</t>
  </si>
  <si>
    <t xml:space="preserve">         Medical Marijuana </t>
  </si>
  <si>
    <t xml:space="preserve">  Environmental Quality (1972):</t>
  </si>
  <si>
    <t xml:space="preserve">           Land Acquisition/Development/Restoration/Forests</t>
  </si>
  <si>
    <t>STATE FISCAL YEAR ENDED MARCH 31, 2017</t>
  </si>
  <si>
    <t xml:space="preserve">  Plan</t>
  </si>
  <si>
    <t>FISCAL YEAR 2016-17</t>
  </si>
  <si>
    <t>FISCAL YEAR ENDED MARCH 31, 2017</t>
  </si>
  <si>
    <t>APR. 1, 2016</t>
  </si>
  <si>
    <t>APRIL 30, 2016</t>
  </si>
  <si>
    <t>FOR THE ONE MONTH ENDED APRIL 30, 2016</t>
  </si>
  <si>
    <t xml:space="preserve">  Plan </t>
  </si>
  <si>
    <t>1 Month Ended April 30</t>
  </si>
  <si>
    <t>APR. 2016</t>
  </si>
  <si>
    <t>1 MO. ENDED</t>
  </si>
  <si>
    <t>APR. 30, 2016</t>
  </si>
  <si>
    <t>FOR ONE MONTH ENDED APRIL 30, 2016</t>
  </si>
  <si>
    <t>Fund Balances (Deficits) at April 30, 2016</t>
  </si>
  <si>
    <t xml:space="preserve">                                   1 Month Ended April 30</t>
  </si>
  <si>
    <t>FISCAL YEAR 2016-2017</t>
  </si>
  <si>
    <t xml:space="preserve">FISCAL YEAR 2016-17       </t>
  </si>
  <si>
    <t xml:space="preserve">APRIL </t>
  </si>
  <si>
    <t>2016-17</t>
  </si>
  <si>
    <t>IT CAPITAL FINANCING ACCT</t>
  </si>
  <si>
    <t>HEALTH-SPARC'S</t>
  </si>
  <si>
    <t>26001-26049</t>
  </si>
  <si>
    <t xml:space="preserve">(**)    Includes transfers to the Department of Health Income Fund, the State University Income Fund and the Mental Hygiene Program Account representing payments </t>
  </si>
  <si>
    <t>APR. 2015</t>
  </si>
  <si>
    <t>APR. 30, 2015</t>
  </si>
  <si>
    <t>FOR THE MONTH OF APRIL 2016</t>
  </si>
  <si>
    <t>APRIL 1, 2016</t>
  </si>
  <si>
    <t>April 30, 2016</t>
  </si>
  <si>
    <t>1 MONTH ENDED</t>
  </si>
  <si>
    <t xml:space="preserve">As of April 30, 2016 $8,976,517.36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</si>
  <si>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 xml:space="preserve">FOR THE MONTH OF APRIL 2016    </t>
  </si>
  <si>
    <t xml:space="preserve">FISCAL YEAR 2016-2017    </t>
  </si>
  <si>
    <t xml:space="preserve">FISCAL YEAR 2016-2017  </t>
  </si>
  <si>
    <t xml:space="preserve">1 Month Ended April 30   </t>
  </si>
  <si>
    <t>(**)     Actual reported transfer amounts include eliminations between Capital Projects - State and Federal Funds.  The Financial Plan reported</t>
  </si>
  <si>
    <t xml:space="preserve">           transfer amounts do not include eliminations.</t>
  </si>
  <si>
    <t xml:space="preserve"> Plan</t>
  </si>
  <si>
    <t xml:space="preserve">  Transfers from Other Funds(**)</t>
  </si>
  <si>
    <t xml:space="preserve">  Transfers to Other Funds(**)</t>
  </si>
  <si>
    <t>1 Month Ended</t>
  </si>
  <si>
    <t>(**)   Pursuant to Chapter 54, Laws of 2016-17, Part UU</t>
  </si>
  <si>
    <t>(**)   Actual reported transfer amounts include eliminations between Special Revenue - State and Federal Funds.  The Financial Plan reported</t>
  </si>
  <si>
    <t>(**)    Actual reported transfer amounts include eliminations between Special Revenue - State and Federal Funds.  The Financial Plan reported</t>
  </si>
  <si>
    <t>April 2016</t>
  </si>
  <si>
    <t xml:space="preserve">operated Health, Mental Hygiene and State University facilities to Debt Service funds ($1.1m), the </t>
  </si>
  <si>
    <t xml:space="preserve">the current fiscal quarter.  As of April 30, 2016 - pursuant to a certification of the Budget Director - </t>
  </si>
  <si>
    <t>(2)</t>
  </si>
  <si>
    <t>APRIL 2016</t>
  </si>
  <si>
    <t>APRIL 2015</t>
  </si>
  <si>
    <t>LAKE GEORGE PARK TRUST FUND</t>
  </si>
  <si>
    <t>EMPIRE PLAZA GIFT SHIP</t>
  </si>
  <si>
    <t>THRUWAY AUTHORITY ACCT</t>
  </si>
  <si>
    <t>The balances reported here in Appendix F are the actual fund balances as of the close of business on the last day of the reporting month and do not include post-closing adjustments.</t>
  </si>
  <si>
    <t>Temporary Loans are authorized pursuant to Subdivision 5 of Section 4 of the State Finance Law and Chapter 54, Part UU, Section 1, of the Laws of 2016-17.</t>
  </si>
  <si>
    <t>April</t>
  </si>
  <si>
    <t>1 Month Ended
April 30, 2016 (**)</t>
  </si>
  <si>
    <t>REVENUE, PROCESSING &amp; RECONCILIATION</t>
  </si>
  <si>
    <t xml:space="preserve">     REVENUE, PROCESSING &amp; RECONCILIATION</t>
  </si>
  <si>
    <t xml:space="preserve">(*) Includes amounts appropriated in SFY 2016-17, as well as prior year appropriations that were reappropriated. </t>
  </si>
  <si>
    <t>to homeowners for the STAR Property Rebate Program.  School Tax Relief payments were</t>
  </si>
  <si>
    <t>($85.3m) representing the federal share of Medicaid payments for patients residing in State-</t>
  </si>
  <si>
    <t>operated Health and Mental Hygiene facilities.</t>
  </si>
  <si>
    <t>the reserve amount is ($174.1m), which was funded by a transfer from the General Fund.</t>
  </si>
  <si>
    <t>($1.3m) as of April 30, 2016.</t>
  </si>
  <si>
    <t xml:space="preserve">State bond and note proceeds </t>
  </si>
  <si>
    <t xml:space="preserve">                                     STATE OPERATING FUNDS (**)</t>
  </si>
  <si>
    <r>
      <t xml:space="preserve">(**)   </t>
    </r>
    <r>
      <rPr>
        <u/>
        <sz val="12"/>
        <rFont val="Arial"/>
        <family val="2"/>
      </rPr>
      <t>State Operating Funds</t>
    </r>
    <r>
      <rPr>
        <sz val="12"/>
        <rFont val="Arial"/>
        <family val="2"/>
      </rPr>
      <t xml:space="preserve"> are comprised of the General Fund, State Special Revenue Funds supported</t>
    </r>
  </si>
  <si>
    <t>(***)  Eliminations between Special Revenue - State and Federal Funds are not included.</t>
  </si>
  <si>
    <t xml:space="preserve">of Health ($11.6m) and Mental Hygiene ($151.4m). </t>
  </si>
  <si>
    <t>(*)      Source:  2016-17 Enacted Budget dated May 13, 2016.</t>
  </si>
  <si>
    <t xml:space="preserve">      Resiliency, Mitigation, Security and Emergency Response</t>
  </si>
  <si>
    <t>(*)   Source:  2016-17 Enacted Financial Plan dated May 13, 2016.</t>
  </si>
  <si>
    <t>(*)      Source:  2016-17 Enacted Financial Plan dated May 13, 2016.</t>
  </si>
  <si>
    <t>(*)     Source:  2016-17 Enacted Financial Plan dated May 13, 2016.</t>
  </si>
  <si>
    <t>CIVIL SERVICE LAW SEC. 11 ADMIN</t>
  </si>
  <si>
    <t>Temporary Loan authorized pursuant to Subdivision 5 of Section 4 of the State Finance Law and Chapter 60, Part I, Section 1 and 1A, of the Laws of 2015-16.</t>
  </si>
  <si>
    <t>1 MONTH ENDED APRIL 30</t>
  </si>
  <si>
    <t>the General Debt Service Fund ($25.1m).</t>
  </si>
  <si>
    <r>
      <t>Capital Projects Funds</t>
    </r>
    <r>
      <rPr>
        <sz val="9"/>
        <rFont val="Arial"/>
        <family val="2"/>
      </rPr>
      <t xml:space="preserve"> “Transfers To Other Funds” includes transfers to the General Fund ($.4m), and  </t>
    </r>
  </si>
  <si>
    <t>State University Income Fund ($8.7m), and the Mental Hygiene Program Account ($94.7m).</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</si>
</sst>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0.0_);\(0.0\)"/>
    <numFmt numFmtId="176" formatCode="&quot;$&quot;#,##0.0"/>
    <numFmt numFmtId="177" formatCode="0.000"/>
    <numFmt numFmtId="178" formatCode="_(* #,##0.000_);_(* \(#,##0.000\);_(* &quot;-&quot;???_);_(@_)"/>
    <numFmt numFmtId="179" formatCode="#,##0.0000000000000_);\(#,##0.0000000000000\)"/>
    <numFmt numFmtId="180" formatCode="m/d/yy;@"/>
    <numFmt numFmtId="181" formatCode="_(&quot;$&quot;* #,##0.000_);_(&quot;$&quot;* \(#,##0.000\);_(&quot;$&quot;* &quot;-&quot;???_);_(@_)"/>
    <numFmt numFmtId="182" formatCode="#,##0.000_);\(#,##0.000\)"/>
    <numFmt numFmtId="183" formatCode="_(* #,##0.000_);_(* \(#,##0.000\);_(* &quot;-&quot;??_);_(@_)"/>
    <numFmt numFmtId="184" formatCode="&quot;$&quot;#,##0.000_);\(&quot;$&quot;#,##0.000\)"/>
    <numFmt numFmtId="185" formatCode="m/d/yy"/>
    <numFmt numFmtId="186" formatCode="0.000_);\(0.000\)"/>
    <numFmt numFmtId="187" formatCode="[$-409]mmmm\ d\,\ yyyy;@"/>
    <numFmt numFmtId="188" formatCode="&quot;$&quot;#,##0.00"/>
    <numFmt numFmtId="189" formatCode="&quot;$&quot;#,##0"/>
    <numFmt numFmtId="190" formatCode="0.000%"/>
    <numFmt numFmtId="191" formatCode="_(* #,##0_);_(* \(#,##0\);_(* &quot;-&quot;??_);_(@_)"/>
    <numFmt numFmtId="192" formatCode="&quot;$&quot;#,##0.0_);[Red]\(&quot;$&quot;#,##0.0\)"/>
    <numFmt numFmtId="193" formatCode="0.0"/>
    <numFmt numFmtId="194" formatCode="[$-409]mmmmm\-yy;@"/>
    <numFmt numFmtId="195" formatCode="_(* #,##0.0_);_(* \(#,##0.0\);_(* &quot;-&quot;??_);_(@_)"/>
    <numFmt numFmtId="196" formatCode="0.0000%"/>
    <numFmt numFmtId="197" formatCode="#,##0.0000"/>
    <numFmt numFmtId="198" formatCode="#,##0.00000_);\(#,##0.00000\)"/>
  </numFmts>
  <fonts count="203">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name val="Arial"/>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sz val="14"/>
      <name val="Arial MT"/>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2"/>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0"/>
      <name val="Arial"/>
      <family val="2"/>
    </font>
    <font>
      <sz val="10"/>
      <name val="Arial Unicode MS"/>
      <family val="2"/>
    </font>
    <font>
      <b/>
      <sz val="10"/>
      <name val="Arial Unicode MS"/>
      <family val="2"/>
    </font>
    <font>
      <sz val="10"/>
      <name val="Arial Unicode MS"/>
      <family val="2"/>
    </font>
    <font>
      <sz val="12"/>
      <color indexed="8"/>
      <name val="SWISS"/>
    </font>
    <font>
      <sz val="10"/>
      <name val="Arial"/>
      <family val="2"/>
    </font>
    <font>
      <sz val="12"/>
      <name val="Arial"/>
      <family val="2"/>
    </font>
    <font>
      <sz val="10"/>
      <name val="Arial"/>
      <family val="2"/>
    </font>
    <font>
      <sz val="10"/>
      <name val="Arial"/>
      <family val="2"/>
    </font>
    <font>
      <sz val="10"/>
      <color theme="1"/>
      <name val="SCRRMN"/>
    </font>
    <font>
      <sz val="10"/>
      <name val="Arial"/>
      <family val="2"/>
    </font>
    <font>
      <sz val="9"/>
      <name val="Arial"/>
      <family val="2"/>
    </font>
    <font>
      <sz val="7.5"/>
      <name val="Arial"/>
      <family val="2"/>
    </font>
    <font>
      <b/>
      <sz val="9"/>
      <name val="Arial"/>
      <family val="2"/>
    </font>
    <font>
      <sz val="9"/>
      <name val="Times New Roman"/>
      <family val="1"/>
    </font>
    <font>
      <sz val="12"/>
      <name val="Times New Roman"/>
      <family val="1"/>
    </font>
    <font>
      <b/>
      <sz val="12"/>
      <name val="Arial"/>
      <family val="2"/>
    </font>
    <font>
      <sz val="12"/>
      <color theme="0"/>
      <name val="Arial"/>
      <family val="2"/>
    </font>
    <font>
      <sz val="12"/>
      <name val="Arial"/>
      <family val="2"/>
    </font>
    <font>
      <b/>
      <sz val="12"/>
      <name val="Arial"/>
      <family val="2"/>
    </font>
    <font>
      <sz val="11"/>
      <name val="Agency FB"/>
      <family val="2"/>
    </font>
    <font>
      <b/>
      <sz val="12"/>
      <name val="Arial"/>
      <family val="2"/>
    </font>
    <font>
      <sz val="11"/>
      <name val="Arial"/>
      <family val="2"/>
    </font>
    <font>
      <sz val="7.5"/>
      <name val="Arial"/>
      <family val="2"/>
    </font>
    <font>
      <b/>
      <u/>
      <sz val="9"/>
      <name val="Arial"/>
      <family val="2"/>
    </font>
    <font>
      <sz val="9"/>
      <name val="Arial"/>
      <family val="2"/>
    </font>
    <font>
      <sz val="9"/>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10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64"/>
      </bottom>
      <diagonal/>
    </border>
    <border>
      <left/>
      <right/>
      <top style="thin">
        <color indexed="8"/>
      </top>
      <bottom style="double">
        <color indexed="8"/>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8"/>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8"/>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s>
  <cellStyleXfs count="25862">
    <xf numFmtId="164" fontId="0" fillId="0" borderId="0"/>
    <xf numFmtId="43" fontId="39" fillId="0" borderId="0" applyFont="0" applyFill="0" applyBorder="0" applyAlignment="0" applyProtection="0"/>
    <xf numFmtId="0" fontId="37" fillId="0" borderId="0"/>
    <xf numFmtId="0" fontId="37" fillId="0" borderId="0"/>
    <xf numFmtId="0" fontId="86" fillId="0" borderId="0"/>
    <xf numFmtId="43" fontId="86"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98" fillId="0" borderId="0"/>
    <xf numFmtId="43" fontId="99" fillId="0" borderId="0" applyFont="0" applyFill="0" applyBorder="0" applyAlignment="0" applyProtection="0"/>
    <xf numFmtId="0" fontId="37" fillId="0" borderId="0"/>
    <xf numFmtId="43" fontId="42" fillId="0" borderId="0" applyFont="0" applyFill="0" applyBorder="0" applyAlignment="0" applyProtection="0"/>
    <xf numFmtId="40" fontId="104" fillId="33" borderId="0">
      <alignment horizontal="right"/>
    </xf>
    <xf numFmtId="0" fontId="105" fillId="33" borderId="0">
      <alignment horizontal="right"/>
    </xf>
    <xf numFmtId="0" fontId="106" fillId="33" borderId="13"/>
    <xf numFmtId="0" fontId="106" fillId="0" borderId="0" applyBorder="0">
      <alignment horizontal="centerContinuous"/>
    </xf>
    <xf numFmtId="0" fontId="107" fillId="0" borderId="0" applyBorder="0">
      <alignment horizontal="centerContinuous"/>
    </xf>
    <xf numFmtId="176" fontId="37" fillId="0" borderId="0"/>
    <xf numFmtId="176" fontId="39" fillId="0" borderId="0"/>
    <xf numFmtId="0" fontId="39" fillId="0" borderId="0"/>
    <xf numFmtId="0" fontId="20" fillId="0" borderId="0"/>
    <xf numFmtId="43" fontId="20" fillId="0" borderId="0" applyFont="0" applyFill="0" applyBorder="0" applyAlignment="0" applyProtection="0"/>
    <xf numFmtId="0" fontId="20" fillId="8" borderId="8" applyNumberFormat="0" applyFont="0" applyAlignment="0" applyProtection="0"/>
    <xf numFmtId="0" fontId="112" fillId="0" borderId="0"/>
    <xf numFmtId="43" fontId="113"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44" fontId="20" fillId="0" borderId="0" applyFont="0" applyFill="0" applyBorder="0" applyAlignment="0" applyProtection="0"/>
    <xf numFmtId="0" fontId="37" fillId="0" borderId="0"/>
    <xf numFmtId="0" fontId="99" fillId="0" borderId="0"/>
    <xf numFmtId="43" fontId="99" fillId="0" borderId="0" applyFont="0" applyFill="0" applyBorder="0" applyAlignment="0" applyProtection="0"/>
    <xf numFmtId="0" fontId="36" fillId="12"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36" fillId="16"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36" fillId="20"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36" fillId="24"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36" fillId="28"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36" fillId="3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36" fillId="9"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36" fillId="13"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36" fillId="17"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36" fillId="21"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36" fillId="25"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36" fillId="29"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6" fillId="3"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30" fillId="6" borderId="4" applyNumberFormat="0" applyAlignment="0" applyProtection="0"/>
    <xf numFmtId="0" fontId="119" fillId="48" borderId="59" applyNumberFormat="0" applyAlignment="0" applyProtection="0"/>
    <xf numFmtId="0" fontId="119" fillId="48" borderId="59" applyNumberFormat="0" applyAlignment="0" applyProtection="0"/>
    <xf numFmtId="0" fontId="32" fillId="7" borderId="7" applyNumberFormat="0" applyAlignment="0" applyProtection="0"/>
    <xf numFmtId="0" fontId="115" fillId="49" borderId="60" applyNumberFormat="0" applyAlignment="0" applyProtection="0"/>
    <xf numFmtId="0" fontId="115" fillId="49" borderId="60" applyNumberFormat="0" applyAlignment="0" applyProtection="0"/>
    <xf numFmtId="0" fontId="34"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5" fillId="2" borderId="0" applyNumberFormat="0" applyBorder="0" applyAlignment="0" applyProtection="0"/>
    <xf numFmtId="0" fontId="121" fillId="50" borderId="0" applyNumberFormat="0" applyBorder="0" applyAlignment="0" applyProtection="0"/>
    <xf numFmtId="0" fontId="121" fillId="50" borderId="0" applyNumberFormat="0" applyBorder="0" applyAlignment="0" applyProtection="0"/>
    <xf numFmtId="0" fontId="22" fillId="0" borderId="1" applyNumberFormat="0" applyFill="0" applyAlignment="0" applyProtection="0"/>
    <xf numFmtId="0" fontId="122" fillId="0" borderId="61" applyNumberFormat="0" applyFill="0" applyAlignment="0" applyProtection="0"/>
    <xf numFmtId="0" fontId="122" fillId="0" borderId="61" applyNumberFormat="0" applyFill="0" applyAlignment="0" applyProtection="0"/>
    <xf numFmtId="0" fontId="23" fillId="0" borderId="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24" fillId="0" borderId="3" applyNumberFormat="0" applyFill="0" applyAlignment="0" applyProtection="0"/>
    <xf numFmtId="0" fontId="124" fillId="0" borderId="63" applyNumberFormat="0" applyFill="0" applyAlignment="0" applyProtection="0"/>
    <xf numFmtId="0" fontId="124" fillId="0" borderId="63" applyNumberFormat="0" applyFill="0" applyAlignment="0" applyProtection="0"/>
    <xf numFmtId="0" fontId="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28" fillId="5" borderId="4" applyNumberFormat="0" applyAlignment="0" applyProtection="0"/>
    <xf numFmtId="0" fontId="125" fillId="51" borderId="59" applyNumberFormat="0" applyAlignment="0" applyProtection="0"/>
    <xf numFmtId="0" fontId="125" fillId="51" borderId="59" applyNumberFormat="0" applyAlignment="0" applyProtection="0"/>
    <xf numFmtId="0" fontId="31" fillId="0" borderId="6"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27" fillId="4" borderId="0" applyNumberFormat="0" applyBorder="0" applyAlignment="0" applyProtection="0"/>
    <xf numFmtId="0" fontId="127" fillId="52" borderId="0" applyNumberFormat="0" applyBorder="0" applyAlignment="0" applyProtection="0"/>
    <xf numFmtId="0" fontId="127" fillId="52" borderId="0" applyNumberFormat="0" applyBorder="0" applyAlignment="0" applyProtection="0"/>
    <xf numFmtId="0" fontId="20" fillId="0" borderId="0"/>
    <xf numFmtId="0" fontId="29" fillId="6" borderId="5" applyNumberFormat="0" applyAlignment="0" applyProtection="0"/>
    <xf numFmtId="0" fontId="128" fillId="48" borderId="65" applyNumberFormat="0" applyAlignment="0" applyProtection="0"/>
    <xf numFmtId="0" fontId="128" fillId="48" borderId="65" applyNumberFormat="0" applyAlignment="0" applyProtection="0"/>
    <xf numFmtId="0" fontId="2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5" fillId="0" borderId="9" applyNumberFormat="0" applyFill="0" applyAlignment="0" applyProtection="0"/>
    <xf numFmtId="0" fontId="57" fillId="0" borderId="66" applyNumberFormat="0" applyFill="0" applyAlignment="0" applyProtection="0"/>
    <xf numFmtId="0" fontId="57" fillId="0" borderId="66" applyNumberFormat="0" applyFill="0" applyAlignment="0" applyProtection="0"/>
    <xf numFmtId="0" fontId="33"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9" fillId="0" borderId="0"/>
    <xf numFmtId="0" fontId="37" fillId="0" borderId="0"/>
    <xf numFmtId="0" fontId="39" fillId="0" borderId="0"/>
    <xf numFmtId="0" fontId="37" fillId="0" borderId="0"/>
    <xf numFmtId="0" fontId="18" fillId="0" borderId="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42" fillId="0" borderId="0"/>
    <xf numFmtId="0" fontId="17" fillId="0" borderId="0"/>
    <xf numFmtId="43"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44" fontId="17" fillId="0" borderId="0" applyFont="0" applyFill="0" applyBorder="0" applyAlignment="0" applyProtection="0"/>
    <xf numFmtId="43" fontId="39" fillId="0" borderId="0" applyFont="0" applyFill="0" applyBorder="0" applyAlignment="0" applyProtection="0"/>
    <xf numFmtId="0" fontId="39" fillId="0" borderId="0"/>
    <xf numFmtId="0" fontId="99" fillId="0" borderId="0"/>
    <xf numFmtId="0" fontId="37" fillId="0" borderId="0"/>
    <xf numFmtId="0" fontId="148" fillId="0" borderId="0" applyNumberFormat="0" applyFill="0" applyBorder="0" applyAlignment="0" applyProtection="0">
      <alignment vertical="top"/>
      <protection locked="0"/>
    </xf>
    <xf numFmtId="0" fontId="150" fillId="53"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50" fillId="53"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50"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50"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50" fillId="5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0" fillId="5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0" fillId="5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50" fillId="5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50" fillId="5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0" fillId="5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0" fillId="5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0" fillId="5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0" fillId="5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50" fillId="5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50" fillId="3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0" fillId="3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0" fillId="3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0" fillId="3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0" fillId="5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50" fillId="5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50" fillId="5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50" fillId="5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50" fillId="5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0" fillId="5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7" fillId="0" borderId="0" applyFont="0" applyFill="0" applyBorder="0" applyAlignment="0" applyProtection="0"/>
    <xf numFmtId="43"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0" fontId="152" fillId="0" borderId="0"/>
    <xf numFmtId="0" fontId="17" fillId="0" borderId="0"/>
    <xf numFmtId="0" fontId="17" fillId="0" borderId="0"/>
    <xf numFmtId="0" fontId="17" fillId="0" borderId="0"/>
    <xf numFmtId="0" fontId="98" fillId="0" borderId="0"/>
    <xf numFmtId="0" fontId="1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98" fillId="0" borderId="0"/>
    <xf numFmtId="0" fontId="151" fillId="0" borderId="0"/>
    <xf numFmtId="0" fontId="151" fillId="0" borderId="0"/>
    <xf numFmtId="0" fontId="17" fillId="0" borderId="0"/>
    <xf numFmtId="0" fontId="37" fillId="0" borderId="0"/>
    <xf numFmtId="0" fontId="150" fillId="58" borderId="71"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50" fillId="58" borderId="71"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7" fillId="0" borderId="0"/>
    <xf numFmtId="0" fontId="153" fillId="0" borderId="0"/>
    <xf numFmtId="9" fontId="37" fillId="0" borderId="0" applyFont="0" applyFill="0" applyBorder="0" applyAlignment="0" applyProtection="0"/>
    <xf numFmtId="43" fontId="37" fillId="0" borderId="0" applyFont="0" applyFill="0" applyBorder="0" applyAlignment="0" applyProtection="0"/>
    <xf numFmtId="0" fontId="42" fillId="0" borderId="0"/>
    <xf numFmtId="43" fontId="42"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176" fontId="37" fillId="0" borderId="0"/>
    <xf numFmtId="0" fontId="16" fillId="0" borderId="0"/>
    <xf numFmtId="43" fontId="16" fillId="0" borderId="0" applyFont="0" applyFill="0" applyBorder="0" applyAlignment="0" applyProtection="0"/>
    <xf numFmtId="0" fontId="16" fillId="8" borderId="8" applyNumberFormat="0" applyFont="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44" fontId="16" fillId="0" borderId="0" applyFont="0" applyFill="0" applyBorder="0" applyAlignment="0" applyProtection="0"/>
    <xf numFmtId="0" fontId="98" fillId="0" borderId="0"/>
    <xf numFmtId="0" fontId="16" fillId="0" borderId="0"/>
    <xf numFmtId="0" fontId="16" fillId="0" borderId="0"/>
    <xf numFmtId="0" fontId="37" fillId="0" borderId="0"/>
    <xf numFmtId="0" fontId="16" fillId="0" borderId="0"/>
    <xf numFmtId="43" fontId="1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16" fillId="0" borderId="0"/>
    <xf numFmtId="43" fontId="16"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8" borderId="8" applyNumberFormat="0" applyFont="0" applyAlignment="0" applyProtection="0"/>
    <xf numFmtId="44" fontId="16" fillId="0" borderId="0" applyFont="0" applyFill="0" applyBorder="0" applyAlignment="0" applyProtection="0"/>
    <xf numFmtId="43" fontId="37" fillId="0" borderId="0" applyFont="0" applyFill="0" applyBorder="0" applyAlignment="0" applyProtection="0"/>
    <xf numFmtId="0" fontId="37" fillId="0" borderId="0"/>
    <xf numFmtId="0" fontId="98"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9" fontId="165" fillId="0" borderId="0" applyFont="0" applyFill="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98"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76" fontId="37" fillId="0" borderId="0"/>
    <xf numFmtId="0" fontId="113" fillId="0" borderId="0"/>
    <xf numFmtId="0" fontId="113" fillId="0" borderId="0"/>
    <xf numFmtId="0" fontId="113" fillId="0" borderId="0"/>
    <xf numFmtId="0" fontId="37" fillId="0" borderId="0"/>
    <xf numFmtId="0" fontId="113" fillId="0" borderId="0"/>
    <xf numFmtId="0" fontId="37" fillId="0" borderId="0"/>
    <xf numFmtId="0" fontId="37" fillId="0" borderId="0"/>
    <xf numFmtId="0" fontId="37" fillId="0" borderId="0"/>
    <xf numFmtId="0" fontId="37" fillId="0" borderId="0"/>
    <xf numFmtId="0" fontId="37" fillId="0" borderId="0"/>
    <xf numFmtId="0" fontId="98" fillId="0" borderId="0"/>
    <xf numFmtId="0" fontId="113" fillId="0" borderId="0"/>
    <xf numFmtId="0" fontId="113" fillId="0" borderId="0"/>
    <xf numFmtId="0" fontId="113" fillId="0" borderId="0"/>
    <xf numFmtId="0" fontId="113" fillId="0" borderId="0"/>
    <xf numFmtId="0" fontId="37"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06" fillId="33" borderId="75"/>
    <xf numFmtId="0" fontId="42" fillId="0" borderId="0"/>
    <xf numFmtId="0" fontId="106" fillId="33" borderId="75"/>
    <xf numFmtId="176"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164" fontId="37" fillId="0" borderId="0"/>
    <xf numFmtId="0" fontId="176" fillId="0" borderId="0"/>
    <xf numFmtId="0" fontId="106" fillId="33" borderId="85"/>
    <xf numFmtId="0" fontId="176" fillId="0" borderId="0"/>
    <xf numFmtId="0" fontId="13" fillId="0" borderId="0"/>
    <xf numFmtId="0" fontId="176" fillId="0" borderId="0"/>
    <xf numFmtId="0" fontId="176" fillId="0" borderId="0"/>
    <xf numFmtId="0" fontId="12" fillId="0" borderId="0"/>
    <xf numFmtId="0" fontId="177" fillId="0" borderId="0"/>
    <xf numFmtId="43" fontId="178" fillId="0" borderId="0" applyFont="0" applyFill="0" applyBorder="0" applyAlignment="0" applyProtection="0"/>
    <xf numFmtId="0" fontId="177" fillId="0" borderId="0"/>
    <xf numFmtId="43" fontId="177" fillId="0" borderId="0" applyFont="0" applyFill="0" applyBorder="0" applyAlignment="0" applyProtection="0"/>
    <xf numFmtId="0" fontId="177" fillId="0" borderId="0"/>
    <xf numFmtId="0" fontId="12" fillId="0" borderId="0"/>
    <xf numFmtId="0" fontId="177" fillId="0" borderId="0"/>
    <xf numFmtId="43" fontId="177" fillId="0" borderId="0" applyFont="0" applyFill="0" applyBorder="0" applyAlignment="0" applyProtection="0"/>
    <xf numFmtId="0" fontId="179" fillId="0" borderId="0"/>
    <xf numFmtId="0" fontId="177" fillId="0" borderId="0"/>
    <xf numFmtId="0" fontId="177" fillId="0" borderId="0"/>
    <xf numFmtId="0" fontId="177" fillId="0" borderId="0"/>
    <xf numFmtId="0" fontId="12" fillId="0" borderId="0"/>
    <xf numFmtId="0" fontId="177" fillId="0" borderId="0"/>
    <xf numFmtId="0" fontId="179" fillId="0" borderId="0"/>
    <xf numFmtId="0" fontId="176" fillId="0" borderId="0"/>
    <xf numFmtId="0" fontId="176" fillId="0" borderId="0"/>
    <xf numFmtId="0" fontId="11" fillId="0" borderId="0"/>
    <xf numFmtId="0" fontId="176" fillId="0" borderId="0"/>
    <xf numFmtId="0" fontId="176" fillId="0" borderId="0"/>
    <xf numFmtId="0" fontId="11" fillId="0" borderId="0"/>
    <xf numFmtId="0" fontId="11" fillId="0" borderId="0"/>
    <xf numFmtId="0" fontId="42" fillId="0" borderId="0"/>
    <xf numFmtId="0" fontId="10" fillId="0" borderId="0"/>
    <xf numFmtId="0" fontId="177" fillId="0" borderId="0"/>
    <xf numFmtId="0" fontId="177" fillId="0" borderId="0"/>
    <xf numFmtId="0" fontId="177" fillId="0" borderId="0"/>
    <xf numFmtId="0" fontId="181" fillId="0" borderId="0"/>
    <xf numFmtId="0" fontId="181" fillId="0" borderId="0"/>
    <xf numFmtId="0" fontId="9" fillId="0" borderId="0"/>
    <xf numFmtId="0" fontId="9" fillId="0" borderId="0"/>
    <xf numFmtId="43" fontId="42" fillId="0" borderId="0" applyFont="0" applyFill="0" applyBorder="0" applyAlignment="0" applyProtection="0"/>
    <xf numFmtId="0" fontId="9" fillId="0" borderId="0"/>
    <xf numFmtId="0" fontId="181" fillId="0" borderId="0"/>
    <xf numFmtId="0" fontId="181" fillId="0" borderId="0"/>
    <xf numFmtId="0" fontId="8" fillId="0" borderId="0"/>
    <xf numFmtId="0" fontId="8" fillId="0" borderId="0"/>
    <xf numFmtId="0" fontId="8" fillId="0" borderId="0"/>
    <xf numFmtId="0" fontId="181" fillId="0" borderId="0"/>
    <xf numFmtId="0" fontId="177" fillId="0" borderId="0"/>
    <xf numFmtId="0" fontId="7" fillId="0" borderId="0"/>
    <xf numFmtId="0" fontId="177" fillId="0" borderId="0"/>
    <xf numFmtId="0" fontId="177" fillId="0" borderId="0"/>
    <xf numFmtId="0" fontId="177" fillId="0" borderId="0"/>
    <xf numFmtId="0" fontId="7" fillId="0" borderId="0"/>
    <xf numFmtId="0" fontId="177" fillId="0" borderId="0"/>
    <xf numFmtId="0" fontId="177" fillId="0" borderId="0"/>
    <xf numFmtId="164" fontId="182" fillId="0" borderId="0"/>
    <xf numFmtId="43" fontId="37" fillId="0" borderId="0" applyFont="0" applyFill="0" applyBorder="0" applyAlignment="0" applyProtection="0"/>
    <xf numFmtId="0" fontId="37" fillId="0" borderId="0"/>
    <xf numFmtId="0" fontId="37" fillId="0" borderId="0"/>
    <xf numFmtId="0" fontId="42" fillId="0" borderId="0"/>
    <xf numFmtId="43" fontId="42" fillId="0" borderId="0" applyFont="0" applyFill="0" applyBorder="0" applyAlignment="0" applyProtection="0"/>
    <xf numFmtId="0" fontId="98" fillId="0" borderId="0"/>
    <xf numFmtId="176" fontId="3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119" fillId="48" borderId="90" applyNumberFormat="0" applyAlignment="0" applyProtection="0"/>
    <xf numFmtId="0" fontId="119" fillId="48" borderId="90" applyNumberFormat="0" applyAlignment="0" applyProtection="0"/>
    <xf numFmtId="0" fontId="125" fillId="51" borderId="90" applyNumberFormat="0" applyAlignment="0" applyProtection="0"/>
    <xf numFmtId="0" fontId="125" fillId="51" borderId="90" applyNumberFormat="0" applyAlignment="0" applyProtection="0"/>
    <xf numFmtId="0" fontId="7" fillId="0" borderId="0"/>
    <xf numFmtId="0" fontId="177" fillId="0" borderId="0"/>
    <xf numFmtId="0" fontId="128" fillId="48" borderId="91" applyNumberFormat="0" applyAlignment="0" applyProtection="0"/>
    <xf numFmtId="0" fontId="128" fillId="48" borderId="91" applyNumberFormat="0" applyAlignment="0" applyProtection="0"/>
    <xf numFmtId="0" fontId="57" fillId="0" borderId="92" applyNumberFormat="0" applyFill="0" applyAlignment="0" applyProtection="0"/>
    <xf numFmtId="0" fontId="57" fillId="0" borderId="92" applyNumberFormat="0" applyFill="0" applyAlignment="0" applyProtection="0"/>
    <xf numFmtId="0" fontId="181"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0" fillId="58" borderId="9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50" fillId="58" borderId="9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7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9" fontId="37" fillId="0" borderId="0" applyFont="0" applyFill="0" applyBorder="0" applyAlignment="0" applyProtection="0"/>
    <xf numFmtId="0" fontId="7" fillId="0" borderId="0"/>
    <xf numFmtId="0" fontId="106" fillId="33" borderId="85"/>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3" fontId="37" fillId="0" borderId="0" applyFont="0" applyFill="0" applyBorder="0" applyAlignment="0" applyProtection="0"/>
    <xf numFmtId="0" fontId="42" fillId="0" borderId="0"/>
    <xf numFmtId="0" fontId="177" fillId="0" borderId="0"/>
    <xf numFmtId="0" fontId="42" fillId="0" borderId="0"/>
    <xf numFmtId="0" fontId="7" fillId="0" borderId="0"/>
    <xf numFmtId="0" fontId="42" fillId="0" borderId="0"/>
    <xf numFmtId="0" fontId="42" fillId="0" borderId="0"/>
    <xf numFmtId="0" fontId="7" fillId="0" borderId="0"/>
    <xf numFmtId="0" fontId="7" fillId="0" borderId="0"/>
    <xf numFmtId="0" fontId="177" fillId="0" borderId="0"/>
    <xf numFmtId="0" fontId="7" fillId="0" borderId="0"/>
    <xf numFmtId="0" fontId="177" fillId="0" borderId="0"/>
    <xf numFmtId="0" fontId="42" fillId="0" borderId="0"/>
    <xf numFmtId="0" fontId="42" fillId="0" borderId="0"/>
    <xf numFmtId="0" fontId="7" fillId="0" borderId="0"/>
    <xf numFmtId="0" fontId="42" fillId="0" borderId="0"/>
    <xf numFmtId="0" fontId="42" fillId="0" borderId="0"/>
    <xf numFmtId="0" fontId="7" fillId="0" borderId="0"/>
    <xf numFmtId="0" fontId="7" fillId="0" borderId="0"/>
    <xf numFmtId="0" fontId="7" fillId="0" borderId="0"/>
    <xf numFmtId="0" fontId="183" fillId="0" borderId="0"/>
    <xf numFmtId="0" fontId="183" fillId="0" borderId="0"/>
    <xf numFmtId="0" fontId="6" fillId="0" borderId="0"/>
    <xf numFmtId="0" fontId="6" fillId="0" borderId="0"/>
    <xf numFmtId="176" fontId="37"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37" fillId="0" borderId="0"/>
    <xf numFmtId="0" fontId="184" fillId="0" borderId="0"/>
    <xf numFmtId="0" fontId="184" fillId="0" borderId="0"/>
    <xf numFmtId="0" fontId="5" fillId="0" borderId="0"/>
    <xf numFmtId="0" fontId="5" fillId="0" borderId="0"/>
    <xf numFmtId="0" fontId="184" fillId="0" borderId="0"/>
    <xf numFmtId="0" fontId="184" fillId="0" borderId="0"/>
    <xf numFmtId="0" fontId="184" fillId="0" borderId="0"/>
    <xf numFmtId="0" fontId="184" fillId="0" borderId="0"/>
    <xf numFmtId="0" fontId="184" fillId="0" borderId="0"/>
    <xf numFmtId="0" fontId="5" fillId="0" borderId="0"/>
    <xf numFmtId="0" fontId="186" fillId="0" borderId="0"/>
    <xf numFmtId="0" fontId="4" fillId="0" borderId="0"/>
    <xf numFmtId="0" fontId="4"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06" fillId="33" borderId="95"/>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164" fontId="37"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42"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106" fillId="33" borderId="95"/>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3" fillId="0" borderId="0"/>
    <xf numFmtId="43" fontId="194"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cellStyleXfs>
  <cellXfs count="3449">
    <xf numFmtId="164" fontId="0" fillId="0" borderId="0" xfId="0"/>
    <xf numFmtId="165" fontId="39" fillId="0" borderId="0" xfId="0" applyNumberFormat="1" applyFont="1" applyAlignment="1" applyProtection="1">
      <protection locked="0"/>
    </xf>
    <xf numFmtId="165" fontId="40" fillId="0" borderId="0" xfId="0" applyNumberFormat="1" applyFont="1" applyAlignment="1" applyProtection="1">
      <protection locked="0"/>
    </xf>
    <xf numFmtId="166" fontId="42" fillId="0" borderId="0" xfId="0" applyNumberFormat="1" applyFont="1" applyAlignment="1" applyProtection="1">
      <protection locked="0"/>
    </xf>
    <xf numFmtId="166" fontId="42" fillId="0" borderId="0" xfId="0" applyNumberFormat="1" applyFont="1" applyAlignment="1" applyProtection="1"/>
    <xf numFmtId="166" fontId="43" fillId="0" borderId="0" xfId="0" applyNumberFormat="1" applyFont="1" applyAlignment="1" applyProtection="1">
      <protection locked="0"/>
    </xf>
    <xf numFmtId="166" fontId="43" fillId="0" borderId="0" xfId="0" applyNumberFormat="1" applyFont="1" applyAlignment="1" applyProtection="1"/>
    <xf numFmtId="166" fontId="44" fillId="0" borderId="0" xfId="0" applyNumberFormat="1" applyFont="1" applyFill="1" applyAlignment="1" applyProtection="1">
      <alignment horizontal="right"/>
      <protection locked="0"/>
    </xf>
    <xf numFmtId="166" fontId="44" fillId="0" borderId="0" xfId="0" applyNumberFormat="1" applyFont="1" applyAlignment="1" applyProtection="1">
      <alignment horizontal="right"/>
      <protection locked="0"/>
    </xf>
    <xf numFmtId="166" fontId="38" fillId="0" borderId="0" xfId="0" applyNumberFormat="1" applyFont="1" applyFill="1" applyAlignment="1" applyProtection="1">
      <alignment horizontal="right"/>
      <protection locked="0"/>
    </xf>
    <xf numFmtId="166" fontId="44" fillId="0" borderId="0" xfId="0" quotePrefix="1" applyNumberFormat="1" applyFont="1" applyFill="1" applyAlignment="1" applyProtection="1">
      <alignment horizontal="right"/>
      <protection locked="0"/>
    </xf>
    <xf numFmtId="166" fontId="44" fillId="0" borderId="0" xfId="0" applyNumberFormat="1" applyFont="1" applyAlignment="1" applyProtection="1">
      <alignment horizontal="center"/>
      <protection locked="0"/>
    </xf>
    <xf numFmtId="166" fontId="42" fillId="0" borderId="0" xfId="0" applyNumberFormat="1" applyFont="1" applyBorder="1" applyAlignment="1" applyProtection="1">
      <protection locked="0"/>
    </xf>
    <xf numFmtId="166" fontId="44" fillId="0" borderId="0" xfId="0" applyNumberFormat="1" applyFont="1" applyFill="1" applyAlignment="1" applyProtection="1">
      <protection locked="0"/>
    </xf>
    <xf numFmtId="166" fontId="44" fillId="0" borderId="0" xfId="0" applyNumberFormat="1" applyFont="1" applyAlignment="1" applyProtection="1">
      <protection locked="0"/>
    </xf>
    <xf numFmtId="166" fontId="39" fillId="0" borderId="0" xfId="0" applyNumberFormat="1" applyFont="1" applyAlignment="1" applyProtection="1">
      <protection locked="0"/>
    </xf>
    <xf numFmtId="166" fontId="44" fillId="0" borderId="10" xfId="0" applyNumberFormat="1" applyFont="1" applyBorder="1" applyAlignment="1" applyProtection="1">
      <alignment horizontal="centerContinuous"/>
      <protection locked="0"/>
    </xf>
    <xf numFmtId="166" fontId="44" fillId="0" borderId="10" xfId="0" applyNumberFormat="1" applyFont="1" applyBorder="1" applyAlignment="1" applyProtection="1">
      <alignment horizontal="centerContinuous"/>
    </xf>
    <xf numFmtId="166" fontId="44" fillId="0" borderId="0" xfId="0" applyNumberFormat="1" applyFont="1" applyBorder="1" applyAlignment="1" applyProtection="1">
      <protection locked="0"/>
    </xf>
    <xf numFmtId="165" fontId="39" fillId="0" borderId="0" xfId="0" applyNumberFormat="1" applyFont="1" applyBorder="1" applyAlignment="1" applyProtection="1">
      <protection locked="0"/>
    </xf>
    <xf numFmtId="166" fontId="44" fillId="0" borderId="0" xfId="0" applyNumberFormat="1" applyFont="1" applyBorder="1" applyAlignment="1" applyProtection="1">
      <alignment horizontal="center"/>
      <protection locked="0"/>
    </xf>
    <xf numFmtId="166" fontId="44" fillId="0" borderId="0" xfId="0" quotePrefix="1" applyNumberFormat="1" applyFont="1" applyBorder="1" applyAlignment="1" applyProtection="1">
      <alignment horizontal="center"/>
    </xf>
    <xf numFmtId="166" fontId="44" fillId="0" borderId="0" xfId="0" applyNumberFormat="1" applyFont="1" applyBorder="1" applyAlignment="1" applyProtection="1">
      <alignment horizontal="center"/>
    </xf>
    <xf numFmtId="166" fontId="39" fillId="0" borderId="0" xfId="0" applyNumberFormat="1" applyFont="1" applyBorder="1" applyAlignment="1" applyProtection="1">
      <alignment horizontal="center"/>
      <protection locked="0"/>
    </xf>
    <xf numFmtId="166" fontId="44" fillId="0" borderId="0" xfId="0" applyNumberFormat="1" applyFont="1" applyFill="1" applyBorder="1" applyAlignment="1" applyProtection="1">
      <alignment horizontal="center"/>
      <protection locked="0"/>
    </xf>
    <xf numFmtId="166" fontId="44" fillId="0" borderId="10" xfId="0" quotePrefix="1" applyNumberFormat="1" applyFont="1" applyBorder="1" applyAlignment="1" applyProtection="1">
      <alignment horizontal="center"/>
      <protection locked="0"/>
    </xf>
    <xf numFmtId="166" fontId="44" fillId="0" borderId="10" xfId="0" applyNumberFormat="1" applyFont="1" applyBorder="1" applyAlignment="1" applyProtection="1">
      <alignment horizontal="center"/>
      <protection locked="0"/>
    </xf>
    <xf numFmtId="166" fontId="44" fillId="0" borderId="10" xfId="0" applyNumberFormat="1" applyFont="1" applyBorder="1" applyAlignment="1" applyProtection="1">
      <alignment horizontal="center"/>
    </xf>
    <xf numFmtId="166" fontId="44" fillId="0" borderId="0" xfId="0" quotePrefix="1" applyNumberFormat="1" applyFont="1" applyBorder="1" applyAlignment="1" applyProtection="1">
      <alignment horizontal="center"/>
      <protection locked="0"/>
    </xf>
    <xf numFmtId="166" fontId="39" fillId="0" borderId="0" xfId="0" applyNumberFormat="1" applyFont="1" applyBorder="1" applyAlignment="1" applyProtection="1">
      <protection locked="0"/>
    </xf>
    <xf numFmtId="166" fontId="39" fillId="0" borderId="0" xfId="0" applyNumberFormat="1" applyFont="1" applyBorder="1" applyAlignment="1" applyProtection="1"/>
    <xf numFmtId="166" fontId="39" fillId="0" borderId="13" xfId="0" applyNumberFormat="1" applyFont="1" applyBorder="1" applyAlignment="1" applyProtection="1">
      <protection locked="0"/>
    </xf>
    <xf numFmtId="166" fontId="39" fillId="0" borderId="14" xfId="0" applyNumberFormat="1" applyFont="1" applyBorder="1" applyAlignment="1" applyProtection="1">
      <protection locked="0"/>
    </xf>
    <xf numFmtId="166" fontId="39" fillId="0" borderId="0" xfId="0" applyNumberFormat="1" applyFont="1" applyFill="1" applyBorder="1" applyAlignment="1" applyProtection="1">
      <protection locked="0"/>
    </xf>
    <xf numFmtId="166" fontId="39" fillId="0" borderId="15" xfId="0" applyNumberFormat="1" applyFont="1" applyBorder="1" applyAlignment="1" applyProtection="1">
      <protection locked="0"/>
    </xf>
    <xf numFmtId="165" fontId="46" fillId="0" borderId="0" xfId="0" applyNumberFormat="1" applyFont="1" applyBorder="1" applyAlignment="1" applyProtection="1">
      <protection locked="0"/>
    </xf>
    <xf numFmtId="37" fontId="39" fillId="0" borderId="0" xfId="0" quotePrefix="1" applyNumberFormat="1" applyFont="1" applyAlignment="1" applyProtection="1">
      <alignment horizontal="left"/>
      <protection locked="0"/>
    </xf>
    <xf numFmtId="167" fontId="39" fillId="0" borderId="0" xfId="0" applyNumberFormat="1" applyFont="1" applyAlignment="1" applyProtection="1">
      <protection locked="0"/>
    </xf>
    <xf numFmtId="167" fontId="39" fillId="0" borderId="0" xfId="0" applyNumberFormat="1" applyFont="1" applyAlignment="1" applyProtection="1">
      <alignment horizontal="center"/>
      <protection locked="0"/>
    </xf>
    <xf numFmtId="167" fontId="39" fillId="0" borderId="13" xfId="0" applyNumberFormat="1" applyFont="1" applyBorder="1" applyAlignment="1" applyProtection="1">
      <protection locked="0"/>
    </xf>
    <xf numFmtId="167" fontId="39" fillId="0" borderId="0" xfId="0" applyNumberFormat="1" applyFont="1" applyBorder="1" applyAlignment="1" applyProtection="1">
      <protection locked="0"/>
    </xf>
    <xf numFmtId="167" fontId="39" fillId="0" borderId="14" xfId="0" applyNumberFormat="1" applyFont="1" applyBorder="1" applyAlignment="1" applyProtection="1">
      <protection locked="0"/>
    </xf>
    <xf numFmtId="167" fontId="39" fillId="0" borderId="0" xfId="0" applyNumberFormat="1" applyFont="1" applyFill="1" applyBorder="1" applyAlignment="1" applyProtection="1">
      <protection locked="0"/>
    </xf>
    <xf numFmtId="167" fontId="39" fillId="0" borderId="15" xfId="0" applyNumberFormat="1" applyFont="1" applyBorder="1" applyAlignment="1" applyProtection="1">
      <protection locked="0"/>
    </xf>
    <xf numFmtId="168" fontId="40" fillId="0" borderId="0" xfId="0" applyNumberFormat="1" applyFont="1" applyAlignment="1" applyProtection="1">
      <protection locked="0"/>
    </xf>
    <xf numFmtId="164" fontId="39" fillId="0" borderId="0" xfId="0" applyNumberFormat="1" applyFont="1" applyBorder="1" applyAlignment="1" applyProtection="1">
      <protection locked="0"/>
    </xf>
    <xf numFmtId="37" fontId="39" fillId="0" borderId="0" xfId="0" applyNumberFormat="1" applyFont="1" applyAlignment="1" applyProtection="1">
      <alignment horizontal="left"/>
      <protection locked="0"/>
    </xf>
    <xf numFmtId="170" fontId="39" fillId="0" borderId="0" xfId="0" applyNumberFormat="1" applyFont="1" applyAlignment="1" applyProtection="1">
      <protection locked="0"/>
    </xf>
    <xf numFmtId="170" fontId="39" fillId="0" borderId="0" xfId="0" applyNumberFormat="1" applyFont="1" applyAlignment="1" applyProtection="1"/>
    <xf numFmtId="170" fontId="39" fillId="0" borderId="0" xfId="0" applyNumberFormat="1" applyFont="1" applyAlignment="1" applyProtection="1">
      <alignment horizontal="right"/>
      <protection locked="0"/>
    </xf>
    <xf numFmtId="170" fontId="39" fillId="0" borderId="13" xfId="0" applyNumberFormat="1" applyFont="1" applyBorder="1" applyAlignment="1" applyProtection="1">
      <protection locked="0"/>
    </xf>
    <xf numFmtId="170" fontId="39" fillId="0" borderId="0" xfId="0" applyNumberFormat="1" applyFont="1" applyBorder="1" applyAlignment="1" applyProtection="1">
      <protection locked="0"/>
    </xf>
    <xf numFmtId="170" fontId="39" fillId="0" borderId="14" xfId="0" applyNumberFormat="1" applyFont="1" applyBorder="1" applyAlignment="1" applyProtection="1">
      <protection locked="0"/>
    </xf>
    <xf numFmtId="170" fontId="39" fillId="0" borderId="0" xfId="0" applyNumberFormat="1" applyFont="1" applyFill="1" applyAlignment="1" applyProtection="1">
      <protection locked="0"/>
    </xf>
    <xf numFmtId="170" fontId="39" fillId="0" borderId="0" xfId="0" applyNumberFormat="1" applyFont="1" applyFill="1" applyBorder="1" applyAlignment="1" applyProtection="1">
      <protection locked="0"/>
    </xf>
    <xf numFmtId="170" fontId="39" fillId="0" borderId="15" xfId="0" applyNumberFormat="1" applyFont="1" applyBorder="1" applyAlignment="1" applyProtection="1">
      <protection locked="0"/>
    </xf>
    <xf numFmtId="165" fontId="39" fillId="0" borderId="0" xfId="0" quotePrefix="1" applyNumberFormat="1" applyFont="1" applyAlignment="1" applyProtection="1">
      <alignment horizontal="left"/>
      <protection locked="0"/>
    </xf>
    <xf numFmtId="170" fontId="39" fillId="0" borderId="0" xfId="0" applyNumberFormat="1" applyFont="1" applyAlignment="1" applyProtection="1">
      <alignment horizontal="center"/>
      <protection locked="0"/>
    </xf>
    <xf numFmtId="170" fontId="39" fillId="0" borderId="0" xfId="0" applyNumberFormat="1" applyFont="1" applyAlignment="1" applyProtection="1">
      <alignment horizontal="center"/>
    </xf>
    <xf numFmtId="171" fontId="39" fillId="0" borderId="0" xfId="0" quotePrefix="1" applyNumberFormat="1" applyFont="1" applyAlignment="1" applyProtection="1">
      <alignment horizontal="left"/>
      <protection locked="0"/>
    </xf>
    <xf numFmtId="170" fontId="39" fillId="0" borderId="0" xfId="0" quotePrefix="1" applyNumberFormat="1" applyFont="1" applyAlignment="1" applyProtection="1">
      <alignment horizontal="center"/>
      <protection locked="0"/>
    </xf>
    <xf numFmtId="170" fontId="44" fillId="0" borderId="0" xfId="0" applyNumberFormat="1" applyFont="1" applyBorder="1" applyAlignment="1" applyProtection="1">
      <alignment horizontal="right"/>
      <protection locked="0"/>
    </xf>
    <xf numFmtId="170" fontId="44" fillId="0" borderId="16" xfId="0" applyNumberFormat="1" applyFont="1" applyBorder="1" applyAlignment="1" applyProtection="1">
      <alignment horizontal="right"/>
    </xf>
    <xf numFmtId="170" fontId="44" fillId="0" borderId="0" xfId="0" applyNumberFormat="1" applyFont="1" applyAlignment="1" applyProtection="1">
      <protection locked="0"/>
    </xf>
    <xf numFmtId="170" fontId="44" fillId="0" borderId="16" xfId="0" applyNumberFormat="1" applyFont="1" applyBorder="1" applyAlignment="1" applyProtection="1">
      <protection locked="0"/>
    </xf>
    <xf numFmtId="170" fontId="44" fillId="0" borderId="16" xfId="0" applyNumberFormat="1" applyFont="1" applyBorder="1" applyAlignment="1" applyProtection="1"/>
    <xf numFmtId="170" fontId="44" fillId="0" borderId="13" xfId="0" applyNumberFormat="1" applyFont="1" applyBorder="1" applyAlignment="1" applyProtection="1">
      <protection locked="0"/>
    </xf>
    <xf numFmtId="170" fontId="44" fillId="0" borderId="0" xfId="0" applyNumberFormat="1" applyFont="1" applyBorder="1" applyAlignment="1" applyProtection="1">
      <protection locked="0"/>
    </xf>
    <xf numFmtId="170" fontId="44" fillId="0" borderId="14" xfId="0" applyNumberFormat="1" applyFont="1" applyBorder="1" applyAlignment="1" applyProtection="1">
      <protection locked="0"/>
    </xf>
    <xf numFmtId="170" fontId="44" fillId="0" borderId="0" xfId="0" applyNumberFormat="1" applyFont="1" applyFill="1" applyBorder="1" applyAlignment="1" applyProtection="1">
      <protection locked="0"/>
    </xf>
    <xf numFmtId="170" fontId="44" fillId="0" borderId="15" xfId="0" applyNumberFormat="1" applyFont="1" applyBorder="1" applyAlignment="1" applyProtection="1">
      <protection locked="0"/>
    </xf>
    <xf numFmtId="165" fontId="47" fillId="0" borderId="0" xfId="0" applyNumberFormat="1" applyFont="1" applyAlignment="1" applyProtection="1">
      <protection locked="0"/>
    </xf>
    <xf numFmtId="164" fontId="44" fillId="0" borderId="16" xfId="0" applyNumberFormat="1" applyFont="1" applyBorder="1" applyAlignment="1" applyProtection="1">
      <protection locked="0"/>
    </xf>
    <xf numFmtId="166" fontId="44" fillId="0" borderId="0" xfId="0" applyNumberFormat="1" applyFont="1" applyBorder="1" applyAlignment="1" applyProtection="1">
      <alignment horizontal="right"/>
      <protection locked="0"/>
    </xf>
    <xf numFmtId="170" fontId="39" fillId="0" borderId="0" xfId="0" applyNumberFormat="1" applyFont="1" applyBorder="1" applyAlignment="1" applyProtection="1"/>
    <xf numFmtId="170" fontId="39" fillId="0" borderId="0" xfId="0" quotePrefix="1" applyNumberFormat="1" applyFont="1" applyAlignment="1" applyProtection="1">
      <alignment horizontal="center"/>
    </xf>
    <xf numFmtId="166" fontId="39" fillId="0" borderId="0" xfId="0" quotePrefix="1" applyNumberFormat="1" applyFont="1" applyAlignment="1" applyProtection="1">
      <alignment horizontal="center"/>
      <protection locked="0"/>
    </xf>
    <xf numFmtId="170" fontId="39" fillId="0" borderId="0" xfId="0" quotePrefix="1" applyNumberFormat="1" applyFont="1" applyBorder="1" applyAlignment="1" applyProtection="1">
      <alignment horizontal="center"/>
      <protection locked="0"/>
    </xf>
    <xf numFmtId="170" fontId="39" fillId="0" borderId="0" xfId="0" quotePrefix="1" applyNumberFormat="1" applyFont="1" applyBorder="1" applyAlignment="1" applyProtection="1">
      <alignment horizontal="center"/>
    </xf>
    <xf numFmtId="170" fontId="39" fillId="0" borderId="0" xfId="0" applyNumberFormat="1" applyFont="1" applyBorder="1" applyAlignment="1" applyProtection="1">
      <alignment horizontal="right"/>
      <protection locked="0"/>
    </xf>
    <xf numFmtId="170" fontId="39" fillId="0" borderId="15" xfId="0" quotePrefix="1" applyNumberFormat="1" applyFont="1" applyBorder="1" applyAlignment="1" applyProtection="1">
      <alignment horizontal="right"/>
      <protection locked="0"/>
    </xf>
    <xf numFmtId="166" fontId="39" fillId="0" borderId="0" xfId="0" quotePrefix="1" applyNumberFormat="1" applyFont="1" applyAlignment="1" applyProtection="1">
      <alignment horizontal="left"/>
      <protection locked="0"/>
    </xf>
    <xf numFmtId="166" fontId="39" fillId="0" borderId="0" xfId="0" quotePrefix="1" applyNumberFormat="1" applyFont="1" applyAlignment="1" applyProtection="1">
      <protection locked="0"/>
    </xf>
    <xf numFmtId="170" fontId="39" fillId="0" borderId="0" xfId="0" applyNumberFormat="1" applyFont="1" applyBorder="1" applyAlignment="1" applyProtection="1">
      <alignment horizontal="center"/>
      <protection locked="0"/>
    </xf>
    <xf numFmtId="170" fontId="39" fillId="0" borderId="0" xfId="0" applyNumberFormat="1" applyFont="1" applyBorder="1" applyAlignment="1" applyProtection="1">
      <alignment horizontal="center"/>
    </xf>
    <xf numFmtId="170" fontId="48" fillId="0" borderId="0" xfId="0" applyNumberFormat="1" applyFont="1" applyAlignment="1" applyProtection="1">
      <protection locked="0"/>
    </xf>
    <xf numFmtId="170" fontId="48" fillId="0" borderId="0" xfId="0" applyNumberFormat="1" applyFont="1" applyFill="1" applyAlignment="1" applyProtection="1">
      <protection locked="0"/>
    </xf>
    <xf numFmtId="170" fontId="49" fillId="0" borderId="0" xfId="0" applyNumberFormat="1" applyFont="1" applyAlignment="1" applyProtection="1">
      <protection locked="0"/>
    </xf>
    <xf numFmtId="170" fontId="40" fillId="0" borderId="0" xfId="0" applyNumberFormat="1" applyFont="1" applyAlignment="1" applyProtection="1"/>
    <xf numFmtId="170" fontId="39" fillId="0" borderId="10" xfId="0" applyNumberFormat="1" applyFont="1" applyBorder="1" applyAlignment="1" applyProtection="1">
      <protection locked="0"/>
    </xf>
    <xf numFmtId="170" fontId="44" fillId="0" borderId="10" xfId="0" applyNumberFormat="1" applyFont="1" applyBorder="1" applyAlignment="1" applyProtection="1">
      <protection locked="0"/>
    </xf>
    <xf numFmtId="170" fontId="44" fillId="0" borderId="10" xfId="0" applyNumberFormat="1" applyFont="1" applyBorder="1" applyAlignment="1" applyProtection="1"/>
    <xf numFmtId="170" fontId="44" fillId="0" borderId="10" xfId="0" applyNumberFormat="1" applyFont="1" applyBorder="1" applyAlignment="1" applyProtection="1">
      <alignment horizontal="right"/>
    </xf>
    <xf numFmtId="170" fontId="44" fillId="0" borderId="10" xfId="0" applyNumberFormat="1" applyFont="1" applyFill="1" applyBorder="1" applyAlignment="1" applyProtection="1">
      <protection locked="0"/>
    </xf>
    <xf numFmtId="165" fontId="47" fillId="0" borderId="0" xfId="0" applyNumberFormat="1" applyFont="1" applyBorder="1" applyAlignment="1" applyProtection="1">
      <protection locked="0"/>
    </xf>
    <xf numFmtId="164" fontId="44" fillId="0" borderId="10" xfId="0" applyNumberFormat="1" applyFont="1" applyBorder="1" applyAlignment="1" applyProtection="1">
      <protection locked="0"/>
    </xf>
    <xf numFmtId="166" fontId="39" fillId="0" borderId="0" xfId="0" applyNumberFormat="1" applyFont="1" applyFill="1" applyAlignment="1" applyProtection="1">
      <protection locked="0"/>
    </xf>
    <xf numFmtId="170" fontId="39" fillId="0" borderId="0" xfId="0" applyNumberFormat="1" applyFont="1" applyFill="1" applyAlignment="1" applyProtection="1">
      <alignment horizontal="center"/>
    </xf>
    <xf numFmtId="170" fontId="39" fillId="0" borderId="15" xfId="0" applyNumberFormat="1" applyFont="1" applyBorder="1" applyAlignment="1" applyProtection="1">
      <alignment horizontal="center"/>
      <protection locked="0"/>
    </xf>
    <xf numFmtId="165" fontId="40" fillId="0" borderId="0" xfId="0" applyNumberFormat="1" applyFont="1" applyBorder="1" applyAlignment="1" applyProtection="1">
      <protection locked="0"/>
    </xf>
    <xf numFmtId="166" fontId="39" fillId="0" borderId="0" xfId="0" applyNumberFormat="1" applyFont="1" applyFill="1" applyBorder="1" applyAlignment="1" applyProtection="1">
      <alignment horizontal="center"/>
      <protection locked="0"/>
    </xf>
    <xf numFmtId="170" fontId="39" fillId="0" borderId="0" xfId="0" applyNumberFormat="1" applyFont="1" applyFill="1" applyAlignment="1" applyProtection="1"/>
    <xf numFmtId="170" fontId="39" fillId="0" borderId="13" xfId="0" applyNumberFormat="1" applyFont="1" applyFill="1" applyBorder="1" applyAlignment="1" applyProtection="1">
      <protection locked="0"/>
    </xf>
    <xf numFmtId="170" fontId="39" fillId="0" borderId="14" xfId="0" applyNumberFormat="1" applyFont="1" applyFill="1" applyBorder="1" applyAlignment="1" applyProtection="1">
      <protection locked="0"/>
    </xf>
    <xf numFmtId="170" fontId="39" fillId="33" borderId="0" xfId="0" applyNumberFormat="1" applyFont="1" applyFill="1" applyAlignment="1" applyProtection="1">
      <protection locked="0"/>
    </xf>
    <xf numFmtId="164" fontId="39" fillId="0" borderId="10" xfId="0" applyNumberFormat="1" applyFont="1" applyBorder="1" applyAlignment="1" applyProtection="1">
      <protection locked="0"/>
    </xf>
    <xf numFmtId="170" fontId="44" fillId="0" borderId="16" xfId="0" quotePrefix="1" applyNumberFormat="1" applyFont="1" applyBorder="1" applyAlignment="1" applyProtection="1">
      <alignment horizontal="right"/>
      <protection locked="0"/>
    </xf>
    <xf numFmtId="170" fontId="44" fillId="0" borderId="0" xfId="0" quotePrefix="1" applyNumberFormat="1" applyFont="1" applyBorder="1" applyAlignment="1" applyProtection="1">
      <alignment horizontal="right"/>
      <protection locked="0"/>
    </xf>
    <xf numFmtId="172" fontId="44" fillId="0" borderId="10" xfId="0" applyNumberFormat="1" applyFont="1" applyBorder="1" applyAlignment="1" applyProtection="1">
      <protection locked="0"/>
    </xf>
    <xf numFmtId="173" fontId="39" fillId="0" borderId="0" xfId="0" applyNumberFormat="1" applyFont="1" applyBorder="1" applyAlignment="1" applyProtection="1">
      <protection locked="0"/>
    </xf>
    <xf numFmtId="170" fontId="44" fillId="0" borderId="0" xfId="0" applyNumberFormat="1" applyFont="1" applyFill="1" applyAlignment="1" applyProtection="1">
      <protection locked="0"/>
    </xf>
    <xf numFmtId="170" fontId="44" fillId="0" borderId="0" xfId="0" applyNumberFormat="1" applyFont="1" applyFill="1" applyAlignment="1" applyProtection="1"/>
    <xf numFmtId="170" fontId="44" fillId="0" borderId="13" xfId="0" applyNumberFormat="1" applyFont="1" applyFill="1" applyBorder="1" applyAlignment="1" applyProtection="1">
      <protection locked="0"/>
    </xf>
    <xf numFmtId="170" fontId="44" fillId="0" borderId="14" xfId="0" applyNumberFormat="1" applyFont="1" applyFill="1" applyBorder="1" applyAlignment="1" applyProtection="1">
      <protection locked="0"/>
    </xf>
    <xf numFmtId="164" fontId="44" fillId="0" borderId="0" xfId="0" applyNumberFormat="1" applyFont="1" applyBorder="1" applyAlignment="1" applyProtection="1">
      <protection locked="0"/>
    </xf>
    <xf numFmtId="166" fontId="44" fillId="0" borderId="0" xfId="0" applyNumberFormat="1" applyFont="1" applyFill="1" applyBorder="1" applyAlignment="1" applyProtection="1">
      <protection locked="0"/>
    </xf>
    <xf numFmtId="165" fontId="44" fillId="0" borderId="0" xfId="0" applyNumberFormat="1" applyFont="1" applyAlignment="1" applyProtection="1">
      <protection locked="0"/>
    </xf>
    <xf numFmtId="166" fontId="39" fillId="0" borderId="0" xfId="0" quotePrefix="1" applyNumberFormat="1" applyFont="1" applyFill="1" applyAlignment="1" applyProtection="1">
      <alignment horizontal="left"/>
      <protection locked="0"/>
    </xf>
    <xf numFmtId="164" fontId="39" fillId="0" borderId="0" xfId="0" applyFont="1" applyProtection="1">
      <protection locked="0"/>
    </xf>
    <xf numFmtId="174" fontId="44" fillId="0" borderId="17" xfId="0" applyNumberFormat="1" applyFont="1" applyFill="1" applyBorder="1" applyAlignment="1" applyProtection="1">
      <protection locked="0"/>
    </xf>
    <xf numFmtId="174" fontId="44" fillId="0" borderId="0" xfId="0" applyNumberFormat="1" applyFont="1" applyFill="1" applyAlignment="1" applyProtection="1">
      <protection locked="0"/>
    </xf>
    <xf numFmtId="174" fontId="44" fillId="0" borderId="17" xfId="0" applyNumberFormat="1" applyFont="1" applyFill="1" applyBorder="1" applyAlignment="1" applyProtection="1"/>
    <xf numFmtId="174" fontId="44" fillId="0" borderId="13" xfId="0" applyNumberFormat="1" applyFont="1" applyFill="1" applyBorder="1" applyAlignment="1" applyProtection="1">
      <protection locked="0"/>
    </xf>
    <xf numFmtId="174" fontId="44" fillId="0" borderId="0" xfId="0" applyNumberFormat="1" applyFont="1" applyFill="1" applyBorder="1" applyAlignment="1" applyProtection="1">
      <protection locked="0"/>
    </xf>
    <xf numFmtId="174" fontId="44" fillId="0" borderId="14" xfId="0" applyNumberFormat="1" applyFont="1" applyFill="1" applyBorder="1" applyAlignment="1" applyProtection="1">
      <protection locked="0"/>
    </xf>
    <xf numFmtId="174" fontId="44" fillId="0" borderId="15" xfId="0" applyNumberFormat="1" applyFont="1" applyBorder="1" applyAlignment="1" applyProtection="1">
      <protection locked="0"/>
    </xf>
    <xf numFmtId="174" fontId="44" fillId="0" borderId="17" xfId="0" applyNumberFormat="1" applyFont="1" applyBorder="1" applyAlignment="1" applyProtection="1">
      <protection locked="0"/>
    </xf>
    <xf numFmtId="164" fontId="44" fillId="0" borderId="17" xfId="0" applyNumberFormat="1" applyFont="1" applyBorder="1" applyAlignment="1" applyProtection="1">
      <protection locked="0"/>
    </xf>
    <xf numFmtId="169" fontId="44" fillId="0" borderId="0" xfId="0" applyNumberFormat="1" applyFont="1" applyFill="1" applyBorder="1" applyAlignment="1" applyProtection="1">
      <protection locked="0"/>
    </xf>
    <xf numFmtId="168" fontId="47" fillId="0" borderId="0" xfId="0" applyNumberFormat="1" applyFont="1" applyAlignment="1" applyProtection="1">
      <protection locked="0"/>
    </xf>
    <xf numFmtId="166" fontId="47" fillId="0" borderId="0" xfId="0" applyNumberFormat="1" applyFont="1" applyBorder="1" applyAlignment="1" applyProtection="1">
      <protection locked="0"/>
    </xf>
    <xf numFmtId="166" fontId="40" fillId="0" borderId="0" xfId="0" applyNumberFormat="1" applyFont="1" applyBorder="1" applyAlignment="1" applyProtection="1">
      <protection locked="0"/>
    </xf>
    <xf numFmtId="166" fontId="40" fillId="0" borderId="0" xfId="0" applyNumberFormat="1" applyFont="1" applyAlignment="1" applyProtection="1">
      <protection locked="0"/>
    </xf>
    <xf numFmtId="166" fontId="40" fillId="0" borderId="0" xfId="0" applyNumberFormat="1" applyFont="1" applyFill="1" applyBorder="1" applyAlignment="1" applyProtection="1">
      <protection locked="0"/>
    </xf>
    <xf numFmtId="165" fontId="50" fillId="0" borderId="0" xfId="0" applyNumberFormat="1" applyFont="1" applyBorder="1" applyAlignment="1" applyProtection="1">
      <protection locked="0"/>
    </xf>
    <xf numFmtId="165" fontId="44" fillId="0" borderId="0" xfId="0" applyNumberFormat="1" applyFont="1" applyBorder="1" applyAlignment="1" applyProtection="1">
      <protection locked="0"/>
    </xf>
    <xf numFmtId="165" fontId="40" fillId="0" borderId="0" xfId="0" applyNumberFormat="1" applyFont="1" applyFill="1" applyAlignment="1" applyProtection="1">
      <protection locked="0"/>
    </xf>
    <xf numFmtId="165" fontId="50" fillId="0" borderId="0" xfId="0" applyNumberFormat="1" applyFont="1" applyAlignment="1" applyProtection="1">
      <protection locked="0"/>
    </xf>
    <xf numFmtId="166" fontId="45" fillId="0" borderId="0" xfId="0" quotePrefix="1" applyNumberFormat="1" applyFont="1" applyBorder="1" applyAlignment="1" applyProtection="1">
      <alignment horizontal="left"/>
      <protection locked="0"/>
    </xf>
    <xf numFmtId="166" fontId="45" fillId="0" borderId="0" xfId="0" applyNumberFormat="1" applyFont="1" applyBorder="1" applyAlignment="1" applyProtection="1">
      <alignment horizontal="left"/>
      <protection locked="0"/>
    </xf>
    <xf numFmtId="165" fontId="45" fillId="0" borderId="0" xfId="0" applyNumberFormat="1" applyFont="1" applyBorder="1" applyAlignment="1" applyProtection="1">
      <protection locked="0"/>
    </xf>
    <xf numFmtId="165" fontId="51" fillId="0" borderId="0" xfId="0" applyNumberFormat="1" applyFont="1" applyAlignment="1" applyProtection="1">
      <protection locked="0"/>
    </xf>
    <xf numFmtId="164" fontId="39" fillId="0" borderId="0" xfId="0" applyFont="1" applyFill="1" applyBorder="1" applyAlignment="1"/>
    <xf numFmtId="166" fontId="42" fillId="0" borderId="0" xfId="0" applyNumberFormat="1" applyFont="1" applyAlignment="1"/>
    <xf numFmtId="166" fontId="43" fillId="0" borderId="0" xfId="0" applyNumberFormat="1" applyFont="1" applyAlignment="1"/>
    <xf numFmtId="165" fontId="54" fillId="0" borderId="0" xfId="0" applyNumberFormat="1" applyFont="1" applyFill="1" applyAlignment="1"/>
    <xf numFmtId="166" fontId="38" fillId="0" borderId="0" xfId="0" applyNumberFormat="1" applyFont="1" applyFill="1" applyAlignment="1">
      <alignment horizontal="right"/>
    </xf>
    <xf numFmtId="166" fontId="55" fillId="0" borderId="0" xfId="0" applyNumberFormat="1" applyFont="1" applyFill="1" applyBorder="1" applyAlignment="1">
      <alignment horizontal="right"/>
    </xf>
    <xf numFmtId="165" fontId="39" fillId="0" borderId="0" xfId="0" applyNumberFormat="1" applyFont="1" applyAlignment="1"/>
    <xf numFmtId="165" fontId="40" fillId="0" borderId="0" xfId="0" applyNumberFormat="1" applyFont="1" applyAlignment="1"/>
    <xf numFmtId="166" fontId="58" fillId="0" borderId="0" xfId="0" applyNumberFormat="1" applyFont="1" applyFill="1" applyAlignment="1">
      <alignment horizontal="right"/>
    </xf>
    <xf numFmtId="166" fontId="43" fillId="0" borderId="0" xfId="0" applyNumberFormat="1" applyFont="1" applyBorder="1" applyAlignment="1"/>
    <xf numFmtId="166" fontId="42" fillId="0" borderId="0" xfId="0" applyNumberFormat="1" applyFont="1" applyBorder="1" applyAlignment="1"/>
    <xf numFmtId="166" fontId="44" fillId="0" borderId="0" xfId="0" applyNumberFormat="1" applyFont="1" applyAlignment="1">
      <alignment horizontal="center"/>
    </xf>
    <xf numFmtId="165" fontId="40" fillId="0" borderId="0" xfId="0" applyNumberFormat="1" applyFont="1" applyBorder="1" applyAlignment="1"/>
    <xf numFmtId="166" fontId="44" fillId="0" borderId="0" xfId="0" applyNumberFormat="1" applyFont="1" applyFill="1" applyAlignment="1"/>
    <xf numFmtId="166" fontId="44" fillId="0" borderId="0" xfId="0" applyNumberFormat="1" applyFont="1" applyAlignment="1"/>
    <xf numFmtId="166" fontId="39" fillId="0" borderId="0" xfId="0" applyNumberFormat="1" applyFont="1" applyAlignment="1"/>
    <xf numFmtId="166" fontId="39" fillId="0" borderId="0" xfId="0" applyNumberFormat="1" applyFont="1" applyBorder="1" applyAlignment="1"/>
    <xf numFmtId="166" fontId="44" fillId="0" borderId="10" xfId="0" applyNumberFormat="1" applyFont="1" applyBorder="1" applyAlignment="1">
      <alignment horizontal="centerContinuous"/>
    </xf>
    <xf numFmtId="166" fontId="44" fillId="0" borderId="0" xfId="0" applyNumberFormat="1" applyFont="1" applyBorder="1" applyAlignment="1"/>
    <xf numFmtId="165" fontId="39" fillId="0" borderId="0" xfId="0" applyNumberFormat="1" applyFont="1" applyBorder="1" applyAlignment="1"/>
    <xf numFmtId="166" fontId="44" fillId="0" borderId="0" xfId="0" quotePrefix="1" applyNumberFormat="1" applyFont="1" applyBorder="1" applyAlignment="1">
      <alignment horizontal="center"/>
    </xf>
    <xf numFmtId="166" fontId="44" fillId="0" borderId="10" xfId="0" quotePrefix="1" applyNumberFormat="1" applyFont="1" applyBorder="1" applyAlignment="1">
      <alignment horizontal="center"/>
    </xf>
    <xf numFmtId="166" fontId="39" fillId="0" borderId="18" xfId="0" applyNumberFormat="1" applyFont="1" applyBorder="1" applyAlignment="1"/>
    <xf numFmtId="166" fontId="39" fillId="0" borderId="0" xfId="0" applyNumberFormat="1" applyFont="1" applyFill="1" applyBorder="1" applyAlignment="1"/>
    <xf numFmtId="37" fontId="39" fillId="0" borderId="0" xfId="0" applyNumberFormat="1" applyFont="1" applyAlignment="1">
      <alignment horizontal="left"/>
    </xf>
    <xf numFmtId="174" fontId="39" fillId="0" borderId="0" xfId="0" applyNumberFormat="1" applyFont="1" applyAlignment="1"/>
    <xf numFmtId="174" fontId="39" fillId="0" borderId="0" xfId="0" applyNumberFormat="1" applyFont="1" applyAlignment="1">
      <alignment horizontal="right"/>
    </xf>
    <xf numFmtId="174" fontId="39" fillId="0" borderId="0" xfId="0" applyNumberFormat="1" applyFont="1" applyBorder="1" applyAlignment="1"/>
    <xf numFmtId="174" fontId="39" fillId="0" borderId="18" xfId="0" applyNumberFormat="1" applyFont="1" applyBorder="1" applyAlignment="1"/>
    <xf numFmtId="170" fontId="39" fillId="0" borderId="0" xfId="0" applyNumberFormat="1" applyFont="1" applyAlignment="1"/>
    <xf numFmtId="170" fontId="39" fillId="0" borderId="0" xfId="0" applyNumberFormat="1" applyFont="1" applyBorder="1" applyAlignment="1"/>
    <xf numFmtId="170" fontId="39" fillId="0" borderId="18" xfId="0" applyNumberFormat="1" applyFont="1" applyBorder="1" applyAlignment="1"/>
    <xf numFmtId="170" fontId="39" fillId="0" borderId="0" xfId="0" applyNumberFormat="1" applyFont="1" applyAlignment="1">
      <alignment horizontal="right"/>
    </xf>
    <xf numFmtId="170" fontId="39" fillId="0" borderId="0" xfId="0" quotePrefix="1" applyNumberFormat="1" applyFont="1" applyAlignment="1">
      <alignment horizontal="center"/>
    </xf>
    <xf numFmtId="170" fontId="39" fillId="0" borderId="0" xfId="0" applyNumberFormat="1" applyFont="1" applyAlignment="1">
      <alignment horizontal="center"/>
    </xf>
    <xf numFmtId="166" fontId="39" fillId="0" borderId="0" xfId="0" applyNumberFormat="1" applyFont="1" applyFill="1" applyAlignment="1"/>
    <xf numFmtId="165" fontId="39" fillId="0" borderId="0" xfId="0" quotePrefix="1" applyNumberFormat="1" applyFont="1" applyAlignment="1">
      <alignment horizontal="left"/>
    </xf>
    <xf numFmtId="170" fontId="39" fillId="0" borderId="0" xfId="0" applyNumberFormat="1" applyFont="1" applyBorder="1" applyAlignment="1">
      <alignment horizontal="center"/>
    </xf>
    <xf numFmtId="170" fontId="39" fillId="0" borderId="18" xfId="0" applyNumberFormat="1" applyFont="1" applyBorder="1" applyAlignment="1">
      <alignment horizontal="center"/>
    </xf>
    <xf numFmtId="166" fontId="39" fillId="0" borderId="0" xfId="0" quotePrefix="1" applyNumberFormat="1" applyFont="1" applyAlignment="1">
      <alignment horizontal="left"/>
    </xf>
    <xf numFmtId="37" fontId="39" fillId="0" borderId="0" xfId="0" quotePrefix="1" applyNumberFormat="1" applyFont="1" applyAlignment="1">
      <alignment horizontal="left"/>
    </xf>
    <xf numFmtId="170" fontId="44" fillId="0" borderId="16" xfId="0" applyNumberFormat="1" applyFont="1" applyBorder="1" applyAlignment="1"/>
    <xf numFmtId="170" fontId="44" fillId="0" borderId="0" xfId="0" applyNumberFormat="1" applyFont="1" applyAlignment="1"/>
    <xf numFmtId="170" fontId="44" fillId="0" borderId="16" xfId="0" applyNumberFormat="1" applyFont="1" applyBorder="1" applyAlignment="1">
      <alignment horizontal="right"/>
    </xf>
    <xf numFmtId="170" fontId="44" fillId="0" borderId="0" xfId="0" applyNumberFormat="1" applyFont="1" applyBorder="1" applyAlignment="1"/>
    <xf numFmtId="170" fontId="44" fillId="0" borderId="18" xfId="0" applyNumberFormat="1" applyFont="1" applyBorder="1" applyAlignment="1"/>
    <xf numFmtId="170" fontId="39" fillId="0" borderId="0" xfId="0" quotePrefix="1" applyNumberFormat="1" applyFont="1" applyAlignment="1">
      <alignment horizontal="right"/>
    </xf>
    <xf numFmtId="166" fontId="39" fillId="0" borderId="0" xfId="0" quotePrefix="1" applyNumberFormat="1" applyFont="1" applyAlignment="1"/>
    <xf numFmtId="170" fontId="39" fillId="0" borderId="10" xfId="0" applyNumberFormat="1" applyFont="1" applyBorder="1" applyAlignment="1">
      <alignment horizontal="right"/>
    </xf>
    <xf numFmtId="170" fontId="44" fillId="0" borderId="16" xfId="0" quotePrefix="1" applyNumberFormat="1" applyFont="1" applyBorder="1" applyAlignment="1">
      <alignment horizontal="center"/>
    </xf>
    <xf numFmtId="170" fontId="44" fillId="0" borderId="16" xfId="0" applyNumberFormat="1" applyFont="1" applyBorder="1" applyAlignment="1">
      <alignment horizontal="center"/>
    </xf>
    <xf numFmtId="170" fontId="44" fillId="0" borderId="0" xfId="0" applyNumberFormat="1" applyFont="1" applyBorder="1" applyAlignment="1">
      <alignment horizontal="center"/>
    </xf>
    <xf numFmtId="170" fontId="44" fillId="0" borderId="18" xfId="0" applyNumberFormat="1" applyFont="1" applyBorder="1" applyAlignment="1">
      <alignment horizontal="center"/>
    </xf>
    <xf numFmtId="170" fontId="44" fillId="0" borderId="10" xfId="0" applyNumberFormat="1" applyFont="1" applyBorder="1" applyAlignment="1"/>
    <xf numFmtId="170" fontId="39" fillId="0" borderId="0" xfId="0" applyNumberFormat="1" applyFont="1" applyFill="1" applyAlignment="1"/>
    <xf numFmtId="170" fontId="39" fillId="0" borderId="0" xfId="0" applyNumberFormat="1" applyFont="1" applyFill="1" applyBorder="1" applyAlignment="1"/>
    <xf numFmtId="170" fontId="39" fillId="0" borderId="18" xfId="0" applyNumberFormat="1" applyFont="1" applyFill="1" applyBorder="1" applyAlignment="1"/>
    <xf numFmtId="165" fontId="44" fillId="0" borderId="0" xfId="0" applyNumberFormat="1" applyFont="1" applyBorder="1" applyAlignment="1"/>
    <xf numFmtId="170" fontId="44" fillId="0" borderId="0" xfId="0" applyNumberFormat="1" applyFont="1" applyFill="1" applyAlignment="1"/>
    <xf numFmtId="170" fontId="59" fillId="0" borderId="0" xfId="0" applyNumberFormat="1" applyFont="1" applyFill="1" applyAlignment="1"/>
    <xf numFmtId="170" fontId="59" fillId="0" borderId="0" xfId="0" applyNumberFormat="1" applyFont="1" applyFill="1" applyBorder="1" applyAlignment="1"/>
    <xf numFmtId="170" fontId="59" fillId="0" borderId="18" xfId="0" applyNumberFormat="1" applyFont="1" applyFill="1" applyBorder="1" applyAlignment="1"/>
    <xf numFmtId="170" fontId="44" fillId="0" borderId="0" xfId="0" applyNumberFormat="1" applyFont="1" applyFill="1" applyBorder="1" applyAlignment="1"/>
    <xf numFmtId="166" fontId="44" fillId="0" borderId="0" xfId="0" applyNumberFormat="1" applyFont="1" applyFill="1" applyBorder="1" applyAlignment="1"/>
    <xf numFmtId="166" fontId="44" fillId="0" borderId="0" xfId="0" quotePrefix="1" applyNumberFormat="1" applyFont="1" applyAlignment="1">
      <alignment horizontal="left"/>
    </xf>
    <xf numFmtId="166" fontId="44" fillId="0" borderId="0" xfId="0" quotePrefix="1" applyNumberFormat="1" applyFont="1" applyFill="1" applyAlignment="1">
      <alignment horizontal="left"/>
    </xf>
    <xf numFmtId="37" fontId="39" fillId="0" borderId="0" xfId="0" applyNumberFormat="1" applyFont="1" applyFill="1" applyAlignment="1">
      <alignment horizontal="left"/>
    </xf>
    <xf numFmtId="174" fontId="44" fillId="0" borderId="17" xfId="0" applyNumberFormat="1" applyFont="1" applyFill="1" applyBorder="1" applyAlignment="1"/>
    <xf numFmtId="174" fontId="44" fillId="0" borderId="0" xfId="0" applyNumberFormat="1" applyFont="1" applyFill="1" applyAlignment="1"/>
    <xf numFmtId="174" fontId="59" fillId="0" borderId="17" xfId="0" applyNumberFormat="1" applyFont="1" applyFill="1" applyBorder="1" applyAlignment="1"/>
    <xf numFmtId="174" fontId="59" fillId="0" borderId="0" xfId="0" applyNumberFormat="1" applyFont="1" applyFill="1" applyAlignment="1"/>
    <xf numFmtId="174" fontId="59" fillId="0" borderId="0" xfId="0" applyNumberFormat="1" applyFont="1" applyFill="1" applyBorder="1" applyAlignment="1"/>
    <xf numFmtId="169" fontId="44" fillId="0" borderId="0" xfId="0" applyNumberFormat="1" applyFont="1" applyFill="1" applyBorder="1" applyAlignment="1"/>
    <xf numFmtId="166" fontId="47" fillId="0" borderId="0" xfId="0" applyNumberFormat="1" applyFont="1" applyBorder="1" applyAlignment="1"/>
    <xf numFmtId="166" fontId="40" fillId="0" borderId="0" xfId="0" applyNumberFormat="1" applyFont="1" applyBorder="1" applyAlignment="1"/>
    <xf numFmtId="165" fontId="40" fillId="0" borderId="0" xfId="0" applyNumberFormat="1" applyFont="1" applyFill="1" applyAlignment="1"/>
    <xf numFmtId="166" fontId="45" fillId="0" borderId="0" xfId="0" applyNumberFormat="1" applyFont="1" applyBorder="1" applyAlignment="1">
      <alignment horizontal="left"/>
    </xf>
    <xf numFmtId="165" fontId="45" fillId="0" borderId="0" xfId="0" applyNumberFormat="1" applyFont="1" applyBorder="1" applyAlignment="1"/>
    <xf numFmtId="165" fontId="46" fillId="0" borderId="0" xfId="0" applyNumberFormat="1" applyFont="1" applyBorder="1" applyAlignment="1"/>
    <xf numFmtId="0" fontId="44" fillId="0" borderId="0" xfId="2" applyNumberFormat="1" applyFont="1" applyAlignment="1"/>
    <xf numFmtId="165" fontId="39" fillId="0" borderId="0" xfId="2" applyNumberFormat="1" applyFont="1" applyAlignment="1"/>
    <xf numFmtId="0" fontId="39" fillId="0" borderId="0" xfId="2" applyNumberFormat="1" applyFont="1" applyAlignment="1"/>
    <xf numFmtId="165" fontId="39" fillId="0" borderId="0" xfId="2" applyNumberFormat="1" applyFont="1" applyAlignment="1" applyProtection="1">
      <protection locked="0"/>
    </xf>
    <xf numFmtId="165" fontId="39" fillId="0" borderId="0" xfId="2" applyNumberFormat="1" applyFont="1" applyBorder="1" applyAlignment="1" applyProtection="1">
      <protection locked="0"/>
    </xf>
    <xf numFmtId="0" fontId="39" fillId="0" borderId="0" xfId="2" applyFont="1"/>
    <xf numFmtId="0" fontId="44" fillId="0" borderId="0" xfId="2" quotePrefix="1" applyNumberFormat="1" applyFont="1" applyAlignment="1">
      <alignment horizontal="left"/>
    </xf>
    <xf numFmtId="0" fontId="39" fillId="0" borderId="0" xfId="2" applyNumberFormat="1" applyFont="1" applyBorder="1" applyAlignment="1"/>
    <xf numFmtId="165" fontId="39" fillId="0" borderId="0" xfId="2" applyNumberFormat="1" applyFont="1" applyBorder="1" applyAlignment="1"/>
    <xf numFmtId="0" fontId="64" fillId="0" borderId="0" xfId="2" applyNumberFormat="1" applyFont="1" applyAlignment="1"/>
    <xf numFmtId="165" fontId="64" fillId="0" borderId="0" xfId="2" applyNumberFormat="1" applyFont="1" applyBorder="1" applyAlignment="1" applyProtection="1">
      <alignment horizontal="center"/>
      <protection locked="0"/>
    </xf>
    <xf numFmtId="165" fontId="64" fillId="0" borderId="0" xfId="2" applyNumberFormat="1" applyFont="1" applyAlignment="1" applyProtection="1">
      <protection locked="0"/>
    </xf>
    <xf numFmtId="165" fontId="64" fillId="0" borderId="0" xfId="2" applyNumberFormat="1" applyFont="1" applyAlignment="1"/>
    <xf numFmtId="0" fontId="39" fillId="0" borderId="20" xfId="2" applyNumberFormat="1" applyFont="1" applyBorder="1" applyAlignment="1"/>
    <xf numFmtId="165" fontId="39" fillId="0" borderId="20" xfId="2" applyNumberFormat="1" applyFont="1" applyBorder="1" applyAlignment="1"/>
    <xf numFmtId="165" fontId="64" fillId="0" borderId="0" xfId="2" applyNumberFormat="1" applyFont="1" applyBorder="1" applyAlignment="1" applyProtection="1">
      <protection locked="0"/>
    </xf>
    <xf numFmtId="0" fontId="39" fillId="0" borderId="21" xfId="2" applyNumberFormat="1" applyFont="1" applyBorder="1" applyAlignment="1"/>
    <xf numFmtId="0" fontId="39" fillId="0" borderId="22" xfId="2" applyNumberFormat="1" applyFont="1" applyBorder="1" applyAlignment="1"/>
    <xf numFmtId="175" fontId="39" fillId="0" borderId="0" xfId="2" applyNumberFormat="1" applyFont="1" applyAlignment="1"/>
    <xf numFmtId="175" fontId="39" fillId="0" borderId="21" xfId="2" applyNumberFormat="1" applyFont="1" applyBorder="1" applyAlignment="1"/>
    <xf numFmtId="175" fontId="39" fillId="0" borderId="0" xfId="2" applyNumberFormat="1" applyFont="1" applyBorder="1" applyAlignment="1"/>
    <xf numFmtId="174" fontId="39" fillId="0" borderId="0" xfId="2" applyNumberFormat="1" applyFont="1" applyAlignment="1"/>
    <xf numFmtId="174" fontId="39" fillId="0" borderId="0" xfId="2" applyNumberFormat="1" applyFont="1" applyBorder="1" applyAlignment="1"/>
    <xf numFmtId="168" fontId="64" fillId="0" borderId="0" xfId="2" applyNumberFormat="1" applyFont="1" applyAlignment="1"/>
    <xf numFmtId="169" fontId="39" fillId="0" borderId="0" xfId="2" applyNumberFormat="1" applyFont="1" applyBorder="1" applyAlignment="1"/>
    <xf numFmtId="168" fontId="64" fillId="0" borderId="0" xfId="2" applyNumberFormat="1" applyFont="1" applyAlignment="1" applyProtection="1">
      <protection locked="0"/>
    </xf>
    <xf numFmtId="0" fontId="39" fillId="0" borderId="0" xfId="2" quotePrefix="1" applyNumberFormat="1" applyFont="1" applyAlignment="1">
      <alignment horizontal="left"/>
    </xf>
    <xf numFmtId="170" fontId="64" fillId="0" borderId="0" xfId="2" applyNumberFormat="1" applyFont="1" applyAlignment="1"/>
    <xf numFmtId="170" fontId="39" fillId="0" borderId="0" xfId="2" applyNumberFormat="1" applyFont="1" applyBorder="1" applyAlignment="1"/>
    <xf numFmtId="170" fontId="39" fillId="0" borderId="21" xfId="2" applyNumberFormat="1" applyFont="1" applyBorder="1" applyAlignment="1"/>
    <xf numFmtId="170" fontId="0" fillId="0" borderId="0" xfId="2" applyNumberFormat="1" applyFont="1" applyBorder="1"/>
    <xf numFmtId="170" fontId="39" fillId="0" borderId="18" xfId="2" applyNumberFormat="1" applyFont="1" applyBorder="1" applyAlignment="1"/>
    <xf numFmtId="166" fontId="39" fillId="0" borderId="0" xfId="2" applyNumberFormat="1" applyFont="1" applyBorder="1" applyAlignment="1"/>
    <xf numFmtId="170" fontId="39" fillId="0" borderId="0" xfId="2" quotePrefix="1" applyNumberFormat="1" applyFont="1" applyBorder="1" applyAlignment="1"/>
    <xf numFmtId="170" fontId="39" fillId="0" borderId="0" xfId="2" applyNumberFormat="1" applyFont="1" applyBorder="1" applyAlignment="1">
      <alignment horizontal="center"/>
    </xf>
    <xf numFmtId="170" fontId="44" fillId="0" borderId="16" xfId="2" applyNumberFormat="1" applyFont="1" applyBorder="1" applyAlignment="1"/>
    <xf numFmtId="170" fontId="44" fillId="0" borderId="0" xfId="2" applyNumberFormat="1" applyFont="1" applyAlignment="1"/>
    <xf numFmtId="170" fontId="44" fillId="0" borderId="26" xfId="2" applyNumberFormat="1" applyFont="1" applyBorder="1" applyAlignment="1"/>
    <xf numFmtId="170" fontId="44" fillId="0" borderId="21" xfId="2" applyNumberFormat="1" applyFont="1" applyBorder="1" applyAlignment="1"/>
    <xf numFmtId="165" fontId="65" fillId="0" borderId="0" xfId="2" applyNumberFormat="1" applyFont="1" applyAlignment="1"/>
    <xf numFmtId="170" fontId="39" fillId="0" borderId="0" xfId="2" applyNumberFormat="1" applyFont="1" applyAlignment="1"/>
    <xf numFmtId="170" fontId="39" fillId="0" borderId="0" xfId="2" applyNumberFormat="1" applyFont="1" applyFill="1" applyBorder="1" applyAlignment="1"/>
    <xf numFmtId="170" fontId="39" fillId="0" borderId="0" xfId="2" applyNumberFormat="1" applyFont="1" applyFill="1" applyBorder="1" applyAlignment="1">
      <alignment horizontal="center"/>
    </xf>
    <xf numFmtId="170" fontId="39" fillId="0" borderId="0" xfId="2" quotePrefix="1" applyNumberFormat="1" applyFont="1" applyBorder="1" applyAlignment="1">
      <alignment horizontal="right"/>
    </xf>
    <xf numFmtId="170" fontId="39" fillId="0" borderId="0" xfId="2" quotePrefix="1" applyNumberFormat="1" applyFont="1" applyBorder="1" applyAlignment="1">
      <alignment horizontal="center"/>
    </xf>
    <xf numFmtId="170" fontId="39" fillId="0" borderId="0" xfId="2" applyNumberFormat="1" applyFont="1" applyAlignment="1">
      <alignment horizontal="center"/>
    </xf>
    <xf numFmtId="170" fontId="39" fillId="0" borderId="0" xfId="2" applyNumberFormat="1" applyFont="1" applyFill="1" applyBorder="1" applyAlignment="1">
      <alignment horizontal="right"/>
    </xf>
    <xf numFmtId="170" fontId="44" fillId="0" borderId="29" xfId="2" applyNumberFormat="1" applyFont="1" applyBorder="1" applyAlignment="1"/>
    <xf numFmtId="170" fontId="44" fillId="0" borderId="30" xfId="2" applyNumberFormat="1" applyFont="1" applyBorder="1" applyAlignment="1"/>
    <xf numFmtId="170" fontId="44" fillId="0" borderId="10" xfId="2" quotePrefix="1" applyNumberFormat="1" applyFont="1" applyBorder="1" applyAlignment="1">
      <alignment horizontal="center"/>
    </xf>
    <xf numFmtId="170" fontId="44" fillId="0" borderId="10" xfId="2" applyNumberFormat="1" applyFont="1" applyBorder="1" applyAlignment="1"/>
    <xf numFmtId="170" fontId="44" fillId="0" borderId="25" xfId="2" applyNumberFormat="1" applyFont="1" applyBorder="1" applyAlignment="1"/>
    <xf numFmtId="170" fontId="44" fillId="0" borderId="0" xfId="2" applyNumberFormat="1" applyFont="1" applyBorder="1" applyAlignment="1"/>
    <xf numFmtId="170" fontId="39" fillId="0" borderId="0" xfId="2" applyNumberFormat="1" applyFont="1" applyAlignment="1">
      <alignment horizontal="right"/>
    </xf>
    <xf numFmtId="170" fontId="39" fillId="0" borderId="0" xfId="2" applyNumberFormat="1" applyFont="1" applyBorder="1" applyAlignment="1">
      <alignment horizontal="right"/>
    </xf>
    <xf numFmtId="170" fontId="39" fillId="0" borderId="13" xfId="2" applyNumberFormat="1" applyFont="1" applyBorder="1" applyAlignment="1"/>
    <xf numFmtId="175" fontId="39" fillId="0" borderId="0" xfId="2" quotePrefix="1" applyNumberFormat="1" applyFont="1" applyBorder="1" applyAlignment="1">
      <alignment horizontal="center"/>
    </xf>
    <xf numFmtId="175" fontId="39" fillId="0" borderId="0" xfId="2" quotePrefix="1" applyNumberFormat="1" applyFont="1" applyBorder="1" applyAlignment="1"/>
    <xf numFmtId="170" fontId="39" fillId="0" borderId="10" xfId="2" quotePrefix="1" applyNumberFormat="1" applyFont="1" applyBorder="1" applyAlignment="1">
      <alignment horizontal="center"/>
    </xf>
    <xf numFmtId="170" fontId="39" fillId="0" borderId="10" xfId="2" quotePrefix="1" applyNumberFormat="1" applyFont="1" applyBorder="1" applyAlignment="1"/>
    <xf numFmtId="170" fontId="44" fillId="0" borderId="0" xfId="2" quotePrefix="1" applyNumberFormat="1" applyFont="1" applyBorder="1" applyAlignment="1">
      <alignment horizontal="center"/>
    </xf>
    <xf numFmtId="170" fontId="44" fillId="0" borderId="0" xfId="2" applyNumberFormat="1" applyFont="1" applyAlignment="1">
      <alignment horizontal="center"/>
    </xf>
    <xf numFmtId="170" fontId="44" fillId="0" borderId="16" xfId="2" quotePrefix="1" applyNumberFormat="1" applyFont="1" applyBorder="1" applyAlignment="1"/>
    <xf numFmtId="170" fontId="44" fillId="0" borderId="0" xfId="2" applyNumberFormat="1" applyFont="1" applyAlignment="1">
      <alignment horizontal="right"/>
    </xf>
    <xf numFmtId="170" fontId="44" fillId="0" borderId="32" xfId="2" quotePrefix="1" applyNumberFormat="1" applyFont="1" applyBorder="1" applyAlignment="1">
      <alignment horizontal="right"/>
    </xf>
    <xf numFmtId="170" fontId="44" fillId="0" borderId="27" xfId="2" quotePrefix="1" applyNumberFormat="1" applyFont="1" applyBorder="1" applyAlignment="1"/>
    <xf numFmtId="175" fontId="39" fillId="0" borderId="0" xfId="2" quotePrefix="1" applyNumberFormat="1" applyFont="1" applyBorder="1" applyAlignment="1">
      <alignment horizontal="right"/>
    </xf>
    <xf numFmtId="170" fontId="39" fillId="0" borderId="20" xfId="2" applyNumberFormat="1" applyFont="1" applyBorder="1" applyAlignment="1"/>
    <xf numFmtId="170" fontId="44" fillId="0" borderId="0" xfId="2" applyNumberFormat="1" applyFont="1" applyAlignment="1">
      <alignment vertical="center"/>
    </xf>
    <xf numFmtId="170" fontId="44" fillId="0" borderId="14" xfId="2" applyNumberFormat="1" applyFont="1" applyBorder="1" applyAlignment="1"/>
    <xf numFmtId="175" fontId="44" fillId="0" borderId="0" xfId="2" applyNumberFormat="1" applyFont="1" applyBorder="1" applyAlignment="1"/>
    <xf numFmtId="165" fontId="65" fillId="0" borderId="0" xfId="2" applyNumberFormat="1" applyFont="1" applyAlignment="1" applyProtection="1">
      <protection locked="0"/>
    </xf>
    <xf numFmtId="174" fontId="44" fillId="0" borderId="20" xfId="2" applyNumberFormat="1" applyFont="1" applyBorder="1" applyAlignment="1"/>
    <xf numFmtId="174" fontId="44" fillId="0" borderId="0" xfId="2" applyNumberFormat="1" applyFont="1" applyAlignment="1"/>
    <xf numFmtId="174" fontId="44" fillId="0" borderId="21" xfId="2" applyNumberFormat="1" applyFont="1" applyBorder="1" applyAlignment="1"/>
    <xf numFmtId="174" fontId="44" fillId="0" borderId="22" xfId="2" applyNumberFormat="1" applyFont="1" applyBorder="1" applyAlignment="1"/>
    <xf numFmtId="174" fontId="44" fillId="0" borderId="34" xfId="2" applyNumberFormat="1" applyFont="1" applyBorder="1" applyAlignment="1"/>
    <xf numFmtId="174" fontId="44" fillId="0" borderId="35" xfId="2" applyNumberFormat="1" applyFont="1" applyBorder="1" applyAlignment="1"/>
    <xf numFmtId="169" fontId="39" fillId="0" borderId="0" xfId="2" applyNumberFormat="1" applyFont="1" applyAlignment="1"/>
    <xf numFmtId="168" fontId="64" fillId="0" borderId="0" xfId="2" applyNumberFormat="1" applyFont="1" applyBorder="1" applyAlignment="1" applyProtection="1">
      <protection locked="0"/>
    </xf>
    <xf numFmtId="0" fontId="0" fillId="0" borderId="0" xfId="2" applyFont="1"/>
    <xf numFmtId="166" fontId="66" fillId="0" borderId="0" xfId="2" applyNumberFormat="1" applyFont="1" applyAlignment="1"/>
    <xf numFmtId="0" fontId="64" fillId="0" borderId="0" xfId="2" applyNumberFormat="1" applyFont="1" applyBorder="1" applyAlignment="1"/>
    <xf numFmtId="165" fontId="64" fillId="0" borderId="0" xfId="2" applyNumberFormat="1" applyFont="1" applyBorder="1" applyAlignment="1"/>
    <xf numFmtId="0" fontId="44" fillId="0" borderId="0" xfId="2" applyNumberFormat="1" applyFont="1" applyFill="1" applyAlignment="1"/>
    <xf numFmtId="165" fontId="39" fillId="0" borderId="0" xfId="2" applyNumberFormat="1" applyFont="1" applyFill="1" applyAlignment="1"/>
    <xf numFmtId="0" fontId="39" fillId="0" borderId="0" xfId="2" applyNumberFormat="1" applyFont="1" applyFill="1" applyAlignment="1"/>
    <xf numFmtId="0" fontId="44" fillId="0" borderId="0" xfId="2" quotePrefix="1" applyNumberFormat="1" applyFont="1" applyFill="1" applyAlignment="1">
      <alignment horizontal="left"/>
    </xf>
    <xf numFmtId="0" fontId="39" fillId="0" borderId="0" xfId="2" applyNumberFormat="1" applyFont="1" applyFill="1" applyBorder="1" applyAlignment="1"/>
    <xf numFmtId="0" fontId="44" fillId="0" borderId="0" xfId="2" applyNumberFormat="1" applyFont="1" applyFill="1" applyAlignment="1">
      <alignment horizontal="centerContinuous"/>
    </xf>
    <xf numFmtId="170" fontId="44" fillId="0" borderId="16" xfId="2" applyNumberFormat="1" applyFont="1" applyFill="1" applyBorder="1" applyAlignment="1">
      <alignment horizontal="right"/>
    </xf>
    <xf numFmtId="170" fontId="44" fillId="0" borderId="0" xfId="2" applyNumberFormat="1" applyFont="1" applyFill="1" applyAlignment="1"/>
    <xf numFmtId="170" fontId="44" fillId="0" borderId="10" xfId="2" applyNumberFormat="1" applyFont="1" applyFill="1" applyBorder="1" applyAlignment="1"/>
    <xf numFmtId="170" fontId="44" fillId="0" borderId="32" xfId="2" applyNumberFormat="1" applyFont="1" applyFill="1" applyBorder="1" applyAlignment="1">
      <alignment horizontal="right"/>
    </xf>
    <xf numFmtId="170" fontId="44" fillId="0" borderId="0" xfId="2" applyNumberFormat="1" applyFont="1" applyFill="1" applyBorder="1" applyAlignment="1"/>
    <xf numFmtId="170" fontId="44" fillId="0" borderId="27" xfId="2" applyNumberFormat="1" applyFont="1" applyFill="1" applyBorder="1" applyAlignment="1">
      <alignment horizontal="right"/>
    </xf>
    <xf numFmtId="166" fontId="39" fillId="0" borderId="0" xfId="2" applyNumberFormat="1" applyFont="1" applyFill="1" applyBorder="1" applyAlignment="1"/>
    <xf numFmtId="170" fontId="39" fillId="0" borderId="0" xfId="2" applyNumberFormat="1" applyFont="1" applyFill="1" applyAlignment="1"/>
    <xf numFmtId="170" fontId="39" fillId="0" borderId="0" xfId="2" applyNumberFormat="1" applyFont="1" applyFill="1" applyAlignment="1">
      <alignment horizontal="right"/>
    </xf>
    <xf numFmtId="170" fontId="64" fillId="0" borderId="0" xfId="2" applyNumberFormat="1" applyFont="1" applyFill="1" applyAlignment="1">
      <alignment horizontal="right"/>
    </xf>
    <xf numFmtId="170" fontId="44" fillId="0" borderId="10" xfId="2" applyNumberFormat="1" applyFont="1" applyFill="1" applyBorder="1" applyAlignment="1">
      <alignment horizontal="right"/>
    </xf>
    <xf numFmtId="170" fontId="44" fillId="0" borderId="12" xfId="2" applyNumberFormat="1" applyFont="1" applyFill="1" applyBorder="1" applyAlignment="1">
      <alignment horizontal="right"/>
    </xf>
    <xf numFmtId="170" fontId="44" fillId="0" borderId="11" xfId="2" applyNumberFormat="1" applyFont="1" applyFill="1" applyBorder="1" applyAlignment="1">
      <alignment horizontal="right"/>
    </xf>
    <xf numFmtId="170" fontId="44" fillId="0" borderId="16" xfId="2" applyNumberFormat="1" applyFont="1" applyFill="1" applyBorder="1" applyAlignment="1">
      <alignment horizontal="center"/>
    </xf>
    <xf numFmtId="170" fontId="44" fillId="0" borderId="32" xfId="2" applyNumberFormat="1" applyFont="1" applyFill="1" applyBorder="1" applyAlignment="1">
      <alignment horizontal="center"/>
    </xf>
    <xf numFmtId="170" fontId="44" fillId="0" borderId="27" xfId="2" applyNumberFormat="1" applyFont="1" applyFill="1" applyBorder="1" applyAlignment="1">
      <alignment horizontal="center"/>
    </xf>
    <xf numFmtId="170" fontId="39" fillId="0" borderId="20" xfId="2" applyNumberFormat="1" applyFont="1" applyFill="1" applyBorder="1" applyAlignment="1"/>
    <xf numFmtId="170" fontId="39" fillId="0" borderId="0" xfId="2" applyNumberFormat="1" applyFont="1" applyFill="1" applyAlignment="1">
      <alignment horizontal="center"/>
    </xf>
    <xf numFmtId="170" fontId="44" fillId="0" borderId="0" xfId="2" quotePrefix="1" applyNumberFormat="1" applyFont="1" applyFill="1" applyBorder="1" applyAlignment="1">
      <alignment horizontal="right"/>
    </xf>
    <xf numFmtId="170" fontId="44" fillId="0" borderId="13" xfId="2" quotePrefix="1" applyNumberFormat="1" applyFont="1" applyFill="1" applyBorder="1" applyAlignment="1">
      <alignment horizontal="right"/>
    </xf>
    <xf numFmtId="170" fontId="44" fillId="0" borderId="28" xfId="2" quotePrefix="1" applyNumberFormat="1" applyFont="1" applyFill="1" applyBorder="1" applyAlignment="1">
      <alignment horizontal="right"/>
    </xf>
    <xf numFmtId="170" fontId="44" fillId="0" borderId="10" xfId="2" quotePrefix="1" applyNumberFormat="1" applyFont="1" applyFill="1" applyBorder="1" applyAlignment="1">
      <alignment horizontal="right"/>
    </xf>
    <xf numFmtId="170" fontId="44" fillId="0" borderId="13" xfId="2" applyNumberFormat="1" applyFont="1" applyFill="1" applyBorder="1" applyAlignment="1">
      <alignment horizontal="right"/>
    </xf>
    <xf numFmtId="170" fontId="44" fillId="0" borderId="28" xfId="2" applyNumberFormat="1" applyFont="1" applyFill="1" applyBorder="1" applyAlignment="1">
      <alignment horizontal="right"/>
    </xf>
    <xf numFmtId="174" fontId="44" fillId="0" borderId="20" xfId="2" applyNumberFormat="1" applyFont="1" applyFill="1" applyBorder="1" applyAlignment="1">
      <alignment horizontal="right"/>
    </xf>
    <xf numFmtId="174" fontId="44" fillId="0" borderId="0" xfId="2" applyNumberFormat="1" applyFont="1" applyFill="1" applyAlignment="1"/>
    <xf numFmtId="174" fontId="44" fillId="0" borderId="20" xfId="2" applyNumberFormat="1" applyFont="1" applyFill="1" applyBorder="1" applyAlignment="1"/>
    <xf numFmtId="174" fontId="44" fillId="0" borderId="0" xfId="2" applyNumberFormat="1" applyFont="1" applyFill="1" applyAlignment="1">
      <alignment horizontal="center"/>
    </xf>
    <xf numFmtId="174" fontId="44" fillId="0" borderId="39" xfId="2" applyNumberFormat="1" applyFont="1" applyFill="1" applyBorder="1" applyAlignment="1">
      <alignment horizontal="right"/>
    </xf>
    <xf numFmtId="174" fontId="44" fillId="0" borderId="0" xfId="2" applyNumberFormat="1" applyFont="1" applyFill="1" applyBorder="1" applyAlignment="1"/>
    <xf numFmtId="166" fontId="39" fillId="0" borderId="0" xfId="2" applyNumberFormat="1" applyFont="1" applyFill="1" applyAlignment="1"/>
    <xf numFmtId="0" fontId="67" fillId="33" borderId="0" xfId="2" applyNumberFormat="1" applyFont="1" applyFill="1" applyAlignment="1">
      <alignment horizontal="left"/>
    </xf>
    <xf numFmtId="37" fontId="42" fillId="33" borderId="0" xfId="2" applyNumberFormat="1" applyFont="1" applyFill="1" applyAlignment="1"/>
    <xf numFmtId="37" fontId="42" fillId="0" borderId="0" xfId="2" applyNumberFormat="1" applyFont="1" applyAlignment="1"/>
    <xf numFmtId="37" fontId="68" fillId="0" borderId="0" xfId="2" applyNumberFormat="1" applyFont="1" applyFill="1" applyAlignment="1">
      <alignment horizontal="center"/>
    </xf>
    <xf numFmtId="37" fontId="69" fillId="0" borderId="0" xfId="2" applyNumberFormat="1" applyFont="1" applyFill="1" applyAlignment="1">
      <alignment horizontal="center"/>
    </xf>
    <xf numFmtId="37" fontId="70" fillId="0" borderId="0" xfId="2" applyNumberFormat="1" applyFont="1" applyFill="1" applyAlignment="1"/>
    <xf numFmtId="0" fontId="67" fillId="0" borderId="0" xfId="2" quotePrefix="1" applyNumberFormat="1" applyFont="1" applyFill="1" applyAlignment="1" applyProtection="1">
      <alignment horizontal="left"/>
      <protection locked="0"/>
    </xf>
    <xf numFmtId="37" fontId="42" fillId="0" borderId="0" xfId="2" applyNumberFormat="1" applyFont="1" applyFill="1" applyBorder="1" applyAlignment="1"/>
    <xf numFmtId="37" fontId="42" fillId="0" borderId="0" xfId="2" applyNumberFormat="1" applyFont="1" applyFill="1" applyAlignment="1"/>
    <xf numFmtId="0" fontId="62" fillId="0" borderId="0" xfId="2" applyNumberFormat="1" applyFont="1" applyAlignment="1"/>
    <xf numFmtId="0" fontId="40" fillId="0" borderId="0" xfId="2" applyNumberFormat="1" applyFont="1" applyAlignment="1"/>
    <xf numFmtId="37" fontId="44" fillId="0" borderId="0" xfId="2" applyNumberFormat="1" applyFont="1" applyBorder="1" applyAlignment="1"/>
    <xf numFmtId="37" fontId="44" fillId="0" borderId="0" xfId="2" applyNumberFormat="1" applyFont="1" applyAlignment="1"/>
    <xf numFmtId="37" fontId="44" fillId="0" borderId="0" xfId="2" applyNumberFormat="1" applyFont="1" applyAlignment="1">
      <alignment horizontal="center"/>
    </xf>
    <xf numFmtId="37" fontId="44" fillId="0" borderId="0" xfId="2" quotePrefix="1" applyNumberFormat="1" applyFont="1" applyAlignment="1">
      <alignment horizontal="center"/>
    </xf>
    <xf numFmtId="3" fontId="42" fillId="0" borderId="0" xfId="2" applyNumberFormat="1" applyFont="1" applyAlignment="1"/>
    <xf numFmtId="37" fontId="42" fillId="0" borderId="0" xfId="2" applyNumberFormat="1" applyFont="1" applyBorder="1" applyAlignment="1"/>
    <xf numFmtId="37" fontId="42" fillId="0" borderId="20" xfId="2" applyNumberFormat="1" applyFont="1" applyBorder="1" applyAlignment="1"/>
    <xf numFmtId="37" fontId="39" fillId="0" borderId="0" xfId="2" applyNumberFormat="1" applyFont="1" applyBorder="1" applyAlignment="1"/>
    <xf numFmtId="37" fontId="39" fillId="0" borderId="0" xfId="2" applyNumberFormat="1" applyFont="1" applyAlignment="1"/>
    <xf numFmtId="37" fontId="39" fillId="0" borderId="0" xfId="2" applyNumberFormat="1" applyFont="1" applyAlignment="1">
      <alignment horizontal="right"/>
    </xf>
    <xf numFmtId="5" fontId="39" fillId="0" borderId="0" xfId="2" applyNumberFormat="1" applyFont="1" applyAlignment="1"/>
    <xf numFmtId="0" fontId="39" fillId="0" borderId="0" xfId="2" applyNumberFormat="1" applyFont="1" applyAlignment="1">
      <alignment horizontal="left"/>
    </xf>
    <xf numFmtId="174" fontId="39" fillId="0" borderId="0" xfId="2" applyNumberFormat="1" applyFont="1" applyAlignment="1">
      <alignment horizontal="right"/>
    </xf>
    <xf numFmtId="37" fontId="39" fillId="0" borderId="0" xfId="2" quotePrefix="1" applyNumberFormat="1" applyFont="1" applyAlignment="1">
      <alignment horizontal="center"/>
    </xf>
    <xf numFmtId="166" fontId="39" fillId="0" borderId="0" xfId="2" applyNumberFormat="1" applyFont="1" applyAlignment="1"/>
    <xf numFmtId="166" fontId="44" fillId="0" borderId="0" xfId="2" applyNumberFormat="1" applyFont="1" applyBorder="1" applyAlignment="1"/>
    <xf numFmtId="166" fontId="0" fillId="0" borderId="0" xfId="2" applyNumberFormat="1" applyFont="1"/>
    <xf numFmtId="166" fontId="39" fillId="0" borderId="20" xfId="2" applyNumberFormat="1" applyFont="1" applyBorder="1" applyAlignment="1"/>
    <xf numFmtId="166" fontId="39" fillId="0" borderId="0" xfId="2" applyNumberFormat="1" applyFont="1" applyAlignment="1">
      <alignment horizontal="right"/>
    </xf>
    <xf numFmtId="170" fontId="39" fillId="0" borderId="0" xfId="2" quotePrefix="1" applyNumberFormat="1" applyFont="1" applyAlignment="1">
      <alignment horizontal="center"/>
    </xf>
    <xf numFmtId="166" fontId="39" fillId="0" borderId="0" xfId="2" quotePrefix="1" applyNumberFormat="1" applyFont="1" applyAlignment="1">
      <alignment horizontal="center"/>
    </xf>
    <xf numFmtId="166" fontId="39" fillId="0" borderId="0" xfId="2" applyNumberFormat="1" applyFont="1" applyBorder="1" applyAlignment="1">
      <alignment horizontal="right"/>
    </xf>
    <xf numFmtId="0" fontId="44" fillId="0" borderId="0" xfId="2" applyNumberFormat="1" applyFont="1" applyAlignment="1">
      <alignment horizontal="left"/>
    </xf>
    <xf numFmtId="37" fontId="44" fillId="0" borderId="0" xfId="2" applyNumberFormat="1" applyFont="1" applyBorder="1" applyAlignment="1">
      <alignment horizontal="right"/>
    </xf>
    <xf numFmtId="37" fontId="44" fillId="0" borderId="0" xfId="2" applyNumberFormat="1" applyFont="1" applyAlignment="1">
      <alignment horizontal="right"/>
    </xf>
    <xf numFmtId="37" fontId="39" fillId="0" borderId="0" xfId="2" applyNumberFormat="1" applyFont="1" applyBorder="1"/>
    <xf numFmtId="37" fontId="39" fillId="0" borderId="0" xfId="2" applyNumberFormat="1" applyFont="1"/>
    <xf numFmtId="166" fontId="39" fillId="0" borderId="0" xfId="2" applyNumberFormat="1" applyFont="1" applyBorder="1"/>
    <xf numFmtId="3" fontId="39" fillId="0" borderId="0" xfId="2" applyNumberFormat="1" applyFont="1" applyAlignment="1"/>
    <xf numFmtId="3" fontId="44" fillId="0" borderId="0" xfId="2" applyNumberFormat="1" applyFont="1" applyAlignment="1">
      <alignment horizontal="right"/>
    </xf>
    <xf numFmtId="174" fontId="44" fillId="0" borderId="0" xfId="2" applyNumberFormat="1" applyFont="1" applyAlignment="1">
      <alignment horizontal="right"/>
    </xf>
    <xf numFmtId="169" fontId="44" fillId="0" borderId="0" xfId="2" applyNumberFormat="1" applyFont="1" applyBorder="1" applyAlignment="1"/>
    <xf numFmtId="166" fontId="64" fillId="0" borderId="0" xfId="2" quotePrefix="1" applyNumberFormat="1" applyFont="1" applyAlignment="1">
      <alignment horizontal="left"/>
    </xf>
    <xf numFmtId="166" fontId="72" fillId="0" borderId="0" xfId="2" quotePrefix="1" applyNumberFormat="1" applyFont="1" applyAlignment="1">
      <alignment horizontal="left"/>
    </xf>
    <xf numFmtId="0" fontId="73" fillId="0" borderId="0" xfId="2" applyNumberFormat="1" applyFont="1" applyAlignment="1"/>
    <xf numFmtId="37" fontId="66" fillId="0" borderId="0" xfId="2" applyNumberFormat="1" applyFont="1" applyBorder="1"/>
    <xf numFmtId="37" fontId="66" fillId="0" borderId="0" xfId="2" applyNumberFormat="1" applyFont="1"/>
    <xf numFmtId="0" fontId="74" fillId="0" borderId="0" xfId="2" applyNumberFormat="1" applyFont="1" applyFill="1" applyAlignment="1"/>
    <xf numFmtId="37" fontId="66" fillId="0" borderId="0" xfId="2" applyNumberFormat="1" applyFont="1" applyFill="1" applyBorder="1"/>
    <xf numFmtId="37" fontId="66" fillId="0" borderId="0" xfId="2" applyNumberFormat="1" applyFont="1" applyAlignment="1"/>
    <xf numFmtId="0" fontId="67" fillId="0" borderId="0" xfId="2" applyNumberFormat="1" applyFont="1" applyFill="1" applyAlignment="1">
      <alignment horizontal="left"/>
    </xf>
    <xf numFmtId="37" fontId="67" fillId="0" borderId="0" xfId="2" applyNumberFormat="1" applyFont="1" applyBorder="1" applyAlignment="1">
      <alignment horizontal="right"/>
    </xf>
    <xf numFmtId="0" fontId="62" fillId="0" borderId="0" xfId="2" applyNumberFormat="1" applyFont="1" applyFill="1" applyAlignment="1"/>
    <xf numFmtId="37" fontId="44" fillId="0" borderId="0" xfId="2" applyNumberFormat="1" applyFont="1" applyBorder="1" applyAlignment="1">
      <alignment horizontal="centerContinuous"/>
    </xf>
    <xf numFmtId="37" fontId="44" fillId="0" borderId="0" xfId="2" applyNumberFormat="1" applyFont="1" applyBorder="1" applyAlignment="1">
      <alignment horizontal="left"/>
    </xf>
    <xf numFmtId="0" fontId="44" fillId="0" borderId="0" xfId="2" applyFont="1" applyFill="1" applyBorder="1" applyAlignment="1">
      <alignment horizontal="center"/>
    </xf>
    <xf numFmtId="0" fontId="75" fillId="0" borderId="0" xfId="2" applyFont="1" applyFill="1" applyBorder="1" applyAlignment="1">
      <alignment horizontal="center"/>
    </xf>
    <xf numFmtId="37" fontId="44" fillId="0" borderId="0" xfId="2" applyNumberFormat="1" applyFont="1" applyFill="1" applyAlignment="1"/>
    <xf numFmtId="37" fontId="44" fillId="0" borderId="0" xfId="2" applyNumberFormat="1" applyFont="1" applyFill="1" applyAlignment="1">
      <alignment horizontal="center"/>
    </xf>
    <xf numFmtId="37" fontId="44" fillId="0" borderId="0" xfId="2" quotePrefix="1" applyNumberFormat="1" applyFont="1" applyBorder="1" applyAlignment="1">
      <alignment horizontal="center"/>
    </xf>
    <xf numFmtId="37" fontId="44" fillId="0" borderId="0" xfId="2" applyNumberFormat="1" applyFont="1" applyBorder="1" applyAlignment="1">
      <alignment horizontal="center"/>
    </xf>
    <xf numFmtId="37" fontId="71" fillId="0" borderId="0" xfId="2" quotePrefix="1" applyNumberFormat="1" applyFont="1" applyBorder="1" applyAlignment="1">
      <alignment horizontal="centerContinuous"/>
    </xf>
    <xf numFmtId="37" fontId="64" fillId="0" borderId="0" xfId="2" applyNumberFormat="1" applyFont="1" applyBorder="1" applyAlignment="1"/>
    <xf numFmtId="0" fontId="49" fillId="0" borderId="0" xfId="2" applyFont="1"/>
    <xf numFmtId="37" fontId="44" fillId="0" borderId="0" xfId="2" applyNumberFormat="1" applyFont="1" applyFill="1" applyBorder="1" applyAlignment="1">
      <alignment horizontal="centerContinuous"/>
    </xf>
    <xf numFmtId="0" fontId="44" fillId="0" borderId="0" xfId="2" applyFont="1" applyBorder="1" applyAlignment="1">
      <alignment horizontal="center"/>
    </xf>
    <xf numFmtId="166" fontId="44" fillId="0" borderId="0" xfId="2" applyNumberFormat="1" applyFont="1" applyAlignment="1"/>
    <xf numFmtId="165" fontId="66" fillId="0" borderId="0" xfId="2" applyNumberFormat="1" applyFont="1" applyAlignment="1"/>
    <xf numFmtId="165" fontId="44" fillId="0" borderId="0" xfId="2" applyNumberFormat="1" applyFont="1" applyAlignment="1">
      <alignment horizontal="right"/>
    </xf>
    <xf numFmtId="165" fontId="44" fillId="0" borderId="0" xfId="2" applyNumberFormat="1" applyFont="1" applyAlignment="1"/>
    <xf numFmtId="165" fontId="44" fillId="0" borderId="0" xfId="2" applyNumberFormat="1" applyFont="1" applyBorder="1" applyAlignment="1"/>
    <xf numFmtId="165" fontId="39" fillId="0" borderId="0" xfId="2" applyNumberFormat="1" applyFont="1" applyAlignment="1">
      <alignment horizontal="center"/>
    </xf>
    <xf numFmtId="165" fontId="39" fillId="0" borderId="21" xfId="2" applyNumberFormat="1" applyFont="1" applyBorder="1" applyAlignment="1"/>
    <xf numFmtId="165" fontId="66" fillId="0" borderId="0" xfId="2" applyNumberFormat="1" applyFont="1" applyBorder="1" applyAlignment="1"/>
    <xf numFmtId="166" fontId="64" fillId="0" borderId="0" xfId="2" applyNumberFormat="1" applyFont="1" applyBorder="1" applyAlignment="1"/>
    <xf numFmtId="166" fontId="64" fillId="0" borderId="0" xfId="2" applyNumberFormat="1" applyFont="1" applyAlignment="1"/>
    <xf numFmtId="170" fontId="44" fillId="0" borderId="20" xfId="2" applyNumberFormat="1" applyFont="1" applyBorder="1" applyAlignment="1"/>
    <xf numFmtId="170" fontId="44" fillId="0" borderId="13" xfId="2" applyNumberFormat="1" applyFont="1" applyBorder="1" applyAlignment="1"/>
    <xf numFmtId="165" fontId="76" fillId="0" borderId="0" xfId="2" applyNumberFormat="1" applyFont="1" applyAlignment="1"/>
    <xf numFmtId="174" fontId="44" fillId="0" borderId="13" xfId="2" applyNumberFormat="1" applyFont="1" applyBorder="1" applyAlignment="1"/>
    <xf numFmtId="174" fontId="44" fillId="0" borderId="0" xfId="2" applyNumberFormat="1" applyFont="1" applyBorder="1" applyAlignment="1"/>
    <xf numFmtId="165" fontId="39" fillId="0" borderId="0" xfId="2" quotePrefix="1" applyNumberFormat="1" applyFont="1" applyAlignment="1">
      <alignment horizontal="left"/>
    </xf>
    <xf numFmtId="166" fontId="77" fillId="0" borderId="0" xfId="2" applyNumberFormat="1" applyFont="1" applyAlignment="1"/>
    <xf numFmtId="166" fontId="78" fillId="0" borderId="0" xfId="2" applyNumberFormat="1" applyFont="1" applyAlignment="1"/>
    <xf numFmtId="166" fontId="79" fillId="0" borderId="0" xfId="2" applyNumberFormat="1" applyFont="1" applyAlignment="1"/>
    <xf numFmtId="166" fontId="78" fillId="0" borderId="0" xfId="2" quotePrefix="1" applyNumberFormat="1" applyFont="1" applyAlignment="1">
      <alignment horizontal="left"/>
    </xf>
    <xf numFmtId="166" fontId="60" fillId="0" borderId="0" xfId="2" applyNumberFormat="1" applyFont="1" applyAlignment="1"/>
    <xf numFmtId="166" fontId="77" fillId="0" borderId="20" xfId="2" applyNumberFormat="1" applyFont="1" applyBorder="1" applyAlignment="1"/>
    <xf numFmtId="166" fontId="80" fillId="0" borderId="0" xfId="2" quotePrefix="1" applyNumberFormat="1" applyFont="1" applyAlignment="1">
      <alignment horizontal="left"/>
    </xf>
    <xf numFmtId="174" fontId="80" fillId="0" borderId="0" xfId="2" applyNumberFormat="1" applyFont="1" applyAlignment="1"/>
    <xf numFmtId="174" fontId="80" fillId="0" borderId="21" xfId="2" applyNumberFormat="1" applyFont="1" applyBorder="1" applyAlignment="1"/>
    <xf numFmtId="166" fontId="80" fillId="0" borderId="0" xfId="2" applyNumberFormat="1" applyFont="1" applyAlignment="1"/>
    <xf numFmtId="166" fontId="77" fillId="0" borderId="0" xfId="2" applyNumberFormat="1" applyFont="1" applyAlignment="1">
      <alignment horizontal="right"/>
    </xf>
    <xf numFmtId="166" fontId="77" fillId="0" borderId="21" xfId="2" applyNumberFormat="1" applyFont="1" applyBorder="1" applyAlignment="1"/>
    <xf numFmtId="170" fontId="77" fillId="0" borderId="0" xfId="2" applyNumberFormat="1" applyFont="1" applyAlignment="1"/>
    <xf numFmtId="170" fontId="77" fillId="0" borderId="21" xfId="2" applyNumberFormat="1" applyFont="1" applyBorder="1" applyAlignment="1"/>
    <xf numFmtId="170" fontId="80" fillId="0" borderId="0" xfId="2" applyNumberFormat="1" applyFont="1" applyAlignment="1"/>
    <xf numFmtId="170" fontId="80" fillId="0" borderId="21" xfId="2" applyNumberFormat="1" applyFont="1" applyBorder="1" applyAlignment="1"/>
    <xf numFmtId="170" fontId="62" fillId="0" borderId="0" xfId="2" applyNumberFormat="1" applyFont="1" applyAlignment="1"/>
    <xf numFmtId="170" fontId="62" fillId="0" borderId="0" xfId="2" applyNumberFormat="1" applyFont="1" applyAlignment="1">
      <alignment horizontal="right"/>
    </xf>
    <xf numFmtId="170" fontId="62" fillId="0" borderId="0" xfId="2" quotePrefix="1" applyNumberFormat="1" applyFont="1" applyAlignment="1">
      <alignment horizontal="center"/>
    </xf>
    <xf numFmtId="166" fontId="79" fillId="0" borderId="0" xfId="2" applyNumberFormat="1" applyFont="1" applyBorder="1" applyAlignment="1"/>
    <xf numFmtId="170" fontId="77" fillId="0" borderId="24" xfId="2" applyNumberFormat="1" applyFont="1" applyBorder="1" applyAlignment="1"/>
    <xf numFmtId="170" fontId="77" fillId="0" borderId="0" xfId="2" applyNumberFormat="1" applyFont="1" applyBorder="1" applyAlignment="1">
      <alignment horizontal="right"/>
    </xf>
    <xf numFmtId="170" fontId="62" fillId="0" borderId="10" xfId="2" applyNumberFormat="1" applyFont="1" applyBorder="1" applyAlignment="1"/>
    <xf numFmtId="170" fontId="62" fillId="0" borderId="0" xfId="2" applyNumberFormat="1" applyFont="1" applyBorder="1" applyAlignment="1"/>
    <xf numFmtId="170" fontId="62" fillId="0" borderId="0" xfId="2" applyNumberFormat="1" applyFont="1" applyAlignment="1">
      <alignment horizontal="center"/>
    </xf>
    <xf numFmtId="170" fontId="77" fillId="0" borderId="0" xfId="2" applyNumberFormat="1" applyFont="1" applyAlignment="1">
      <alignment horizontal="center"/>
    </xf>
    <xf numFmtId="170" fontId="77" fillId="0" borderId="0" xfId="2" applyNumberFormat="1" applyFont="1" applyAlignment="1">
      <alignment horizontal="right"/>
    </xf>
    <xf numFmtId="170" fontId="80" fillId="0" borderId="0" xfId="2" applyNumberFormat="1" applyFont="1" applyAlignment="1">
      <alignment horizontal="right"/>
    </xf>
    <xf numFmtId="166" fontId="62" fillId="0" borderId="0" xfId="2" quotePrefix="1" applyNumberFormat="1" applyFont="1" applyAlignment="1">
      <alignment horizontal="left"/>
    </xf>
    <xf numFmtId="165" fontId="62" fillId="0" borderId="0" xfId="2" applyNumberFormat="1" applyFont="1" applyAlignment="1"/>
    <xf numFmtId="165" fontId="42" fillId="0" borderId="0" xfId="2" applyNumberFormat="1" applyFont="1"/>
    <xf numFmtId="165" fontId="42" fillId="0" borderId="0" xfId="2" applyNumberFormat="1" applyFont="1" applyAlignment="1"/>
    <xf numFmtId="165" fontId="66" fillId="0" borderId="0" xfId="2" applyNumberFormat="1" applyFont="1"/>
    <xf numFmtId="164" fontId="66" fillId="0" borderId="0" xfId="2" applyNumberFormat="1" applyFont="1" applyAlignment="1"/>
    <xf numFmtId="165" fontId="67" fillId="0" borderId="0" xfId="2" applyNumberFormat="1" applyFont="1" applyAlignment="1"/>
    <xf numFmtId="0" fontId="67" fillId="0" borderId="0" xfId="2" applyNumberFormat="1" applyFont="1" applyAlignment="1"/>
    <xf numFmtId="165" fontId="67" fillId="0" borderId="0" xfId="2" applyNumberFormat="1" applyFont="1" applyAlignment="1">
      <alignment horizontal="right"/>
    </xf>
    <xf numFmtId="165" fontId="67" fillId="0" borderId="0" xfId="2" applyNumberFormat="1" applyFont="1" applyBorder="1" applyAlignment="1">
      <alignment horizontal="right"/>
    </xf>
    <xf numFmtId="164" fontId="67" fillId="0" borderId="0" xfId="2" applyNumberFormat="1" applyFont="1" applyAlignment="1">
      <alignment horizontal="right"/>
    </xf>
    <xf numFmtId="165" fontId="43" fillId="0" borderId="0" xfId="2" applyNumberFormat="1" applyFont="1" applyFill="1" applyAlignment="1">
      <alignment horizontal="right"/>
    </xf>
    <xf numFmtId="0" fontId="67" fillId="0" borderId="0" xfId="2" quotePrefix="1" applyNumberFormat="1" applyFont="1" applyAlignment="1">
      <alignment horizontal="left"/>
    </xf>
    <xf numFmtId="3" fontId="39" fillId="0" borderId="20" xfId="2" applyNumberFormat="1" applyFont="1" applyBorder="1" applyAlignment="1"/>
    <xf numFmtId="165" fontId="66" fillId="0" borderId="15" xfId="2" applyNumberFormat="1" applyFont="1" applyBorder="1"/>
    <xf numFmtId="169" fontId="44" fillId="0" borderId="0" xfId="2" applyNumberFormat="1" applyFont="1" applyAlignment="1"/>
    <xf numFmtId="169" fontId="44" fillId="0" borderId="21" xfId="2" applyNumberFormat="1" applyFont="1" applyBorder="1" applyAlignment="1"/>
    <xf numFmtId="169" fontId="76" fillId="0" borderId="15" xfId="2" applyNumberFormat="1" applyFont="1" applyBorder="1"/>
    <xf numFmtId="174" fontId="65" fillId="0" borderId="0" xfId="2" applyNumberFormat="1" applyFont="1" applyAlignment="1"/>
    <xf numFmtId="166" fontId="39" fillId="0" borderId="21" xfId="2" applyNumberFormat="1" applyFont="1" applyBorder="1" applyAlignment="1"/>
    <xf numFmtId="166" fontId="46" fillId="0" borderId="13" xfId="2" applyNumberFormat="1" applyFont="1" applyBorder="1" applyAlignment="1">
      <alignment horizontal="center"/>
    </xf>
    <xf numFmtId="166" fontId="39" fillId="0" borderId="0" xfId="2" quotePrefix="1" applyNumberFormat="1" applyFont="1" applyFill="1" applyAlignment="1">
      <alignment horizontal="right"/>
    </xf>
    <xf numFmtId="165" fontId="39" fillId="0" borderId="13" xfId="2" applyNumberFormat="1" applyFont="1" applyBorder="1" applyAlignment="1"/>
    <xf numFmtId="166" fontId="44" fillId="0" borderId="13" xfId="2" applyNumberFormat="1" applyFont="1" applyBorder="1" applyAlignment="1"/>
    <xf numFmtId="0" fontId="44" fillId="0" borderId="0" xfId="2" applyNumberFormat="1" applyFont="1" applyBorder="1" applyAlignment="1"/>
    <xf numFmtId="166" fontId="44" fillId="0" borderId="0" xfId="2" applyNumberFormat="1" applyFont="1" applyFill="1" applyAlignment="1"/>
    <xf numFmtId="166" fontId="44" fillId="0" borderId="21" xfId="2" applyNumberFormat="1" applyFont="1" applyBorder="1" applyAlignment="1"/>
    <xf numFmtId="3" fontId="39" fillId="0" borderId="0" xfId="2" applyNumberFormat="1" applyFont="1" applyAlignment="1">
      <alignment vertical="center"/>
    </xf>
    <xf numFmtId="3" fontId="39" fillId="0" borderId="0" xfId="2" applyNumberFormat="1" applyFont="1" applyAlignment="1">
      <alignment horizontal="left" vertical="center"/>
    </xf>
    <xf numFmtId="166" fontId="39" fillId="0" borderId="0" xfId="2" applyNumberFormat="1" applyFont="1" applyAlignment="1">
      <alignment horizontal="center"/>
    </xf>
    <xf numFmtId="170" fontId="44" fillId="0" borderId="45" xfId="2" applyNumberFormat="1" applyFont="1" applyBorder="1" applyAlignment="1"/>
    <xf numFmtId="0" fontId="44" fillId="0" borderId="21" xfId="2" applyNumberFormat="1" applyFont="1" applyBorder="1" applyAlignment="1"/>
    <xf numFmtId="166" fontId="39" fillId="0" borderId="13" xfId="2" applyNumberFormat="1" applyFont="1" applyBorder="1" applyAlignment="1"/>
    <xf numFmtId="0" fontId="39" fillId="0" borderId="0" xfId="2" quotePrefix="1" applyNumberFormat="1" applyFont="1" applyFill="1" applyBorder="1" applyAlignment="1">
      <alignment horizontal="left"/>
    </xf>
    <xf numFmtId="0" fontId="39" fillId="0" borderId="21" xfId="2" applyNumberFormat="1" applyFont="1" applyFill="1" applyBorder="1" applyAlignment="1"/>
    <xf numFmtId="170" fontId="39" fillId="0" borderId="10" xfId="2" applyNumberFormat="1" applyFont="1" applyBorder="1" applyAlignment="1"/>
    <xf numFmtId="0" fontId="44" fillId="0" borderId="0" xfId="2" applyNumberFormat="1" applyFont="1" applyFill="1" applyAlignment="1">
      <alignment horizontal="left"/>
    </xf>
    <xf numFmtId="174" fontId="44" fillId="0" borderId="17" xfId="2" applyNumberFormat="1" applyFont="1" applyFill="1" applyBorder="1" applyAlignment="1"/>
    <xf numFmtId="169" fontId="44" fillId="0" borderId="0" xfId="2" applyNumberFormat="1" applyFont="1" applyFill="1" applyBorder="1" applyAlignment="1"/>
    <xf numFmtId="169" fontId="44" fillId="0" borderId="0" xfId="2" applyNumberFormat="1" applyFont="1" applyFill="1" applyAlignment="1"/>
    <xf numFmtId="169" fontId="44" fillId="0" borderId="21" xfId="2" applyNumberFormat="1" applyFont="1" applyFill="1" applyBorder="1" applyAlignment="1"/>
    <xf numFmtId="3" fontId="39" fillId="0" borderId="0" xfId="2" applyNumberFormat="1" applyFont="1" applyBorder="1" applyAlignment="1"/>
    <xf numFmtId="165" fontId="47" fillId="0" borderId="0" xfId="2" applyNumberFormat="1" applyFont="1" applyBorder="1" applyAlignment="1"/>
    <xf numFmtId="165" fontId="40" fillId="0" borderId="0" xfId="2" applyNumberFormat="1" applyFont="1" applyBorder="1" applyAlignment="1"/>
    <xf numFmtId="165" fontId="39" fillId="0" borderId="0" xfId="2" applyNumberFormat="1" applyFont="1"/>
    <xf numFmtId="164" fontId="39" fillId="0" borderId="0" xfId="2" applyNumberFormat="1" applyFont="1" applyAlignment="1"/>
    <xf numFmtId="166" fontId="46" fillId="0" borderId="0" xfId="2" quotePrefix="1" applyNumberFormat="1" applyFont="1" applyBorder="1" applyAlignment="1">
      <alignment horizontal="left"/>
    </xf>
    <xf numFmtId="0" fontId="42" fillId="0" borderId="0" xfId="2" applyNumberFormat="1" applyFont="1" applyAlignment="1"/>
    <xf numFmtId="0" fontId="76" fillId="0" borderId="0" xfId="2" applyNumberFormat="1" applyFont="1" applyAlignment="1"/>
    <xf numFmtId="174" fontId="44" fillId="0" borderId="17" xfId="2" applyNumberFormat="1" applyFont="1" applyBorder="1" applyAlignment="1"/>
    <xf numFmtId="0" fontId="39" fillId="0" borderId="0" xfId="2" applyFont="1" applyBorder="1" applyAlignment="1"/>
    <xf numFmtId="0" fontId="38" fillId="0" borderId="0" xfId="2" quotePrefix="1" applyNumberFormat="1" applyFont="1" applyAlignment="1">
      <alignment horizontal="left"/>
    </xf>
    <xf numFmtId="168" fontId="39" fillId="0" borderId="0" xfId="2" applyNumberFormat="1" applyFont="1" applyAlignment="1"/>
    <xf numFmtId="0" fontId="38" fillId="0" borderId="0" xfId="2" applyNumberFormat="1" applyFont="1" applyAlignment="1">
      <alignment horizontal="right"/>
    </xf>
    <xf numFmtId="165" fontId="38" fillId="0" borderId="0" xfId="2" applyNumberFormat="1" applyFont="1" applyAlignment="1">
      <alignment horizontal="right"/>
    </xf>
    <xf numFmtId="165" fontId="39" fillId="0" borderId="20" xfId="2" applyNumberFormat="1" applyFont="1" applyBorder="1"/>
    <xf numFmtId="165" fontId="39" fillId="0" borderId="15" xfId="2" applyNumberFormat="1" applyFont="1" applyBorder="1" applyAlignment="1"/>
    <xf numFmtId="174" fontId="44" fillId="0" borderId="47" xfId="2" applyNumberFormat="1" applyFont="1" applyBorder="1" applyAlignment="1"/>
    <xf numFmtId="168" fontId="44" fillId="0" borderId="0" xfId="2" applyNumberFormat="1" applyFont="1" applyAlignment="1"/>
    <xf numFmtId="164" fontId="44" fillId="0" borderId="0" xfId="2" applyNumberFormat="1" applyFont="1" applyAlignment="1"/>
    <xf numFmtId="165" fontId="39" fillId="0" borderId="47" xfId="2" applyNumberFormat="1" applyFont="1" applyBorder="1" applyAlignment="1"/>
    <xf numFmtId="170" fontId="39" fillId="0" borderId="47" xfId="2" applyNumberFormat="1" applyFont="1" applyBorder="1" applyAlignment="1"/>
    <xf numFmtId="170" fontId="39" fillId="0" borderId="0" xfId="2" quotePrefix="1" applyNumberFormat="1" applyFont="1" applyAlignment="1">
      <alignment horizontal="right"/>
    </xf>
    <xf numFmtId="170" fontId="39" fillId="0" borderId="0" xfId="2" quotePrefix="1" applyNumberFormat="1" applyFont="1" applyAlignment="1"/>
    <xf numFmtId="170" fontId="64" fillId="0" borderId="0" xfId="2" applyNumberFormat="1" applyFont="1" applyFill="1" applyAlignment="1"/>
    <xf numFmtId="170" fontId="39" fillId="0" borderId="47" xfId="2" applyNumberFormat="1" applyFont="1" applyBorder="1" applyAlignment="1">
      <alignment horizontal="center"/>
    </xf>
    <xf numFmtId="165" fontId="39" fillId="0" borderId="0" xfId="2" applyNumberFormat="1" applyFont="1" applyAlignment="1">
      <alignment horizontal="left"/>
    </xf>
    <xf numFmtId="170" fontId="39" fillId="0" borderId="10" xfId="2" applyNumberFormat="1" applyFont="1" applyBorder="1" applyAlignment="1">
      <alignment horizontal="right"/>
    </xf>
    <xf numFmtId="170" fontId="44" fillId="0" borderId="47" xfId="2" applyNumberFormat="1" applyFont="1" applyBorder="1" applyAlignment="1"/>
    <xf numFmtId="170" fontId="44" fillId="0" borderId="10" xfId="2" applyNumberFormat="1" applyFont="1" applyBorder="1" applyAlignment="1">
      <alignment horizontal="right"/>
    </xf>
    <xf numFmtId="166" fontId="44" fillId="0" borderId="0" xfId="2" applyNumberFormat="1" applyFont="1" applyBorder="1" applyAlignment="1">
      <alignment horizontal="right"/>
    </xf>
    <xf numFmtId="164" fontId="44" fillId="0" borderId="10" xfId="2" applyNumberFormat="1" applyFont="1" applyBorder="1" applyAlignment="1"/>
    <xf numFmtId="170" fontId="39" fillId="0" borderId="10" xfId="2" applyNumberFormat="1" applyFont="1" applyFill="1" applyBorder="1" applyAlignment="1"/>
    <xf numFmtId="170" fontId="44" fillId="0" borderId="16" xfId="2" applyNumberFormat="1" applyFont="1" applyFill="1" applyBorder="1" applyAlignment="1"/>
    <xf numFmtId="164" fontId="44" fillId="0" borderId="16" xfId="2" applyNumberFormat="1" applyFont="1" applyBorder="1" applyAlignment="1"/>
    <xf numFmtId="170" fontId="0" fillId="0" borderId="47" xfId="2" applyNumberFormat="1" applyFont="1" applyBorder="1" applyAlignment="1"/>
    <xf numFmtId="170" fontId="0" fillId="0" borderId="0" xfId="2" applyNumberFormat="1" applyFont="1" applyBorder="1" applyAlignment="1"/>
    <xf numFmtId="164" fontId="44" fillId="0" borderId="17" xfId="2" applyNumberFormat="1" applyFont="1" applyBorder="1" applyAlignment="1"/>
    <xf numFmtId="168" fontId="39" fillId="0" borderId="36" xfId="2" applyNumberFormat="1" applyFont="1" applyBorder="1" applyAlignment="1"/>
    <xf numFmtId="168" fontId="39" fillId="0" borderId="0" xfId="2" applyNumberFormat="1" applyFont="1" applyBorder="1" applyAlignment="1"/>
    <xf numFmtId="0" fontId="0" fillId="0" borderId="0" xfId="2" applyFont="1" applyBorder="1" applyAlignment="1"/>
    <xf numFmtId="168" fontId="40" fillId="0" borderId="0" xfId="2" applyNumberFormat="1" applyFont="1" applyAlignment="1"/>
    <xf numFmtId="0" fontId="42" fillId="0" borderId="10" xfId="2" applyNumberFormat="1" applyFont="1" applyBorder="1" applyAlignment="1"/>
    <xf numFmtId="165" fontId="42" fillId="0" borderId="10" xfId="2" applyNumberFormat="1" applyFont="1" applyBorder="1" applyAlignment="1"/>
    <xf numFmtId="0" fontId="38" fillId="0" borderId="0" xfId="2" applyNumberFormat="1" applyFont="1" applyAlignment="1">
      <alignment horizontal="left"/>
    </xf>
    <xf numFmtId="165" fontId="39" fillId="0" borderId="18" xfId="2" applyNumberFormat="1" applyFont="1" applyBorder="1" applyAlignment="1"/>
    <xf numFmtId="165" fontId="39" fillId="0" borderId="0" xfId="2" applyNumberFormat="1" applyFont="1" applyAlignment="1">
      <alignment horizontal="right"/>
    </xf>
    <xf numFmtId="166" fontId="39" fillId="0" borderId="18" xfId="2" applyNumberFormat="1" applyFont="1" applyBorder="1" applyAlignment="1"/>
    <xf numFmtId="166" fontId="39" fillId="0" borderId="47" xfId="2" applyNumberFormat="1" applyFont="1" applyBorder="1" applyAlignment="1"/>
    <xf numFmtId="166" fontId="39" fillId="0" borderId="47" xfId="2" applyNumberFormat="1" applyFont="1" applyBorder="1" applyAlignment="1">
      <alignment horizontal="center"/>
    </xf>
    <xf numFmtId="170" fontId="44" fillId="0" borderId="0" xfId="2" quotePrefix="1" applyNumberFormat="1" applyFont="1" applyAlignment="1">
      <alignment horizontal="center"/>
    </xf>
    <xf numFmtId="170" fontId="44" fillId="0" borderId="40" xfId="2" applyNumberFormat="1" applyFont="1" applyBorder="1" applyAlignment="1"/>
    <xf numFmtId="174" fontId="44" fillId="0" borderId="18" xfId="2" applyNumberFormat="1" applyFont="1" applyBorder="1" applyAlignment="1"/>
    <xf numFmtId="168" fontId="39" fillId="0" borderId="0" xfId="2" applyNumberFormat="1" applyFont="1" applyFill="1" applyBorder="1" applyAlignment="1"/>
    <xf numFmtId="168" fontId="42" fillId="0" borderId="0" xfId="2" applyNumberFormat="1" applyFont="1" applyAlignment="1"/>
    <xf numFmtId="0" fontId="85" fillId="0" borderId="0" xfId="2" applyNumberFormat="1" applyFont="1" applyAlignment="1"/>
    <xf numFmtId="0" fontId="40" fillId="0" borderId="10" xfId="2" applyNumberFormat="1" applyFont="1" applyBorder="1" applyAlignment="1"/>
    <xf numFmtId="0" fontId="58" fillId="0" borderId="0" xfId="2" applyNumberFormat="1" applyFont="1" applyAlignment="1">
      <alignment horizontal="left"/>
    </xf>
    <xf numFmtId="166" fontId="64" fillId="0" borderId="0" xfId="2" applyNumberFormat="1" applyFont="1" applyFill="1" applyAlignment="1"/>
    <xf numFmtId="164" fontId="39" fillId="0" borderId="0" xfId="2" applyNumberFormat="1" applyFont="1" applyAlignment="1">
      <alignment horizontal="right"/>
    </xf>
    <xf numFmtId="165" fontId="44" fillId="0" borderId="0" xfId="2" applyNumberFormat="1" applyFont="1" applyBorder="1" applyAlignment="1">
      <alignment horizontal="right"/>
    </xf>
    <xf numFmtId="164" fontId="44" fillId="0" borderId="10" xfId="2" applyNumberFormat="1" applyFont="1" applyBorder="1"/>
    <xf numFmtId="175" fontId="42" fillId="0" borderId="0" xfId="4" applyNumberFormat="1" applyFont="1" applyFill="1"/>
    <xf numFmtId="166" fontId="42" fillId="0" borderId="0" xfId="4" applyNumberFormat="1" applyFont="1" applyFill="1"/>
    <xf numFmtId="0" fontId="42" fillId="0" borderId="0" xfId="4" applyFont="1" applyFill="1"/>
    <xf numFmtId="175" fontId="67" fillId="0" borderId="0" xfId="4" quotePrefix="1" applyNumberFormat="1" applyFont="1" applyFill="1" applyAlignment="1">
      <alignment horizontal="left"/>
    </xf>
    <xf numFmtId="0" fontId="86" fillId="0" borderId="0" xfId="4" applyFill="1" applyAlignment="1"/>
    <xf numFmtId="175" fontId="67" fillId="0" borderId="0" xfId="4" applyNumberFormat="1" applyFont="1" applyFill="1"/>
    <xf numFmtId="175" fontId="39" fillId="0" borderId="0" xfId="4" applyNumberFormat="1" applyFont="1" applyFill="1"/>
    <xf numFmtId="166" fontId="39" fillId="0" borderId="0" xfId="4" applyNumberFormat="1" applyFont="1" applyFill="1"/>
    <xf numFmtId="175" fontId="44" fillId="0" borderId="0" xfId="4" applyNumberFormat="1" applyFont="1" applyFill="1" applyAlignment="1">
      <alignment horizontal="center"/>
    </xf>
    <xf numFmtId="175" fontId="39" fillId="0" borderId="0" xfId="4" applyNumberFormat="1" applyFont="1" applyFill="1" applyBorder="1"/>
    <xf numFmtId="175" fontId="39" fillId="0" borderId="0" xfId="4" applyNumberFormat="1" applyFont="1" applyFill="1" applyAlignment="1">
      <alignment horizontal="center"/>
    </xf>
    <xf numFmtId="0" fontId="39" fillId="0" borderId="0" xfId="4" applyNumberFormat="1" applyFont="1" applyFill="1" applyBorder="1" applyAlignment="1">
      <alignment horizontal="center"/>
    </xf>
    <xf numFmtId="175" fontId="39" fillId="0" borderId="0" xfId="4" applyNumberFormat="1" applyFont="1" applyFill="1" applyBorder="1" applyAlignment="1">
      <alignment horizontal="center"/>
    </xf>
    <xf numFmtId="166" fontId="39" fillId="0" borderId="0" xfId="4" applyNumberFormat="1" applyFont="1" applyFill="1" applyBorder="1" applyAlignment="1">
      <alignment horizontal="center"/>
    </xf>
    <xf numFmtId="175" fontId="39" fillId="0" borderId="0" xfId="4" quotePrefix="1" applyNumberFormat="1" applyFont="1" applyFill="1" applyBorder="1" applyAlignment="1">
      <alignment horizontal="center"/>
    </xf>
    <xf numFmtId="169" fontId="39" fillId="0" borderId="0" xfId="4" applyNumberFormat="1" applyFont="1" applyFill="1" applyBorder="1" applyAlignment="1">
      <alignment horizontal="center"/>
    </xf>
    <xf numFmtId="0" fontId="39" fillId="0" borderId="15" xfId="4" applyNumberFormat="1" applyFont="1" applyFill="1" applyBorder="1" applyAlignment="1">
      <alignment horizontal="center"/>
    </xf>
    <xf numFmtId="0" fontId="39" fillId="0" borderId="0" xfId="4" applyFont="1" applyFill="1" applyBorder="1"/>
    <xf numFmtId="0" fontId="39" fillId="0" borderId="0" xfId="4" applyFont="1" applyFill="1"/>
    <xf numFmtId="175" fontId="44" fillId="0" borderId="0" xfId="4" applyNumberFormat="1" applyFont="1" applyFill="1" applyAlignment="1">
      <alignment horizontal="left"/>
    </xf>
    <xf numFmtId="174" fontId="44" fillId="0" borderId="0" xfId="4" applyNumberFormat="1" applyFont="1" applyFill="1"/>
    <xf numFmtId="174" fontId="44" fillId="0" borderId="0" xfId="4" quotePrefix="1" applyNumberFormat="1" applyFont="1" applyFill="1" applyAlignment="1">
      <alignment horizontal="right"/>
    </xf>
    <xf numFmtId="174" fontId="44" fillId="0" borderId="0" xfId="4" quotePrefix="1" applyNumberFormat="1" applyFont="1" applyFill="1" applyAlignment="1"/>
    <xf numFmtId="174" fontId="44" fillId="0" borderId="13" xfId="4" applyNumberFormat="1" applyFont="1" applyFill="1" applyBorder="1"/>
    <xf numFmtId="174" fontId="44" fillId="0" borderId="0" xfId="4" applyNumberFormat="1" applyFont="1" applyFill="1" applyBorder="1" applyAlignment="1">
      <alignment horizontal="center"/>
    </xf>
    <xf numFmtId="174" fontId="44" fillId="0" borderId="15" xfId="4" applyNumberFormat="1" applyFont="1" applyFill="1" applyBorder="1"/>
    <xf numFmtId="174" fontId="44" fillId="0" borderId="0" xfId="4" applyNumberFormat="1" applyFont="1" applyFill="1" applyBorder="1"/>
    <xf numFmtId="0" fontId="44" fillId="0" borderId="0" xfId="4" applyFont="1" applyFill="1" applyBorder="1"/>
    <xf numFmtId="164" fontId="44" fillId="0" borderId="0" xfId="4" applyNumberFormat="1" applyFont="1" applyFill="1"/>
    <xf numFmtId="175" fontId="39" fillId="0" borderId="13" xfId="4" applyNumberFormat="1" applyFont="1" applyFill="1" applyBorder="1"/>
    <xf numFmtId="166" fontId="39" fillId="0" borderId="13" xfId="4" applyNumberFormat="1" applyFont="1" applyFill="1" applyBorder="1"/>
    <xf numFmtId="166" fontId="39" fillId="0" borderId="15" xfId="4" applyNumberFormat="1" applyFont="1" applyFill="1" applyBorder="1"/>
    <xf numFmtId="166" fontId="39" fillId="0" borderId="0" xfId="4" applyNumberFormat="1" applyFont="1" applyFill="1" applyBorder="1"/>
    <xf numFmtId="175" fontId="44" fillId="0" borderId="0" xfId="4" applyNumberFormat="1" applyFont="1" applyFill="1"/>
    <xf numFmtId="0" fontId="42" fillId="0" borderId="0" xfId="4" quotePrefix="1" applyFont="1" applyFill="1" applyAlignment="1">
      <alignment horizontal="left"/>
    </xf>
    <xf numFmtId="170" fontId="39" fillId="0" borderId="0" xfId="4" quotePrefix="1" applyNumberFormat="1" applyFont="1" applyFill="1" applyAlignment="1">
      <alignment horizontal="right"/>
    </xf>
    <xf numFmtId="170" fontId="39" fillId="0" borderId="0" xfId="4" applyNumberFormat="1" applyFont="1" applyFill="1"/>
    <xf numFmtId="170" fontId="39" fillId="0" borderId="0" xfId="4" applyNumberFormat="1" applyFont="1" applyFill="1" applyAlignment="1">
      <alignment horizontal="right"/>
    </xf>
    <xf numFmtId="170" fontId="39" fillId="0" borderId="13" xfId="4" applyNumberFormat="1" applyFont="1" applyFill="1" applyBorder="1"/>
    <xf numFmtId="170" fontId="39" fillId="0" borderId="0" xfId="4" applyNumberFormat="1" applyFont="1" applyFill="1" applyBorder="1" applyAlignment="1">
      <alignment horizontal="center"/>
    </xf>
    <xf numFmtId="170" fontId="39" fillId="0" borderId="15" xfId="4" applyNumberFormat="1" applyFont="1" applyFill="1" applyBorder="1"/>
    <xf numFmtId="170" fontId="39" fillId="0" borderId="0" xfId="4" applyNumberFormat="1" applyFont="1" applyFill="1" applyBorder="1"/>
    <xf numFmtId="164" fontId="39" fillId="0" borderId="0" xfId="4" applyNumberFormat="1" applyFont="1" applyFill="1"/>
    <xf numFmtId="170" fontId="39" fillId="0" borderId="0" xfId="5" applyNumberFormat="1" applyFont="1" applyFill="1"/>
    <xf numFmtId="170" fontId="39" fillId="0" borderId="10" xfId="4" quotePrefix="1" applyNumberFormat="1" applyFont="1" applyFill="1" applyBorder="1" applyAlignment="1">
      <alignment horizontal="right"/>
    </xf>
    <xf numFmtId="170" fontId="39" fillId="0" borderId="10" xfId="4" quotePrefix="1" applyNumberFormat="1" applyFont="1" applyFill="1" applyBorder="1" applyAlignment="1"/>
    <xf numFmtId="170" fontId="44" fillId="0" borderId="10" xfId="4" applyNumberFormat="1" applyFont="1" applyFill="1" applyBorder="1"/>
    <xf numFmtId="170" fontId="44" fillId="0" borderId="0" xfId="4" applyNumberFormat="1" applyFont="1" applyFill="1"/>
    <xf numFmtId="170" fontId="44" fillId="0" borderId="0" xfId="4" applyNumberFormat="1" applyFont="1" applyFill="1" applyAlignment="1">
      <alignment horizontal="right"/>
    </xf>
    <xf numFmtId="170" fontId="44" fillId="0" borderId="13" xfId="4" applyNumberFormat="1" applyFont="1" applyFill="1" applyBorder="1"/>
    <xf numFmtId="170" fontId="44" fillId="0" borderId="0" xfId="4" applyNumberFormat="1" applyFont="1" applyFill="1" applyBorder="1" applyAlignment="1">
      <alignment horizontal="center"/>
    </xf>
    <xf numFmtId="170" fontId="44" fillId="0" borderId="15" xfId="4" applyNumberFormat="1" applyFont="1" applyFill="1" applyBorder="1"/>
    <xf numFmtId="0" fontId="43" fillId="0" borderId="0" xfId="4" applyFont="1" applyFill="1"/>
    <xf numFmtId="175" fontId="44" fillId="0" borderId="0" xfId="4" quotePrefix="1" applyNumberFormat="1" applyFont="1" applyFill="1" applyAlignment="1">
      <alignment horizontal="left"/>
    </xf>
    <xf numFmtId="175" fontId="39" fillId="0" borderId="0" xfId="4" quotePrefix="1" applyNumberFormat="1" applyFont="1" applyFill="1" applyAlignment="1">
      <alignment horizontal="left"/>
    </xf>
    <xf numFmtId="170" fontId="39" fillId="0" borderId="10" xfId="4" applyNumberFormat="1" applyFont="1" applyFill="1" applyBorder="1"/>
    <xf numFmtId="170" fontId="39" fillId="0" borderId="10" xfId="5" applyNumberFormat="1" applyFont="1" applyFill="1" applyBorder="1"/>
    <xf numFmtId="170" fontId="44" fillId="0" borderId="0" xfId="4" applyNumberFormat="1" applyFont="1" applyFill="1" applyBorder="1" applyAlignment="1">
      <alignment horizontal="right"/>
    </xf>
    <xf numFmtId="170" fontId="60" fillId="0" borderId="0" xfId="5" applyNumberFormat="1" applyFont="1" applyFill="1"/>
    <xf numFmtId="170" fontId="39" fillId="0" borderId="0" xfId="4" applyNumberFormat="1" applyFont="1" applyFill="1" applyAlignment="1">
      <alignment horizontal="center"/>
    </xf>
    <xf numFmtId="170" fontId="44" fillId="0" borderId="10" xfId="5" applyNumberFormat="1" applyFont="1" applyFill="1" applyBorder="1"/>
    <xf numFmtId="166" fontId="39" fillId="0" borderId="0" xfId="4" applyNumberFormat="1" applyFont="1" applyFill="1" applyAlignment="1">
      <alignment horizontal="center"/>
    </xf>
    <xf numFmtId="166" fontId="39" fillId="0" borderId="19" xfId="4" applyNumberFormat="1" applyFont="1" applyFill="1" applyBorder="1"/>
    <xf numFmtId="166" fontId="39" fillId="0" borderId="19" xfId="4" applyNumberFormat="1" applyFont="1" applyFill="1" applyBorder="1" applyAlignment="1">
      <alignment horizontal="right"/>
    </xf>
    <xf numFmtId="166" fontId="39" fillId="0" borderId="0" xfId="4" applyNumberFormat="1" applyFont="1" applyFill="1" applyBorder="1" applyAlignment="1">
      <alignment horizontal="right"/>
    </xf>
    <xf numFmtId="174" fontId="44" fillId="0" borderId="17" xfId="4" applyNumberFormat="1" applyFont="1" applyFill="1" applyBorder="1"/>
    <xf numFmtId="174" fontId="44" fillId="0" borderId="17" xfId="4" applyNumberFormat="1" applyFont="1" applyFill="1" applyBorder="1" applyAlignment="1">
      <alignment horizontal="center"/>
    </xf>
    <xf numFmtId="175" fontId="43" fillId="0" borderId="0" xfId="4" applyNumberFormat="1" applyFont="1" applyFill="1"/>
    <xf numFmtId="169" fontId="42" fillId="0" borderId="0" xfId="4" applyNumberFormat="1" applyFont="1" applyFill="1" applyBorder="1"/>
    <xf numFmtId="169" fontId="42" fillId="0" borderId="0" xfId="4" applyNumberFormat="1" applyFont="1" applyFill="1"/>
    <xf numFmtId="169" fontId="42" fillId="0" borderId="0" xfId="4" quotePrefix="1" applyNumberFormat="1" applyFont="1" applyFill="1" applyBorder="1" applyAlignment="1">
      <alignment horizontal="right"/>
    </xf>
    <xf numFmtId="0" fontId="42" fillId="0" borderId="0" xfId="4" applyNumberFormat="1" applyFont="1" applyFill="1" applyBorder="1" applyAlignment="1">
      <alignment horizontal="center"/>
    </xf>
    <xf numFmtId="0" fontId="42" fillId="0" borderId="0" xfId="4" applyFont="1" applyFill="1" applyBorder="1"/>
    <xf numFmtId="164" fontId="42" fillId="0" borderId="0" xfId="4" applyNumberFormat="1" applyFont="1" applyFill="1" applyBorder="1"/>
    <xf numFmtId="39" fontId="42" fillId="0" borderId="0" xfId="4" applyNumberFormat="1" applyFont="1" applyFill="1"/>
    <xf numFmtId="43" fontId="42" fillId="0" borderId="0" xfId="5" applyFont="1" applyFill="1"/>
    <xf numFmtId="43" fontId="42" fillId="0" borderId="0" xfId="4" applyNumberFormat="1" applyFont="1" applyFill="1"/>
    <xf numFmtId="49" fontId="87" fillId="0" borderId="0" xfId="4" applyNumberFormat="1" applyFont="1" applyFill="1" applyAlignment="1">
      <alignment horizontal="left"/>
    </xf>
    <xf numFmtId="0" fontId="87" fillId="0" borderId="0" xfId="4" applyNumberFormat="1" applyFont="1" applyFill="1" applyAlignment="1">
      <alignment horizontal="left"/>
    </xf>
    <xf numFmtId="165" fontId="88" fillId="0" borderId="0" xfId="2" applyNumberFormat="1" applyFont="1" applyAlignment="1">
      <alignment horizontal="left"/>
    </xf>
    <xf numFmtId="165" fontId="89" fillId="0" borderId="0" xfId="2" applyNumberFormat="1" applyFont="1" applyAlignment="1"/>
    <xf numFmtId="165" fontId="90" fillId="0" borderId="0" xfId="2" applyNumberFormat="1" applyFont="1" applyAlignment="1"/>
    <xf numFmtId="165" fontId="91" fillId="0" borderId="0" xfId="2" applyNumberFormat="1" applyFont="1" applyAlignment="1">
      <alignment horizontal="centerContinuous"/>
    </xf>
    <xf numFmtId="165" fontId="88" fillId="0" borderId="0" xfId="2" applyNumberFormat="1" applyFont="1" applyAlignment="1"/>
    <xf numFmtId="0" fontId="81" fillId="0" borderId="0" xfId="2" applyNumberFormat="1" applyFont="1" applyAlignment="1"/>
    <xf numFmtId="0" fontId="67" fillId="0" borderId="0" xfId="2" applyNumberFormat="1" applyFont="1" applyAlignment="1">
      <alignment horizontal="left"/>
    </xf>
    <xf numFmtId="165" fontId="88" fillId="0" borderId="0" xfId="2" applyNumberFormat="1" applyFont="1" applyAlignment="1">
      <alignment horizontal="centerContinuous"/>
    </xf>
    <xf numFmtId="0" fontId="92" fillId="0" borderId="0" xfId="2" applyNumberFormat="1" applyFont="1" applyAlignment="1">
      <alignment horizontal="left"/>
    </xf>
    <xf numFmtId="165" fontId="93" fillId="0" borderId="0" xfId="2" applyNumberFormat="1" applyFont="1" applyAlignment="1"/>
    <xf numFmtId="166" fontId="44" fillId="0" borderId="15" xfId="2" applyNumberFormat="1" applyFont="1" applyBorder="1" applyAlignment="1"/>
    <xf numFmtId="0" fontId="0" fillId="0" borderId="0" xfId="2" applyFont="1" applyBorder="1"/>
    <xf numFmtId="174" fontId="44" fillId="0" borderId="0" xfId="2" quotePrefix="1" applyNumberFormat="1" applyFont="1" applyAlignment="1"/>
    <xf numFmtId="174" fontId="44" fillId="0" borderId="15" xfId="2" applyNumberFormat="1" applyFont="1" applyBorder="1" applyAlignment="1"/>
    <xf numFmtId="174" fontId="44" fillId="0" borderId="0" xfId="2" applyNumberFormat="1" applyFont="1" applyBorder="1"/>
    <xf numFmtId="164" fontId="44" fillId="0" borderId="0" xfId="2" applyNumberFormat="1" applyFont="1" applyBorder="1"/>
    <xf numFmtId="0" fontId="44" fillId="0" borderId="0" xfId="2" applyFont="1"/>
    <xf numFmtId="170" fontId="39" fillId="0" borderId="0" xfId="1" quotePrefix="1" applyNumberFormat="1" applyFont="1" applyAlignment="1"/>
    <xf numFmtId="166" fontId="0" fillId="0" borderId="0" xfId="2" applyNumberFormat="1" applyFont="1" applyBorder="1" applyAlignment="1">
      <alignment horizontal="center"/>
    </xf>
    <xf numFmtId="164" fontId="0" fillId="0" borderId="0" xfId="2" applyNumberFormat="1" applyFont="1" applyBorder="1"/>
    <xf numFmtId="170" fontId="44" fillId="0" borderId="15" xfId="2" applyNumberFormat="1" applyFont="1" applyBorder="1" applyAlignment="1">
      <alignment horizontal="right"/>
    </xf>
    <xf numFmtId="166" fontId="0" fillId="0" borderId="0" xfId="2" applyNumberFormat="1" applyFont="1" applyBorder="1"/>
    <xf numFmtId="170" fontId="44" fillId="0" borderId="15" xfId="2" applyNumberFormat="1" applyFont="1" applyBorder="1" applyAlignment="1"/>
    <xf numFmtId="170" fontId="88" fillId="0" borderId="0" xfId="2" applyNumberFormat="1" applyFont="1" applyAlignment="1"/>
    <xf numFmtId="170" fontId="0" fillId="0" borderId="10" xfId="2" applyNumberFormat="1" applyFont="1" applyBorder="1"/>
    <xf numFmtId="164" fontId="0" fillId="0" borderId="10" xfId="2" applyNumberFormat="1" applyFont="1" applyBorder="1"/>
    <xf numFmtId="166" fontId="44" fillId="0" borderId="0" xfId="2" applyNumberFormat="1" applyFont="1"/>
    <xf numFmtId="172" fontId="0" fillId="0" borderId="0" xfId="2" applyNumberFormat="1" applyFont="1" applyBorder="1"/>
    <xf numFmtId="170" fontId="39" fillId="0" borderId="0" xfId="2" applyNumberFormat="1" applyFont="1" applyBorder="1"/>
    <xf numFmtId="0" fontId="44" fillId="0" borderId="0" xfId="2" applyFont="1" applyBorder="1"/>
    <xf numFmtId="164" fontId="44" fillId="0" borderId="16" xfId="2" applyNumberFormat="1" applyFont="1" applyBorder="1"/>
    <xf numFmtId="170" fontId="44" fillId="0" borderId="15" xfId="2" applyNumberFormat="1" applyFont="1" applyBorder="1" applyAlignment="1">
      <alignment horizontal="center"/>
    </xf>
    <xf numFmtId="170" fontId="39" fillId="0" borderId="0" xfId="2" applyNumberFormat="1" applyFont="1" applyAlignment="1">
      <alignment horizontal="right" vertical="center"/>
    </xf>
    <xf numFmtId="170" fontId="39" fillId="0" borderId="21" xfId="2" applyNumberFormat="1" applyFont="1" applyBorder="1" applyAlignment="1">
      <alignment horizontal="right" vertical="center"/>
    </xf>
    <xf numFmtId="170" fontId="44" fillId="0" borderId="15" xfId="2" applyNumberFormat="1" applyFont="1" applyBorder="1"/>
    <xf numFmtId="170" fontId="44" fillId="0" borderId="0" xfId="2" applyNumberFormat="1" applyFont="1" applyBorder="1"/>
    <xf numFmtId="170" fontId="44" fillId="0" borderId="10" xfId="1" applyNumberFormat="1" applyFont="1" applyBorder="1" applyAlignment="1"/>
    <xf numFmtId="172" fontId="44" fillId="0" borderId="10" xfId="2" applyNumberFormat="1" applyFont="1" applyBorder="1"/>
    <xf numFmtId="7" fontId="44" fillId="0" borderId="0" xfId="2" applyNumberFormat="1" applyFont="1"/>
    <xf numFmtId="169" fontId="39" fillId="0" borderId="21" xfId="2" applyNumberFormat="1" applyFont="1" applyBorder="1" applyAlignment="1"/>
    <xf numFmtId="166" fontId="83" fillId="0" borderId="0" xfId="2" applyNumberFormat="1" applyFont="1" applyAlignment="1">
      <alignment horizontal="left"/>
    </xf>
    <xf numFmtId="0" fontId="83" fillId="0" borderId="0" xfId="2" applyFont="1" applyAlignment="1"/>
    <xf numFmtId="0" fontId="83" fillId="0" borderId="0" xfId="2" applyFont="1"/>
    <xf numFmtId="169" fontId="0" fillId="0" borderId="0" xfId="2" applyNumberFormat="1" applyFont="1"/>
    <xf numFmtId="166" fontId="83" fillId="0" borderId="0" xfId="2" quotePrefix="1" applyNumberFormat="1" applyFont="1" applyAlignment="1">
      <alignment horizontal="left"/>
    </xf>
    <xf numFmtId="170" fontId="0" fillId="0" borderId="0" xfId="2" applyNumberFormat="1" applyFont="1"/>
    <xf numFmtId="166" fontId="39" fillId="0" borderId="0" xfId="2" quotePrefix="1" applyNumberFormat="1" applyFont="1" applyAlignment="1">
      <alignment horizontal="left"/>
    </xf>
    <xf numFmtId="179" fontId="0" fillId="0" borderId="0" xfId="2" applyNumberFormat="1" applyFont="1"/>
    <xf numFmtId="174" fontId="44" fillId="0" borderId="0" xfId="6" applyNumberFormat="1" applyFont="1" applyAlignment="1"/>
    <xf numFmtId="174" fontId="44" fillId="0" borderId="0" xfId="6" applyNumberFormat="1" applyFont="1" applyBorder="1" applyAlignment="1"/>
    <xf numFmtId="169" fontId="39" fillId="0" borderId="0" xfId="6" applyNumberFormat="1" applyFont="1" applyBorder="1" applyAlignment="1"/>
    <xf numFmtId="165" fontId="90" fillId="0" borderId="0" xfId="2" applyNumberFormat="1" applyFont="1" applyAlignment="1">
      <alignment horizontal="left"/>
    </xf>
    <xf numFmtId="170" fontId="39"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80" fillId="0" borderId="0" xfId="2" applyNumberFormat="1" applyFont="1" applyAlignment="1">
      <alignment horizontal="right"/>
    </xf>
    <xf numFmtId="166" fontId="76" fillId="0" borderId="0" xfId="2" applyNumberFormat="1" applyFont="1" applyAlignment="1"/>
    <xf numFmtId="170" fontId="62" fillId="0" borderId="0" xfId="2" quotePrefix="1" applyNumberFormat="1" applyFont="1" applyAlignment="1"/>
    <xf numFmtId="170" fontId="77" fillId="0" borderId="0" xfId="2" quotePrefix="1" applyNumberFormat="1" applyFont="1" applyAlignment="1">
      <alignment horizontal="right"/>
    </xf>
    <xf numFmtId="170" fontId="60" fillId="0" borderId="0" xfId="2" applyNumberFormat="1" applyFont="1" applyAlignment="1">
      <alignment horizontal="right"/>
    </xf>
    <xf numFmtId="170" fontId="77" fillId="0" borderId="0" xfId="2" quotePrefix="1" applyNumberFormat="1" applyFont="1" applyAlignment="1"/>
    <xf numFmtId="170" fontId="62" fillId="0" borderId="10" xfId="2" quotePrefix="1" applyNumberFormat="1" applyFont="1" applyBorder="1" applyAlignment="1"/>
    <xf numFmtId="170" fontId="77" fillId="0" borderId="20" xfId="2" applyNumberFormat="1" applyFont="1" applyBorder="1" applyAlignment="1"/>
    <xf numFmtId="170" fontId="77" fillId="0" borderId="20" xfId="2" applyNumberFormat="1" applyFont="1" applyBorder="1" applyAlignment="1">
      <alignment horizontal="right"/>
    </xf>
    <xf numFmtId="170" fontId="80" fillId="0" borderId="13" xfId="2" applyNumberFormat="1" applyFont="1" applyBorder="1" applyAlignment="1"/>
    <xf numFmtId="170" fontId="77" fillId="0" borderId="19" xfId="2" applyNumberFormat="1" applyFont="1" applyBorder="1" applyAlignment="1">
      <alignment horizontal="right"/>
    </xf>
    <xf numFmtId="170" fontId="80" fillId="0" borderId="0" xfId="2" applyNumberFormat="1" applyFont="1" applyBorder="1" applyAlignment="1">
      <alignment horizontal="right"/>
    </xf>
    <xf numFmtId="170" fontId="79" fillId="0" borderId="0" xfId="2" applyNumberFormat="1" applyFont="1" applyAlignment="1">
      <alignment horizontal="right"/>
    </xf>
    <xf numFmtId="170" fontId="80" fillId="0" borderId="0" xfId="2" applyNumberFormat="1" applyFont="1" applyAlignment="1">
      <alignment horizontal="center"/>
    </xf>
    <xf numFmtId="170" fontId="66" fillId="0" borderId="0" xfId="2" applyNumberFormat="1" applyFont="1" applyAlignment="1">
      <alignment horizontal="right"/>
    </xf>
    <xf numFmtId="166" fontId="80" fillId="0" borderId="20" xfId="2" applyNumberFormat="1" applyFont="1" applyBorder="1" applyAlignment="1"/>
    <xf numFmtId="166" fontId="80" fillId="0" borderId="20" xfId="2" applyNumberFormat="1" applyFont="1" applyBorder="1" applyAlignment="1">
      <alignment horizontal="right"/>
    </xf>
    <xf numFmtId="166" fontId="80" fillId="0" borderId="0" xfId="2" applyNumberFormat="1" applyFont="1" applyAlignment="1">
      <alignment horizontal="right"/>
    </xf>
    <xf numFmtId="166" fontId="76" fillId="0" borderId="0" xfId="2" applyNumberFormat="1" applyFont="1" applyAlignment="1">
      <alignment horizontal="right"/>
    </xf>
    <xf numFmtId="166" fontId="80" fillId="0" borderId="21" xfId="2" applyNumberFormat="1" applyFont="1" applyBorder="1" applyAlignment="1"/>
    <xf numFmtId="174" fontId="80" fillId="0" borderId="0" xfId="2" applyNumberFormat="1" applyFont="1" applyBorder="1" applyAlignment="1">
      <alignment horizontal="right"/>
    </xf>
    <xf numFmtId="166" fontId="79" fillId="0" borderId="36" xfId="2" applyNumberFormat="1" applyFont="1" applyBorder="1" applyAlignment="1"/>
    <xf numFmtId="165" fontId="79" fillId="0" borderId="0" xfId="2" applyNumberFormat="1" applyFont="1" applyAlignment="1"/>
    <xf numFmtId="165" fontId="94" fillId="0" borderId="0" xfId="2" applyNumberFormat="1" applyFont="1" applyAlignment="1"/>
    <xf numFmtId="165" fontId="62" fillId="0" borderId="20" xfId="2" applyNumberFormat="1" applyFont="1" applyBorder="1" applyAlignment="1"/>
    <xf numFmtId="174" fontId="67" fillId="0" borderId="0" xfId="2" applyNumberFormat="1" applyFont="1" applyAlignment="1"/>
    <xf numFmtId="174" fontId="67" fillId="0" borderId="21" xfId="2" applyNumberFormat="1" applyFont="1" applyBorder="1" applyAlignment="1"/>
    <xf numFmtId="174" fontId="67" fillId="0" borderId="13" xfId="2" applyNumberFormat="1" applyFont="1" applyBorder="1" applyAlignment="1"/>
    <xf numFmtId="174" fontId="67" fillId="0" borderId="0" xfId="2" applyNumberFormat="1" applyFont="1" applyBorder="1" applyAlignment="1"/>
    <xf numFmtId="175" fontId="62" fillId="0" borderId="0" xfId="2" applyNumberFormat="1" applyFont="1" applyAlignment="1"/>
    <xf numFmtId="175" fontId="62" fillId="0" borderId="21" xfId="2" applyNumberFormat="1" applyFont="1" applyBorder="1" applyAlignment="1"/>
    <xf numFmtId="175" fontId="62" fillId="0" borderId="13" xfId="2" applyNumberFormat="1" applyFont="1" applyBorder="1" applyAlignment="1"/>
    <xf numFmtId="175" fontId="62" fillId="0" borderId="0" xfId="2" applyNumberFormat="1" applyFont="1" applyBorder="1" applyAlignment="1"/>
    <xf numFmtId="170" fontId="62" fillId="0" borderId="0" xfId="2" quotePrefix="1" applyNumberFormat="1" applyFont="1" applyAlignment="1">
      <alignment horizontal="right"/>
    </xf>
    <xf numFmtId="170" fontId="62" fillId="0" borderId="21" xfId="2" applyNumberFormat="1" applyFont="1" applyBorder="1" applyAlignment="1"/>
    <xf numFmtId="170" fontId="62" fillId="0" borderId="13" xfId="2" applyNumberFormat="1" applyFont="1" applyBorder="1" applyAlignment="1"/>
    <xf numFmtId="170" fontId="62" fillId="0" borderId="20" xfId="2" applyNumberFormat="1" applyFont="1" applyBorder="1" applyAlignment="1"/>
    <xf numFmtId="170" fontId="67" fillId="0" borderId="0" xfId="2" applyNumberFormat="1" applyFont="1" applyAlignment="1"/>
    <xf numFmtId="170" fontId="67" fillId="0" borderId="21" xfId="2" applyNumberFormat="1" applyFont="1" applyBorder="1" applyAlignment="1"/>
    <xf numFmtId="170" fontId="67" fillId="0" borderId="13" xfId="2" applyNumberFormat="1" applyFont="1" applyBorder="1" applyAlignment="1"/>
    <xf numFmtId="170" fontId="67" fillId="0" borderId="0" xfId="2" applyNumberFormat="1" applyFont="1" applyBorder="1" applyAlignment="1"/>
    <xf numFmtId="170" fontId="62" fillId="0" borderId="0" xfId="1" quotePrefix="1" applyNumberFormat="1" applyFont="1" applyAlignment="1"/>
    <xf numFmtId="170" fontId="62" fillId="0" borderId="20" xfId="2" applyNumberFormat="1" applyFont="1" applyBorder="1" applyAlignment="1">
      <alignment horizontal="center"/>
    </xf>
    <xf numFmtId="170" fontId="67" fillId="0" borderId="0" xfId="2" applyNumberFormat="1" applyFont="1" applyAlignment="1">
      <alignment horizontal="right"/>
    </xf>
    <xf numFmtId="175" fontId="62" fillId="0" borderId="20" xfId="2" applyNumberFormat="1" applyFont="1" applyBorder="1" applyAlignment="1"/>
    <xf numFmtId="174" fontId="67" fillId="0" borderId="17" xfId="2" applyNumberFormat="1" applyFont="1" applyBorder="1" applyAlignment="1"/>
    <xf numFmtId="175" fontId="62" fillId="0" borderId="36" xfId="2" applyNumberFormat="1" applyFont="1" applyBorder="1" applyAlignment="1"/>
    <xf numFmtId="165" fontId="62" fillId="0" borderId="0" xfId="2" quotePrefix="1" applyNumberFormat="1" applyFont="1" applyAlignment="1"/>
    <xf numFmtId="0" fontId="95" fillId="0" borderId="0" xfId="2" applyNumberFormat="1" applyFont="1" applyAlignment="1"/>
    <xf numFmtId="0" fontId="67" fillId="0" borderId="0" xfId="2" applyNumberFormat="1" applyFont="1" applyAlignment="1">
      <alignment horizontal="right"/>
    </xf>
    <xf numFmtId="0" fontId="96" fillId="0" borderId="0" xfId="2" applyNumberFormat="1" applyFont="1" applyAlignment="1"/>
    <xf numFmtId="170" fontId="44" fillId="0" borderId="0" xfId="2" applyNumberFormat="1" applyFont="1" applyBorder="1" applyAlignment="1">
      <alignment horizontal="right"/>
    </xf>
    <xf numFmtId="0" fontId="97" fillId="0" borderId="0" xfId="2" applyNumberFormat="1" applyFont="1" applyAlignment="1"/>
    <xf numFmtId="170" fontId="44" fillId="0" borderId="18" xfId="2" applyNumberFormat="1" applyFont="1" applyBorder="1" applyAlignment="1"/>
    <xf numFmtId="0" fontId="96" fillId="0" borderId="0" xfId="2" applyNumberFormat="1" applyFont="1" applyAlignment="1">
      <alignment horizontal="left"/>
    </xf>
    <xf numFmtId="0" fontId="96" fillId="0" borderId="0" xfId="2" applyNumberFormat="1" applyFont="1" applyBorder="1" applyAlignment="1"/>
    <xf numFmtId="0" fontId="95" fillId="0" borderId="0" xfId="2" applyNumberFormat="1" applyFont="1" applyBorder="1" applyAlignment="1"/>
    <xf numFmtId="175" fontId="96" fillId="0" borderId="0" xfId="2" applyNumberFormat="1" applyFont="1" applyBorder="1" applyAlignment="1"/>
    <xf numFmtId="175" fontId="95" fillId="0" borderId="0" xfId="2" applyNumberFormat="1" applyFont="1" applyBorder="1" applyAlignment="1"/>
    <xf numFmtId="183" fontId="42" fillId="0" borderId="0" xfId="11" applyNumberFormat="1" applyFont="1" applyFill="1" applyBorder="1"/>
    <xf numFmtId="183" fontId="43" fillId="0" borderId="0" xfId="11" applyNumberFormat="1" applyFont="1" applyFill="1" applyBorder="1"/>
    <xf numFmtId="0" fontId="0" fillId="0" borderId="0" xfId="17" applyNumberFormat="1" applyFont="1"/>
    <xf numFmtId="0" fontId="44" fillId="0" borderId="0" xfId="17" applyNumberFormat="1" applyFont="1" applyAlignment="1" applyProtection="1">
      <alignment horizontal="center"/>
      <protection locked="0"/>
    </xf>
    <xf numFmtId="0" fontId="44" fillId="0" borderId="0" xfId="17" applyNumberFormat="1" applyFont="1" applyAlignment="1">
      <alignment horizontal="center"/>
    </xf>
    <xf numFmtId="49" fontId="44" fillId="0" borderId="0" xfId="17" applyNumberFormat="1" applyFont="1" applyAlignment="1">
      <alignment horizontal="center"/>
    </xf>
    <xf numFmtId="0" fontId="44" fillId="0" borderId="20" xfId="17" applyNumberFormat="1" applyFont="1" applyBorder="1" applyAlignment="1"/>
    <xf numFmtId="0" fontId="71" fillId="0" borderId="0" xfId="17" applyNumberFormat="1" applyFont="1" applyAlignment="1"/>
    <xf numFmtId="190" fontId="0" fillId="0" borderId="0" xfId="17" applyNumberFormat="1" applyFont="1"/>
    <xf numFmtId="190" fontId="0" fillId="0" borderId="0" xfId="17" applyNumberFormat="1" applyFont="1" applyAlignment="1">
      <alignment horizontal="right"/>
    </xf>
    <xf numFmtId="190" fontId="0" fillId="0" borderId="0" xfId="17" applyNumberFormat="1" applyFont="1" applyFill="1"/>
    <xf numFmtId="178" fontId="0" fillId="0" borderId="0" xfId="17" applyNumberFormat="1" applyFont="1"/>
    <xf numFmtId="174" fontId="44" fillId="0" borderId="0" xfId="17" applyNumberFormat="1" applyFont="1" applyBorder="1" applyAlignment="1"/>
    <xf numFmtId="174" fontId="44" fillId="0" borderId="35" xfId="17" applyNumberFormat="1" applyFont="1" applyBorder="1" applyAlignment="1"/>
    <xf numFmtId="0" fontId="0" fillId="0" borderId="0" xfId="17" applyNumberFormat="1" applyFont="1" applyFill="1"/>
    <xf numFmtId="39" fontId="66" fillId="0" borderId="0" xfId="19" applyNumberFormat="1" applyFont="1" applyAlignment="1"/>
    <xf numFmtId="191" fontId="109" fillId="0" borderId="0" xfId="11" applyNumberFormat="1" applyFont="1" applyAlignment="1">
      <alignment horizontal="right"/>
    </xf>
    <xf numFmtId="191" fontId="66" fillId="0" borderId="0" xfId="11" applyNumberFormat="1" applyFont="1" applyAlignment="1"/>
    <xf numFmtId="43" fontId="76" fillId="0" borderId="0" xfId="11" applyFont="1" applyAlignment="1"/>
    <xf numFmtId="43" fontId="66" fillId="0" borderId="0" xfId="11" applyFont="1" applyAlignment="1"/>
    <xf numFmtId="191" fontId="42" fillId="0" borderId="0" xfId="11" applyNumberFormat="1" applyFont="1" applyAlignment="1"/>
    <xf numFmtId="40" fontId="66" fillId="0" borderId="0" xfId="19" applyNumberFormat="1" applyFont="1" applyAlignment="1"/>
    <xf numFmtId="0" fontId="38" fillId="0" borderId="0" xfId="739" quotePrefix="1" applyNumberFormat="1" applyFont="1" applyAlignment="1">
      <alignment horizontal="left"/>
    </xf>
    <xf numFmtId="0" fontId="44" fillId="0" borderId="0" xfId="739" applyNumberFormat="1" applyFont="1" applyAlignment="1"/>
    <xf numFmtId="0" fontId="96" fillId="0" borderId="0" xfId="739" applyNumberFormat="1" applyFont="1" applyAlignment="1"/>
    <xf numFmtId="0" fontId="95" fillId="0" borderId="0" xfId="739" applyNumberFormat="1" applyFont="1" applyAlignment="1"/>
    <xf numFmtId="175" fontId="96" fillId="0" borderId="0" xfId="739" applyNumberFormat="1" applyFont="1" applyBorder="1" applyAlignment="1"/>
    <xf numFmtId="0" fontId="96" fillId="0" borderId="0" xfId="739" applyNumberFormat="1" applyFont="1" applyBorder="1" applyAlignment="1"/>
    <xf numFmtId="175" fontId="96" fillId="0" borderId="0" xfId="739" applyNumberFormat="1" applyFont="1" applyAlignment="1"/>
    <xf numFmtId="175" fontId="95" fillId="0" borderId="0" xfId="739" applyNumberFormat="1" applyFont="1" applyAlignment="1"/>
    <xf numFmtId="37" fontId="95" fillId="0" borderId="0" xfId="739" applyNumberFormat="1" applyFont="1" applyBorder="1" applyAlignment="1"/>
    <xf numFmtId="0" fontId="97" fillId="0" borderId="0" xfId="739" applyNumberFormat="1" applyFont="1" applyAlignment="1"/>
    <xf numFmtId="37" fontId="95" fillId="0" borderId="0" xfId="739" applyNumberFormat="1" applyFont="1" applyAlignment="1"/>
    <xf numFmtId="37" fontId="96" fillId="0" borderId="42" xfId="739" quotePrefix="1" applyNumberFormat="1" applyFont="1" applyBorder="1" applyAlignment="1">
      <alignment horizontal="center"/>
    </xf>
    <xf numFmtId="37" fontId="133" fillId="0" borderId="0" xfId="2" applyNumberFormat="1" applyFont="1"/>
    <xf numFmtId="37" fontId="133" fillId="0" borderId="0" xfId="2" applyNumberFormat="1" applyFont="1" applyFill="1"/>
    <xf numFmtId="37" fontId="134" fillId="0" borderId="0" xfId="2" applyNumberFormat="1" applyFont="1" applyFill="1" applyAlignment="1"/>
    <xf numFmtId="37" fontId="134" fillId="0" borderId="0" xfId="2" applyNumberFormat="1" applyFont="1" applyAlignment="1"/>
    <xf numFmtId="0" fontId="132" fillId="0" borderId="0" xfId="2" applyFont="1" applyFill="1" applyBorder="1" applyAlignment="1">
      <alignment horizontal="center"/>
    </xf>
    <xf numFmtId="37" fontId="132" fillId="0" borderId="0" xfId="2" applyNumberFormat="1" applyFont="1" applyFill="1" applyAlignment="1"/>
    <xf numFmtId="37" fontId="131" fillId="0" borderId="0" xfId="2" applyNumberFormat="1" applyFont="1" applyBorder="1"/>
    <xf numFmtId="37" fontId="131" fillId="0" borderId="0" xfId="2" applyNumberFormat="1" applyFont="1" applyFill="1" applyBorder="1"/>
    <xf numFmtId="37" fontId="132" fillId="0" borderId="0" xfId="2" applyNumberFormat="1" applyFont="1" applyAlignment="1"/>
    <xf numFmtId="165" fontId="136" fillId="0" borderId="0" xfId="2" applyNumberFormat="1" applyFont="1" applyFill="1" applyAlignment="1"/>
    <xf numFmtId="166" fontId="65" fillId="0" borderId="0" xfId="2" applyNumberFormat="1" applyFont="1" applyAlignment="1"/>
    <xf numFmtId="165" fontId="136" fillId="0" borderId="0" xfId="2" applyNumberFormat="1" applyFont="1" applyAlignment="1"/>
    <xf numFmtId="178" fontId="44" fillId="0" borderId="0" xfId="740" applyNumberFormat="1" applyFont="1" applyAlignment="1"/>
    <xf numFmtId="178" fontId="42" fillId="0" borderId="0" xfId="740" applyNumberFormat="1" applyFont="1" applyAlignment="1"/>
    <xf numFmtId="178" fontId="44" fillId="0" borderId="0" xfId="740" quotePrefix="1" applyNumberFormat="1" applyFont="1" applyAlignment="1">
      <alignment horizontal="right"/>
    </xf>
    <xf numFmtId="0" fontId="85" fillId="33" borderId="0" xfId="740" applyFont="1" applyFill="1" applyAlignment="1">
      <alignment horizontal="right"/>
    </xf>
    <xf numFmtId="165" fontId="100" fillId="0" borderId="0" xfId="740" applyNumberFormat="1" applyFont="1" applyAlignment="1"/>
    <xf numFmtId="178" fontId="44" fillId="0" borderId="0" xfId="740" applyNumberFormat="1" applyFont="1" applyAlignment="1">
      <alignment horizontal="center"/>
    </xf>
    <xf numFmtId="178" fontId="44" fillId="0" borderId="0" xfId="740" applyNumberFormat="1" applyFont="1" applyBorder="1" applyAlignment="1"/>
    <xf numFmtId="178" fontId="44" fillId="0" borderId="0" xfId="740" applyNumberFormat="1" applyFont="1" applyBorder="1" applyAlignment="1">
      <alignment horizontal="center"/>
    </xf>
    <xf numFmtId="178" fontId="44" fillId="0" borderId="43" xfId="740" applyNumberFormat="1" applyFont="1" applyBorder="1" applyAlignment="1">
      <alignment horizontal="center"/>
    </xf>
    <xf numFmtId="178" fontId="44" fillId="0" borderId="10" xfId="740" applyNumberFormat="1" applyFont="1" applyBorder="1" applyAlignment="1">
      <alignment horizontal="center"/>
    </xf>
    <xf numFmtId="180" fontId="44" fillId="0" borderId="10" xfId="740" quotePrefix="1" applyNumberFormat="1" applyFont="1" applyBorder="1" applyAlignment="1">
      <alignment horizontal="center"/>
    </xf>
    <xf numFmtId="178" fontId="44" fillId="0" borderId="0" xfId="740" quotePrefix="1" applyNumberFormat="1" applyFont="1" applyBorder="1" applyAlignment="1">
      <alignment horizontal="center"/>
    </xf>
    <xf numFmtId="178" fontId="71" fillId="0" borderId="0" xfId="740" applyNumberFormat="1" applyFont="1" applyAlignment="1"/>
    <xf numFmtId="178" fontId="44" fillId="0" borderId="0" xfId="740" quotePrefix="1" applyNumberFormat="1" applyFont="1" applyFill="1" applyAlignment="1">
      <alignment horizontal="left"/>
    </xf>
    <xf numFmtId="178" fontId="44" fillId="0" borderId="16" xfId="740" applyNumberFormat="1" applyFont="1" applyBorder="1" applyAlignment="1">
      <alignment horizontal="right"/>
    </xf>
    <xf numFmtId="178" fontId="44" fillId="0" borderId="16" xfId="740" applyNumberFormat="1" applyFont="1" applyFill="1" applyBorder="1" applyAlignment="1">
      <alignment horizontal="right"/>
    </xf>
    <xf numFmtId="178" fontId="44" fillId="0" borderId="0" xfId="740" applyNumberFormat="1" applyFont="1" applyFill="1" applyAlignment="1">
      <alignment horizontal="center"/>
    </xf>
    <xf numFmtId="178" fontId="71" fillId="0" borderId="0" xfId="740" applyNumberFormat="1" applyFont="1" applyFill="1" applyAlignment="1"/>
    <xf numFmtId="178" fontId="100" fillId="0" borderId="0" xfId="740" applyNumberFormat="1" applyFont="1" applyAlignment="1"/>
    <xf numFmtId="178" fontId="100" fillId="0" borderId="0" xfId="740" applyNumberFormat="1" applyFont="1" applyFill="1" applyAlignment="1"/>
    <xf numFmtId="165" fontId="100" fillId="0" borderId="0" xfId="740" applyNumberFormat="1" applyFont="1" applyFill="1" applyAlignment="1"/>
    <xf numFmtId="178" fontId="44" fillId="0" borderId="0" xfId="740" applyNumberFormat="1" applyFont="1" applyFill="1" applyAlignment="1"/>
    <xf numFmtId="0" fontId="102" fillId="0" borderId="0" xfId="740" applyFont="1"/>
    <xf numFmtId="178" fontId="44" fillId="0" borderId="16" xfId="740" applyNumberFormat="1" applyFont="1" applyBorder="1" applyAlignment="1"/>
    <xf numFmtId="178" fontId="44" fillId="0" borderId="0" xfId="740" applyNumberFormat="1" applyFont="1" applyAlignment="1">
      <alignment horizontal="left"/>
    </xf>
    <xf numFmtId="178" fontId="44" fillId="0" borderId="10" xfId="740" applyNumberFormat="1" applyFont="1" applyBorder="1" applyAlignment="1"/>
    <xf numFmtId="178" fontId="102" fillId="0" borderId="0" xfId="740" applyNumberFormat="1" applyFont="1"/>
    <xf numFmtId="178" fontId="44" fillId="0" borderId="0" xfId="740" applyNumberFormat="1" applyFont="1"/>
    <xf numFmtId="178" fontId="71" fillId="0" borderId="0" xfId="740" applyNumberFormat="1" applyFont="1" applyAlignment="1">
      <alignment horizontal="left"/>
    </xf>
    <xf numFmtId="178" fontId="44" fillId="0" borderId="16" xfId="740" applyNumberFormat="1" applyFont="1" applyFill="1" applyBorder="1" applyAlignment="1"/>
    <xf numFmtId="178" fontId="44" fillId="0" borderId="0" xfId="740" applyNumberFormat="1" applyFont="1" applyFill="1" applyBorder="1" applyAlignment="1"/>
    <xf numFmtId="178" fontId="44" fillId="0" borderId="0" xfId="740" applyNumberFormat="1" applyFont="1" applyFill="1" applyAlignment="1">
      <alignment horizontal="right"/>
    </xf>
    <xf numFmtId="181" fontId="44" fillId="0" borderId="17" xfId="740" applyNumberFormat="1" applyFont="1" applyFill="1" applyBorder="1" applyAlignment="1"/>
    <xf numFmtId="182" fontId="44" fillId="0" borderId="0" xfId="740" applyNumberFormat="1" applyFont="1" applyFill="1" applyAlignment="1">
      <alignment horizontal="right"/>
    </xf>
    <xf numFmtId="184" fontId="44" fillId="0" borderId="0" xfId="740" applyNumberFormat="1" applyFont="1" applyFill="1" applyBorder="1" applyAlignment="1"/>
    <xf numFmtId="0" fontId="67" fillId="0" borderId="0" xfId="836" applyNumberFormat="1" applyFont="1" applyAlignment="1"/>
    <xf numFmtId="0" fontId="52" fillId="0" borderId="0" xfId="836" applyNumberFormat="1" applyFont="1" applyAlignment="1"/>
    <xf numFmtId="0" fontId="53" fillId="0" borderId="0" xfId="836" applyNumberFormat="1" applyFont="1" applyAlignment="1"/>
    <xf numFmtId="0" fontId="62" fillId="0" borderId="0" xfId="836" applyNumberFormat="1" applyFont="1" applyAlignment="1"/>
    <xf numFmtId="0" fontId="67" fillId="0" borderId="0" xfId="836" applyNumberFormat="1" applyFont="1" applyAlignment="1">
      <alignment horizontal="right"/>
    </xf>
    <xf numFmtId="0" fontId="62" fillId="0" borderId="0" xfId="836" applyFont="1"/>
    <xf numFmtId="0" fontId="67" fillId="0" borderId="0" xfId="836" quotePrefix="1" applyNumberFormat="1" applyFont="1" applyAlignment="1">
      <alignment horizontal="left"/>
    </xf>
    <xf numFmtId="0" fontId="67" fillId="0" borderId="0" xfId="836" applyNumberFormat="1" applyFont="1" applyAlignment="1">
      <alignment horizontal="center"/>
    </xf>
    <xf numFmtId="0" fontId="103" fillId="0" borderId="0" xfId="836" applyNumberFormat="1" applyFont="1" applyAlignment="1">
      <alignment horizontal="center"/>
    </xf>
    <xf numFmtId="0" fontId="63" fillId="0" borderId="20" xfId="836" applyNumberFormat="1" applyFont="1" applyBorder="1" applyAlignment="1"/>
    <xf numFmtId="0" fontId="62" fillId="0" borderId="20" xfId="836" applyNumberFormat="1" applyFont="1" applyBorder="1" applyAlignment="1"/>
    <xf numFmtId="0" fontId="103" fillId="0" borderId="0" xfId="836" applyNumberFormat="1" applyFont="1" applyAlignment="1"/>
    <xf numFmtId="173" fontId="62" fillId="0" borderId="0" xfId="836" applyNumberFormat="1" applyFont="1" applyAlignment="1"/>
    <xf numFmtId="0" fontId="62" fillId="0" borderId="0" xfId="836" applyNumberFormat="1" applyFont="1" applyFill="1" applyAlignment="1"/>
    <xf numFmtId="0" fontId="62" fillId="0" borderId="0" xfId="836" applyNumberFormat="1" applyFont="1" applyFill="1" applyAlignment="1">
      <alignment horizontal="right"/>
    </xf>
    <xf numFmtId="181" fontId="62" fillId="0" borderId="0" xfId="836" applyNumberFormat="1" applyFont="1" applyFill="1" applyAlignment="1">
      <alignment horizontal="right"/>
    </xf>
    <xf numFmtId="0" fontId="62" fillId="0" borderId="0" xfId="836" applyFont="1" applyFill="1"/>
    <xf numFmtId="178" fontId="62" fillId="0" borderId="0" xfId="836" applyNumberFormat="1" applyFont="1" applyFill="1" applyAlignment="1">
      <alignment horizontal="right"/>
    </xf>
    <xf numFmtId="178" fontId="62" fillId="0" borderId="0" xfId="836" applyNumberFormat="1" applyFont="1" applyFill="1" applyAlignment="1"/>
    <xf numFmtId="178" fontId="62" fillId="0" borderId="0" xfId="836" quotePrefix="1" applyNumberFormat="1" applyFont="1" applyAlignment="1">
      <alignment horizontal="right"/>
    </xf>
    <xf numFmtId="0" fontId="62" fillId="0" borderId="0" xfId="836" quotePrefix="1" applyNumberFormat="1" applyFont="1" applyFill="1" applyAlignment="1">
      <alignment horizontal="left"/>
    </xf>
    <xf numFmtId="178" fontId="62" fillId="0" borderId="0" xfId="836" applyNumberFormat="1" applyFont="1" applyFill="1" applyBorder="1" applyAlignment="1"/>
    <xf numFmtId="178" fontId="62" fillId="0" borderId="0" xfId="836" applyNumberFormat="1" applyFont="1" applyFill="1" applyBorder="1" applyAlignment="1">
      <alignment horizontal="right"/>
    </xf>
    <xf numFmtId="178" fontId="67" fillId="0" borderId="16" xfId="836" applyNumberFormat="1" applyFont="1" applyBorder="1" applyAlignment="1">
      <alignment horizontal="right"/>
    </xf>
    <xf numFmtId="186" fontId="67" fillId="0" borderId="0" xfId="836" applyNumberFormat="1" applyFont="1" applyAlignment="1"/>
    <xf numFmtId="186" fontId="62" fillId="0" borderId="20" xfId="836" applyNumberFormat="1" applyFont="1" applyBorder="1" applyAlignment="1"/>
    <xf numFmtId="186" fontId="62" fillId="0" borderId="0" xfId="836" applyNumberFormat="1" applyFont="1" applyAlignment="1"/>
    <xf numFmtId="186" fontId="62" fillId="0" borderId="0" xfId="836" applyNumberFormat="1" applyFont="1" applyAlignment="1">
      <alignment horizontal="right"/>
    </xf>
    <xf numFmtId="178" fontId="62" fillId="0" borderId="0" xfId="836" applyNumberFormat="1" applyFont="1" applyFill="1" applyAlignment="1">
      <alignment horizontal="center"/>
    </xf>
    <xf numFmtId="182" fontId="67" fillId="0" borderId="0" xfId="836" applyNumberFormat="1" applyFont="1" applyAlignment="1"/>
    <xf numFmtId="186" fontId="62" fillId="0" borderId="20" xfId="836" applyNumberFormat="1" applyFont="1" applyBorder="1" applyAlignment="1">
      <alignment horizontal="right"/>
    </xf>
    <xf numFmtId="186" fontId="62" fillId="0" borderId="0" xfId="836" applyNumberFormat="1" applyFont="1" applyBorder="1" applyAlignment="1">
      <alignment horizontal="right"/>
    </xf>
    <xf numFmtId="0" fontId="62" fillId="0" borderId="0" xfId="836" applyNumberFormat="1" applyFont="1" applyAlignment="1">
      <alignment horizontal="right"/>
    </xf>
    <xf numFmtId="186" fontId="62" fillId="0" borderId="36" xfId="836" applyNumberFormat="1" applyFont="1" applyBorder="1" applyAlignment="1"/>
    <xf numFmtId="182" fontId="62" fillId="0" borderId="0" xfId="836" applyNumberFormat="1" applyFont="1" applyAlignment="1"/>
    <xf numFmtId="0" fontId="39" fillId="0" borderId="0" xfId="836" quotePrefix="1" applyNumberFormat="1" applyFont="1" applyAlignment="1">
      <alignment horizontal="left"/>
    </xf>
    <xf numFmtId="0" fontId="79" fillId="0" borderId="0" xfId="836" applyNumberFormat="1" applyFont="1" applyAlignment="1"/>
    <xf numFmtId="165" fontId="79" fillId="0" borderId="0" xfId="836" applyNumberFormat="1" applyFont="1" applyAlignment="1"/>
    <xf numFmtId="39" fontId="79" fillId="0" borderId="0" xfId="836" applyNumberFormat="1" applyFont="1" applyAlignment="1"/>
    <xf numFmtId="177" fontId="79" fillId="0" borderId="0" xfId="836" applyNumberFormat="1" applyFont="1" applyAlignment="1"/>
    <xf numFmtId="186" fontId="62" fillId="0" borderId="0" xfId="836" quotePrefix="1" applyNumberFormat="1" applyFont="1" applyAlignment="1">
      <alignment horizontal="center"/>
    </xf>
    <xf numFmtId="173" fontId="66" fillId="0" borderId="0" xfId="836" applyNumberFormat="1" applyFont="1" applyFill="1" applyAlignment="1"/>
    <xf numFmtId="0" fontId="67" fillId="0" borderId="0" xfId="836" applyNumberFormat="1" applyFont="1" applyFill="1" applyAlignment="1"/>
    <xf numFmtId="0" fontId="44" fillId="0" borderId="0" xfId="836" applyNumberFormat="1" applyFont="1" applyFill="1" applyAlignment="1"/>
    <xf numFmtId="173" fontId="39" fillId="0" borderId="0" xfId="836" applyNumberFormat="1" applyFont="1" applyFill="1" applyAlignment="1"/>
    <xf numFmtId="0" fontId="67" fillId="0" borderId="0" xfId="836" applyNumberFormat="1" applyFont="1" applyFill="1" applyAlignment="1">
      <alignment horizontal="right"/>
    </xf>
    <xf numFmtId="173" fontId="62" fillId="0" borderId="0" xfId="836" applyNumberFormat="1" applyFont="1" applyFill="1" applyAlignment="1"/>
    <xf numFmtId="0" fontId="44" fillId="0" borderId="0" xfId="836" applyNumberFormat="1" applyFont="1" applyFill="1" applyAlignment="1">
      <alignment horizontal="right"/>
    </xf>
    <xf numFmtId="0" fontId="67" fillId="0" borderId="0" xfId="836" quotePrefix="1" applyNumberFormat="1" applyFont="1" applyFill="1" applyAlignment="1">
      <alignment horizontal="left"/>
    </xf>
    <xf numFmtId="0" fontId="103" fillId="0" borderId="0" xfId="836" applyNumberFormat="1" applyFont="1" applyFill="1" applyAlignment="1"/>
    <xf numFmtId="182" fontId="39" fillId="0" borderId="0" xfId="836" applyNumberFormat="1" applyFont="1" applyFill="1" applyBorder="1" applyAlignment="1"/>
    <xf numFmtId="173" fontId="62" fillId="0" borderId="0" xfId="836" applyNumberFormat="1" applyFont="1" applyFill="1" applyBorder="1" applyAlignment="1"/>
    <xf numFmtId="165" fontId="62" fillId="0" borderId="0" xfId="836" applyNumberFormat="1" applyFont="1" applyFill="1" applyBorder="1" applyAlignment="1"/>
    <xf numFmtId="182" fontId="39" fillId="0" borderId="0" xfId="836" applyNumberFormat="1" applyFont="1" applyFill="1" applyAlignment="1"/>
    <xf numFmtId="182" fontId="44" fillId="0" borderId="0" xfId="836" applyNumberFormat="1" applyFont="1" applyFill="1" applyAlignment="1"/>
    <xf numFmtId="0" fontId="103" fillId="0" borderId="0" xfId="836" applyNumberFormat="1" applyFont="1" applyFill="1" applyBorder="1" applyAlignment="1"/>
    <xf numFmtId="173" fontId="44" fillId="0" borderId="0" xfId="836" applyNumberFormat="1" applyFont="1" applyFill="1" applyAlignment="1"/>
    <xf numFmtId="173" fontId="67" fillId="0" borderId="0" xfId="836" applyNumberFormat="1" applyFont="1" applyFill="1" applyAlignment="1"/>
    <xf numFmtId="182" fontId="39" fillId="0" borderId="0" xfId="836" quotePrefix="1" applyNumberFormat="1" applyFont="1" applyFill="1" applyAlignment="1">
      <alignment horizontal="left"/>
    </xf>
    <xf numFmtId="165" fontId="62" fillId="0" borderId="0" xfId="836" applyNumberFormat="1" applyFont="1" applyFill="1" applyAlignment="1"/>
    <xf numFmtId="173" fontId="67" fillId="0" borderId="0" xfId="836" applyNumberFormat="1" applyFont="1" applyFill="1" applyAlignment="1">
      <alignment horizontal="centerContinuous"/>
    </xf>
    <xf numFmtId="173" fontId="67" fillId="0" borderId="0" xfId="836" applyNumberFormat="1" applyFont="1" applyFill="1" applyAlignment="1">
      <alignment horizontal="center"/>
    </xf>
    <xf numFmtId="0" fontId="103" fillId="0" borderId="0" xfId="836" applyNumberFormat="1" applyFont="1" applyFill="1" applyAlignment="1">
      <alignment horizontal="center"/>
    </xf>
    <xf numFmtId="0" fontId="67" fillId="0" borderId="0" xfId="836" applyNumberFormat="1" applyFont="1" applyFill="1" applyBorder="1" applyAlignment="1">
      <alignment horizontal="center"/>
    </xf>
    <xf numFmtId="173" fontId="62" fillId="0" borderId="0" xfId="836" applyNumberFormat="1" applyFont="1" applyFill="1" applyAlignment="1">
      <alignment horizontal="right"/>
    </xf>
    <xf numFmtId="177" fontId="62" fillId="0" borderId="0" xfId="836" applyNumberFormat="1" applyFont="1" applyFill="1" applyAlignment="1"/>
    <xf numFmtId="173" fontId="62" fillId="0" borderId="0" xfId="836" applyNumberFormat="1" applyFont="1" applyFill="1" applyAlignment="1" applyProtection="1">
      <protection locked="0"/>
    </xf>
    <xf numFmtId="177" fontId="62" fillId="0" borderId="0" xfId="836" applyNumberFormat="1" applyFont="1" applyFill="1" applyAlignment="1" applyProtection="1">
      <protection locked="0"/>
    </xf>
    <xf numFmtId="173" fontId="62" fillId="0" borderId="0" xfId="836" applyNumberFormat="1" applyFont="1" applyFill="1" applyAlignment="1">
      <alignment horizontal="center"/>
    </xf>
    <xf numFmtId="177" fontId="62" fillId="0" borderId="0" xfId="836" applyNumberFormat="1" applyFont="1" applyFill="1" applyAlignment="1" applyProtection="1">
      <alignment horizontal="right"/>
      <protection locked="0"/>
    </xf>
    <xf numFmtId="177" fontId="62" fillId="0" borderId="0" xfId="836" applyNumberFormat="1" applyFont="1" applyFill="1" applyAlignment="1">
      <alignment horizontal="center"/>
    </xf>
    <xf numFmtId="0" fontId="63" fillId="0" borderId="0" xfId="836" applyNumberFormat="1" applyFont="1" applyFill="1" applyAlignment="1"/>
    <xf numFmtId="182" fontId="67" fillId="0" borderId="0" xfId="836" applyNumberFormat="1" applyFont="1" applyAlignment="1">
      <alignment horizontal="centerContinuous"/>
    </xf>
    <xf numFmtId="182" fontId="42" fillId="0" borderId="0" xfId="836" applyNumberFormat="1" applyFont="1" applyAlignment="1"/>
    <xf numFmtId="182" fontId="67" fillId="0" borderId="0" xfId="836" quotePrefix="1" applyNumberFormat="1" applyFont="1" applyAlignment="1">
      <alignment horizontal="left"/>
    </xf>
    <xf numFmtId="182" fontId="67" fillId="0" borderId="0" xfId="836" applyNumberFormat="1" applyFont="1" applyAlignment="1">
      <alignment horizontal="center"/>
    </xf>
    <xf numFmtId="182" fontId="103" fillId="0" borderId="0" xfId="836" applyNumberFormat="1" applyFont="1" applyAlignment="1">
      <alignment horizontal="center"/>
    </xf>
    <xf numFmtId="182" fontId="67" fillId="0" borderId="20" xfId="836" applyNumberFormat="1" applyFont="1" applyBorder="1" applyAlignment="1">
      <alignment horizontal="center"/>
    </xf>
    <xf numFmtId="182" fontId="67" fillId="0" borderId="20" xfId="836" quotePrefix="1" applyNumberFormat="1" applyFont="1" applyBorder="1" applyAlignment="1">
      <alignment horizontal="fill"/>
    </xf>
    <xf numFmtId="182" fontId="103" fillId="0" borderId="0" xfId="836" applyNumberFormat="1" applyFont="1" applyAlignment="1"/>
    <xf numFmtId="182" fontId="62" fillId="0" borderId="0" xfId="836" applyNumberFormat="1" applyFont="1" applyAlignment="1">
      <alignment horizontal="left"/>
    </xf>
    <xf numFmtId="181" fontId="62" fillId="0" borderId="0" xfId="836" applyNumberFormat="1" applyFont="1" applyAlignment="1">
      <alignment horizontal="right"/>
    </xf>
    <xf numFmtId="182" fontId="62" fillId="0" borderId="0" xfId="836" quotePrefix="1" applyNumberFormat="1" applyFont="1" applyAlignment="1">
      <alignment horizontal="left"/>
    </xf>
    <xf numFmtId="178" fontId="62" fillId="0" borderId="0" xfId="836" applyNumberFormat="1" applyFont="1" applyAlignment="1"/>
    <xf numFmtId="182" fontId="67" fillId="0" borderId="0" xfId="836" applyNumberFormat="1" applyFont="1" applyAlignment="1">
      <alignment horizontal="left"/>
    </xf>
    <xf numFmtId="181" fontId="67" fillId="0" borderId="48" xfId="836" applyNumberFormat="1" applyFont="1" applyBorder="1" applyAlignment="1">
      <alignment horizontal="right"/>
    </xf>
    <xf numFmtId="181" fontId="67" fillId="0" borderId="0" xfId="836" applyNumberFormat="1" applyFont="1" applyAlignment="1">
      <alignment horizontal="right"/>
    </xf>
    <xf numFmtId="182" fontId="43" fillId="0" borderId="0" xfId="836" applyNumberFormat="1" applyFont="1" applyAlignment="1"/>
    <xf numFmtId="182" fontId="62" fillId="0" borderId="0" xfId="836" applyNumberFormat="1" applyFont="1" applyBorder="1" applyAlignment="1"/>
    <xf numFmtId="182" fontId="103" fillId="0" borderId="0" xfId="836" quotePrefix="1" applyNumberFormat="1" applyFont="1" applyAlignment="1">
      <alignment horizontal="left"/>
    </xf>
    <xf numFmtId="182" fontId="42" fillId="0" borderId="0" xfId="836" applyNumberFormat="1" applyFont="1" applyAlignment="1">
      <alignment horizontal="left" vertical="top" wrapText="1"/>
    </xf>
    <xf numFmtId="0" fontId="39" fillId="0" borderId="0" xfId="836" applyBorder="1" applyAlignment="1"/>
    <xf numFmtId="182" fontId="42" fillId="0" borderId="0" xfId="836" applyNumberFormat="1" applyFont="1" applyBorder="1" applyAlignment="1">
      <alignment horizontal="left" vertical="top" wrapText="1"/>
    </xf>
    <xf numFmtId="182" fontId="42" fillId="0" borderId="0" xfId="836" quotePrefix="1" applyNumberFormat="1" applyFont="1" applyBorder="1" applyAlignment="1">
      <alignment horizontal="left" wrapText="1"/>
    </xf>
    <xf numFmtId="182" fontId="42" fillId="0" borderId="0" xfId="836" applyNumberFormat="1" applyFont="1" applyBorder="1" applyAlignment="1"/>
    <xf numFmtId="182" fontId="42" fillId="0" borderId="0" xfId="836" applyNumberFormat="1" applyFont="1" applyBorder="1" applyAlignment="1">
      <alignment horizontal="right"/>
    </xf>
    <xf numFmtId="39" fontId="42" fillId="0" borderId="0" xfId="836" applyNumberFormat="1" applyFont="1" applyBorder="1" applyAlignment="1"/>
    <xf numFmtId="39" fontId="42" fillId="0" borderId="0" xfId="836" applyNumberFormat="1" applyFont="1" applyAlignment="1"/>
    <xf numFmtId="182" fontId="42" fillId="0" borderId="0" xfId="836" quotePrefix="1" applyNumberFormat="1" applyFont="1" applyBorder="1" applyAlignment="1">
      <alignment horizontal="left"/>
    </xf>
    <xf numFmtId="39" fontId="42" fillId="0" borderId="0" xfId="836" quotePrefix="1" applyNumberFormat="1" applyFont="1" applyBorder="1" applyAlignment="1">
      <alignment horizontal="center"/>
    </xf>
    <xf numFmtId="39" fontId="42" fillId="0" borderId="0" xfId="836" quotePrefix="1" applyNumberFormat="1" applyFont="1" applyBorder="1" applyAlignment="1">
      <alignment horizontal="right"/>
    </xf>
    <xf numFmtId="182" fontId="43" fillId="0" borderId="0" xfId="836" quotePrefix="1" applyNumberFormat="1" applyFont="1" applyBorder="1" applyAlignment="1">
      <alignment horizontal="left"/>
    </xf>
    <xf numFmtId="182" fontId="42" fillId="0" borderId="0" xfId="836" applyNumberFormat="1" applyFont="1" applyBorder="1" applyAlignment="1">
      <alignment horizontal="left"/>
    </xf>
    <xf numFmtId="39" fontId="43" fillId="0" borderId="0" xfId="836" quotePrefix="1" applyNumberFormat="1" applyFont="1" applyBorder="1" applyAlignment="1">
      <alignment horizontal="center"/>
    </xf>
    <xf numFmtId="39" fontId="43" fillId="0" borderId="0" xfId="836" applyNumberFormat="1" applyFont="1" applyBorder="1" applyAlignment="1"/>
    <xf numFmtId="165" fontId="42" fillId="0" borderId="0" xfId="840" applyNumberFormat="1" applyFont="1" applyAlignment="1"/>
    <xf numFmtId="165" fontId="109" fillId="0" borderId="0" xfId="840" applyNumberFormat="1" applyFont="1" applyAlignment="1">
      <alignment horizontal="right"/>
    </xf>
    <xf numFmtId="39" fontId="42" fillId="0" borderId="0" xfId="840" applyNumberFormat="1" applyFont="1" applyAlignment="1"/>
    <xf numFmtId="40" fontId="42" fillId="0" borderId="0" xfId="840" applyNumberFormat="1" applyFont="1" applyAlignment="1"/>
    <xf numFmtId="165" fontId="66" fillId="0" borderId="0" xfId="840" applyNumberFormat="1" applyFont="1" applyAlignment="1"/>
    <xf numFmtId="5" fontId="44" fillId="0" borderId="0" xfId="840" applyNumberFormat="1" applyFont="1" applyAlignment="1"/>
    <xf numFmtId="40" fontId="44" fillId="0" borderId="0" xfId="840" applyNumberFormat="1" applyFont="1" applyAlignment="1"/>
    <xf numFmtId="165" fontId="76" fillId="0" borderId="0" xfId="840" applyNumberFormat="1" applyFont="1" applyAlignment="1">
      <alignment horizontal="right"/>
    </xf>
    <xf numFmtId="0" fontId="68" fillId="0" borderId="0" xfId="840" quotePrefix="1" applyNumberFormat="1" applyFont="1" applyAlignment="1">
      <alignment horizontal="left"/>
    </xf>
    <xf numFmtId="0" fontId="67" fillId="0" borderId="0" xfId="840" applyNumberFormat="1" applyFont="1" applyAlignment="1"/>
    <xf numFmtId="40" fontId="110" fillId="0" borderId="0" xfId="840" applyNumberFormat="1" applyFont="1" applyAlignment="1">
      <alignment horizontal="center"/>
    </xf>
    <xf numFmtId="40" fontId="44" fillId="0" borderId="0" xfId="840" quotePrefix="1" applyNumberFormat="1" applyFont="1" applyBorder="1" applyAlignment="1">
      <alignment horizontal="left"/>
    </xf>
    <xf numFmtId="40" fontId="44" fillId="0" borderId="0" xfId="840" applyNumberFormat="1" applyFont="1" applyBorder="1" applyAlignment="1">
      <alignment horizontal="left"/>
    </xf>
    <xf numFmtId="39" fontId="44" fillId="0" borderId="0" xfId="840" quotePrefix="1" applyNumberFormat="1" applyFont="1" applyAlignment="1">
      <alignment horizontal="center"/>
    </xf>
    <xf numFmtId="40" fontId="44" fillId="0" borderId="0" xfId="840" applyNumberFormat="1" applyFont="1" applyAlignment="1">
      <alignment horizontal="center"/>
    </xf>
    <xf numFmtId="40" fontId="44" fillId="0" borderId="0" xfId="840" applyNumberFormat="1" applyFont="1" applyBorder="1" applyAlignment="1">
      <alignment horizontal="center"/>
    </xf>
    <xf numFmtId="39" fontId="44" fillId="0" borderId="0" xfId="840" applyNumberFormat="1" applyFont="1" applyAlignment="1">
      <alignment horizontal="center"/>
    </xf>
    <xf numFmtId="39" fontId="44" fillId="0" borderId="0" xfId="840" applyNumberFormat="1" applyFont="1" applyBorder="1" applyAlignment="1">
      <alignment horizontal="center"/>
    </xf>
    <xf numFmtId="37" fontId="44" fillId="0" borderId="0" xfId="840" applyNumberFormat="1" applyFont="1" applyFill="1" applyBorder="1" applyAlignment="1"/>
    <xf numFmtId="187" fontId="44" fillId="0" borderId="0" xfId="840" quotePrefix="1" applyNumberFormat="1" applyFont="1" applyBorder="1" applyAlignment="1">
      <alignment horizontal="center"/>
    </xf>
    <xf numFmtId="165" fontId="66" fillId="0" borderId="0" xfId="840" applyNumberFormat="1" applyFont="1" applyBorder="1" applyAlignment="1"/>
    <xf numFmtId="42" fontId="44" fillId="0" borderId="0" xfId="840" applyNumberFormat="1" applyFont="1" applyAlignment="1"/>
    <xf numFmtId="42" fontId="44" fillId="0" borderId="0" xfId="840" applyNumberFormat="1" applyFont="1" applyBorder="1" applyAlignment="1"/>
    <xf numFmtId="42" fontId="44" fillId="0" borderId="0" xfId="840" applyNumberFormat="1" applyFont="1" applyFill="1" applyBorder="1" applyAlignment="1"/>
    <xf numFmtId="37" fontId="44" fillId="0" borderId="0" xfId="840" applyNumberFormat="1" applyFont="1" applyAlignment="1"/>
    <xf numFmtId="165" fontId="76" fillId="0" borderId="0" xfId="840" applyNumberFormat="1" applyFont="1" applyAlignment="1"/>
    <xf numFmtId="0" fontId="44" fillId="0" borderId="0" xfId="840" applyNumberFormat="1" applyFont="1" applyAlignment="1"/>
    <xf numFmtId="41" fontId="44" fillId="0" borderId="16" xfId="840" applyNumberFormat="1" applyFont="1" applyBorder="1" applyAlignment="1"/>
    <xf numFmtId="41" fontId="44" fillId="0" borderId="0" xfId="840" applyNumberFormat="1" applyFont="1" applyBorder="1" applyAlignment="1"/>
    <xf numFmtId="41" fontId="44" fillId="0" borderId="0" xfId="840" applyNumberFormat="1" applyFont="1" applyAlignment="1"/>
    <xf numFmtId="41" fontId="44" fillId="0" borderId="16" xfId="840" applyNumberFormat="1" applyFont="1" applyFill="1" applyBorder="1" applyAlignment="1"/>
    <xf numFmtId="41" fontId="44" fillId="0" borderId="0" xfId="840" applyNumberFormat="1" applyFont="1" applyFill="1" applyBorder="1" applyAlignment="1"/>
    <xf numFmtId="0" fontId="44" fillId="0" borderId="0" xfId="840" applyNumberFormat="1" applyFont="1" applyFill="1" applyAlignment="1"/>
    <xf numFmtId="0" fontId="44" fillId="0" borderId="0" xfId="840" applyNumberFormat="1" applyFont="1" applyFill="1" applyAlignment="1">
      <alignment horizontal="left"/>
    </xf>
    <xf numFmtId="41" fontId="66" fillId="0" borderId="0" xfId="840" applyNumberFormat="1" applyFont="1" applyAlignment="1"/>
    <xf numFmtId="41" fontId="44" fillId="0" borderId="16" xfId="840" quotePrefix="1" applyNumberFormat="1" applyFont="1" applyBorder="1" applyAlignment="1"/>
    <xf numFmtId="42" fontId="44" fillId="0" borderId="17" xfId="840" applyNumberFormat="1" applyFont="1" applyBorder="1" applyAlignment="1"/>
    <xf numFmtId="37" fontId="44" fillId="0" borderId="0" xfId="840" applyNumberFormat="1" applyFont="1" applyFill="1" applyAlignment="1"/>
    <xf numFmtId="42" fontId="44" fillId="0" borderId="0" xfId="840" applyNumberFormat="1" applyFont="1" applyFill="1" applyAlignment="1"/>
    <xf numFmtId="0" fontId="42" fillId="0" borderId="0" xfId="840" applyNumberFormat="1" applyFont="1" applyAlignment="1">
      <alignment horizontal="left"/>
    </xf>
    <xf numFmtId="0" fontId="62" fillId="0" borderId="0" xfId="840" quotePrefix="1" applyNumberFormat="1" applyFont="1" applyAlignment="1">
      <alignment horizontal="left"/>
    </xf>
    <xf numFmtId="0" fontId="116" fillId="0" borderId="0" xfId="841" applyFont="1"/>
    <xf numFmtId="166" fontId="59" fillId="0" borderId="0" xfId="2" applyNumberFormat="1" applyFont="1" applyAlignment="1"/>
    <xf numFmtId="166" fontId="59" fillId="0" borderId="0" xfId="2" quotePrefix="1" applyNumberFormat="1" applyFont="1" applyAlignment="1">
      <alignment horizontal="left"/>
    </xf>
    <xf numFmtId="166" fontId="60" fillId="0" borderId="0" xfId="2" applyNumberFormat="1" applyFont="1" applyAlignment="1">
      <alignment horizontal="center"/>
    </xf>
    <xf numFmtId="166" fontId="60" fillId="0" borderId="20" xfId="2" applyNumberFormat="1" applyFont="1" applyBorder="1" applyAlignment="1"/>
    <xf numFmtId="174" fontId="59" fillId="0" borderId="0" xfId="2" applyNumberFormat="1" applyFont="1" applyAlignment="1"/>
    <xf numFmtId="174" fontId="59" fillId="0" borderId="18" xfId="2" applyNumberFormat="1" applyFont="1" applyBorder="1" applyAlignment="1"/>
    <xf numFmtId="174" fontId="59" fillId="0" borderId="21" xfId="2" applyNumberFormat="1" applyFont="1" applyBorder="1" applyAlignment="1"/>
    <xf numFmtId="166" fontId="60" fillId="0" borderId="0" xfId="2" applyNumberFormat="1" applyFont="1" applyAlignment="1">
      <alignment horizontal="right"/>
    </xf>
    <xf numFmtId="166" fontId="60" fillId="0" borderId="18" xfId="2" applyNumberFormat="1" applyFont="1" applyBorder="1" applyAlignment="1"/>
    <xf numFmtId="166" fontId="60" fillId="0" borderId="21" xfId="2" applyNumberFormat="1" applyFont="1" applyBorder="1" applyAlignment="1"/>
    <xf numFmtId="170" fontId="60" fillId="0" borderId="0" xfId="2" applyNumberFormat="1" applyFont="1" applyAlignment="1"/>
    <xf numFmtId="170" fontId="60" fillId="0" borderId="18" xfId="2" applyNumberFormat="1" applyFont="1" applyBorder="1" applyAlignment="1"/>
    <xf numFmtId="170" fontId="60" fillId="0" borderId="21" xfId="2" applyNumberFormat="1" applyFont="1" applyBorder="1" applyAlignment="1"/>
    <xf numFmtId="170" fontId="60" fillId="0" borderId="13" xfId="2" applyNumberFormat="1" applyFont="1" applyBorder="1" applyAlignment="1"/>
    <xf numFmtId="170" fontId="60" fillId="0" borderId="10" xfId="2" applyNumberFormat="1" applyFont="1" applyBorder="1" applyAlignment="1"/>
    <xf numFmtId="170" fontId="60" fillId="0" borderId="67" xfId="2" applyNumberFormat="1" applyFont="1" applyBorder="1" applyAlignment="1"/>
    <xf numFmtId="166" fontId="60" fillId="0" borderId="19" xfId="2" applyNumberFormat="1" applyFont="1" applyBorder="1" applyAlignment="1"/>
    <xf numFmtId="170" fontId="59" fillId="0" borderId="10" xfId="2" applyNumberFormat="1" applyFont="1" applyBorder="1" applyAlignment="1">
      <alignment horizontal="right"/>
    </xf>
    <xf numFmtId="170" fontId="59" fillId="0" borderId="0" xfId="2" applyNumberFormat="1" applyFont="1" applyAlignment="1"/>
    <xf numFmtId="170" fontId="59" fillId="0" borderId="18" xfId="2" applyNumberFormat="1" applyFont="1" applyBorder="1" applyAlignment="1"/>
    <xf numFmtId="170" fontId="59" fillId="0" borderId="21" xfId="2" applyNumberFormat="1" applyFont="1" applyBorder="1" applyAlignment="1"/>
    <xf numFmtId="170" fontId="64" fillId="0" borderId="0" xfId="2" applyNumberFormat="1" applyFont="1" applyBorder="1" applyAlignment="1"/>
    <xf numFmtId="170" fontId="60" fillId="0" borderId="0" xfId="2" applyNumberFormat="1" applyFont="1" applyBorder="1" applyAlignment="1"/>
    <xf numFmtId="170" fontId="60" fillId="0" borderId="24" xfId="2" applyNumberFormat="1" applyFont="1" applyBorder="1" applyAlignment="1"/>
    <xf numFmtId="170" fontId="60" fillId="0" borderId="0" xfId="2" applyNumberFormat="1" applyFont="1" applyBorder="1" applyAlignment="1">
      <alignment horizontal="right"/>
    </xf>
    <xf numFmtId="170" fontId="39" fillId="0" borderId="67" xfId="2" applyNumberFormat="1" applyFont="1" applyBorder="1" applyAlignment="1"/>
    <xf numFmtId="166" fontId="60" fillId="0" borderId="0" xfId="2" quotePrefix="1" applyNumberFormat="1" applyFont="1" applyAlignment="1">
      <alignment horizontal="left"/>
    </xf>
    <xf numFmtId="170" fontId="59" fillId="0" borderId="16" xfId="2" applyNumberFormat="1" applyFont="1" applyBorder="1" applyAlignment="1"/>
    <xf numFmtId="170" fontId="59" fillId="0" borderId="24" xfId="2" applyNumberFormat="1" applyFont="1" applyBorder="1" applyAlignment="1"/>
    <xf numFmtId="170" fontId="59" fillId="0" borderId="10" xfId="2" applyNumberFormat="1" applyFont="1" applyBorder="1" applyAlignment="1"/>
    <xf numFmtId="170" fontId="138" fillId="0" borderId="0" xfId="2" applyNumberFormat="1" applyFont="1" applyBorder="1" applyAlignment="1"/>
    <xf numFmtId="170" fontId="138" fillId="0" borderId="0" xfId="2" applyNumberFormat="1" applyFont="1" applyAlignment="1"/>
    <xf numFmtId="170" fontId="60" fillId="0" borderId="0" xfId="2" applyNumberFormat="1" applyFont="1" applyAlignment="1">
      <alignment horizontal="center"/>
    </xf>
    <xf numFmtId="170" fontId="60" fillId="0" borderId="0" xfId="2" quotePrefix="1" applyNumberFormat="1" applyFont="1" applyAlignment="1">
      <alignment horizontal="center"/>
    </xf>
    <xf numFmtId="170" fontId="64" fillId="0" borderId="18" xfId="2" applyNumberFormat="1" applyFont="1" applyBorder="1" applyAlignment="1"/>
    <xf numFmtId="170" fontId="65" fillId="0" borderId="0" xfId="2" applyNumberFormat="1" applyFont="1" applyAlignment="1"/>
    <xf numFmtId="170" fontId="65" fillId="0" borderId="18" xfId="2" applyNumberFormat="1" applyFont="1" applyBorder="1" applyAlignment="1"/>
    <xf numFmtId="170" fontId="59" fillId="0" borderId="0" xfId="2" applyNumberFormat="1" applyFont="1" applyAlignment="1">
      <alignment horizontal="right"/>
    </xf>
    <xf numFmtId="166" fontId="64" fillId="0" borderId="18" xfId="2" applyNumberFormat="1" applyFont="1" applyBorder="1" applyAlignment="1"/>
    <xf numFmtId="166" fontId="44" fillId="0" borderId="0" xfId="2" applyNumberFormat="1" applyFont="1" applyFill="1" applyAlignment="1">
      <alignment horizontal="left"/>
    </xf>
    <xf numFmtId="174" fontId="59" fillId="0" borderId="17" xfId="2" applyNumberFormat="1" applyFont="1" applyBorder="1" applyAlignment="1"/>
    <xf numFmtId="174" fontId="65" fillId="0" borderId="0" xfId="2" applyNumberFormat="1" applyFont="1" applyAlignment="1">
      <alignment horizontal="right"/>
    </xf>
    <xf numFmtId="174" fontId="65" fillId="0" borderId="18" xfId="2" applyNumberFormat="1" applyFont="1" applyBorder="1" applyAlignment="1"/>
    <xf numFmtId="166" fontId="46" fillId="0" borderId="0" xfId="2" applyNumberFormat="1" applyFont="1" applyFill="1" applyAlignment="1"/>
    <xf numFmtId="43" fontId="42" fillId="0" borderId="0" xfId="5" applyFont="1" applyFill="1" applyBorder="1" applyAlignment="1">
      <alignment horizontal="right"/>
    </xf>
    <xf numFmtId="43" fontId="43" fillId="0" borderId="0" xfId="5" applyFont="1" applyFill="1" applyBorder="1" applyAlignment="1">
      <alignment horizontal="right"/>
    </xf>
    <xf numFmtId="39" fontId="43" fillId="0" borderId="0" xfId="4" applyNumberFormat="1" applyFont="1" applyFill="1" applyBorder="1"/>
    <xf numFmtId="39" fontId="57" fillId="0" borderId="0" xfId="4" applyNumberFormat="1" applyFont="1" applyFill="1" applyBorder="1"/>
    <xf numFmtId="7" fontId="43" fillId="0" borderId="0" xfId="4" applyNumberFormat="1" applyFont="1" applyFill="1" applyBorder="1"/>
    <xf numFmtId="0" fontId="82" fillId="0" borderId="0" xfId="8" applyFont="1" applyAlignment="1"/>
    <xf numFmtId="0" fontId="139" fillId="0" borderId="0" xfId="8" applyFont="1" applyAlignment="1"/>
    <xf numFmtId="0" fontId="114" fillId="0" borderId="0" xfId="8" applyFont="1" applyAlignment="1"/>
    <xf numFmtId="0" fontId="49" fillId="0" borderId="0" xfId="8" applyFont="1" applyAlignment="1"/>
    <xf numFmtId="0" fontId="49" fillId="0" borderId="0" xfId="8" applyFont="1"/>
    <xf numFmtId="0" fontId="49" fillId="0" borderId="0" xfId="8" applyFont="1" applyAlignment="1">
      <alignment horizontal="left"/>
    </xf>
    <xf numFmtId="0" fontId="49" fillId="0" borderId="0" xfId="8" applyFont="1" applyAlignment="1">
      <alignment horizontal="right" indent="15"/>
    </xf>
    <xf numFmtId="0" fontId="114" fillId="0" borderId="0" xfId="8" applyFont="1" applyAlignment="1">
      <alignment horizontal="right"/>
    </xf>
    <xf numFmtId="0" fontId="42" fillId="0" borderId="0" xfId="8" applyFont="1" applyAlignment="1">
      <alignment horizontal="center"/>
    </xf>
    <xf numFmtId="0" fontId="49" fillId="0" borderId="0" xfId="8" applyFont="1" applyAlignment="1">
      <alignment horizontal="center"/>
    </xf>
    <xf numFmtId="0" fontId="49" fillId="0" borderId="0" xfId="8" applyFont="1" applyAlignment="1">
      <alignment horizontal="right"/>
    </xf>
    <xf numFmtId="0" fontId="140" fillId="0" borderId="0" xfId="8" applyFont="1" applyAlignment="1">
      <alignment horizontal="left"/>
    </xf>
    <xf numFmtId="0" fontId="140" fillId="0" borderId="0" xfId="8" applyFont="1"/>
    <xf numFmtId="0" fontId="114" fillId="0" borderId="0" xfId="8" quotePrefix="1" applyFont="1" applyAlignment="1">
      <alignment horizontal="right"/>
    </xf>
    <xf numFmtId="166" fontId="49" fillId="0" borderId="0" xfId="8" quotePrefix="1" applyNumberFormat="1" applyFont="1" applyAlignment="1">
      <alignment horizontal="right"/>
    </xf>
    <xf numFmtId="0" fontId="140" fillId="0" borderId="0" xfId="8" applyFont="1" applyAlignment="1"/>
    <xf numFmtId="192" fontId="49" fillId="0" borderId="0" xfId="8" quotePrefix="1" applyNumberFormat="1" applyFont="1" applyAlignment="1">
      <alignment horizontal="right"/>
    </xf>
    <xf numFmtId="165" fontId="49" fillId="0" borderId="0" xfId="8" applyNumberFormat="1" applyFont="1" applyAlignment="1">
      <alignment horizontal="right"/>
    </xf>
    <xf numFmtId="0" fontId="141" fillId="0" borderId="0" xfId="8" applyFont="1"/>
    <xf numFmtId="0" fontId="114" fillId="0" borderId="0" xfId="8" applyFont="1" applyAlignment="1">
      <alignment horizontal="center"/>
    </xf>
    <xf numFmtId="189" fontId="49" fillId="0" borderId="0" xfId="8" quotePrefix="1" applyNumberFormat="1" applyFont="1"/>
    <xf numFmtId="3" fontId="49" fillId="0" borderId="0" xfId="8" quotePrefix="1" applyNumberFormat="1" applyFont="1"/>
    <xf numFmtId="0" fontId="49" fillId="0" borderId="0" xfId="8" applyFont="1" applyFill="1" applyAlignment="1"/>
    <xf numFmtId="3" fontId="49" fillId="0" borderId="0" xfId="8" quotePrefix="1" applyNumberFormat="1" applyFont="1" applyAlignment="1">
      <alignment horizontal="right"/>
    </xf>
    <xf numFmtId="3" fontId="49" fillId="0" borderId="0" xfId="8" quotePrefix="1" applyNumberFormat="1" applyFont="1" applyAlignment="1">
      <alignment horizontal="center"/>
    </xf>
    <xf numFmtId="0" fontId="49" fillId="0" borderId="0" xfId="8" applyFont="1" applyFill="1"/>
    <xf numFmtId="174" fontId="49" fillId="0" borderId="0" xfId="8" applyNumberFormat="1" applyFont="1" applyFill="1" applyAlignment="1"/>
    <xf numFmtId="170" fontId="49" fillId="0" borderId="0" xfId="8" applyNumberFormat="1" applyFont="1" applyFill="1" applyAlignment="1"/>
    <xf numFmtId="189" fontId="49" fillId="0" borderId="0" xfId="8" applyNumberFormat="1" applyFont="1" applyAlignment="1"/>
    <xf numFmtId="3" fontId="49" fillId="0" borderId="0" xfId="8" applyNumberFormat="1" applyFont="1"/>
    <xf numFmtId="170" fontId="140" fillId="0" borderId="0" xfId="8" applyNumberFormat="1" applyFont="1"/>
    <xf numFmtId="189" fontId="49" fillId="0" borderId="0" xfId="8" applyNumberFormat="1" applyFont="1" applyBorder="1"/>
    <xf numFmtId="0" fontId="49" fillId="0" borderId="0" xfId="8" quotePrefix="1" applyFont="1" applyAlignment="1">
      <alignment horizontal="left"/>
    </xf>
    <xf numFmtId="3" fontId="49" fillId="0" borderId="0" xfId="8" quotePrefix="1" applyNumberFormat="1" applyFont="1" applyBorder="1" applyAlignment="1">
      <alignment horizontal="center"/>
    </xf>
    <xf numFmtId="0" fontId="139" fillId="0" borderId="0" xfId="8" applyFont="1" applyAlignment="1">
      <alignment horizontal="center"/>
    </xf>
    <xf numFmtId="1" fontId="114" fillId="0" borderId="0" xfId="8" quotePrefix="1" applyNumberFormat="1" applyFont="1" applyAlignment="1">
      <alignment horizontal="right"/>
    </xf>
    <xf numFmtId="0" fontId="49" fillId="0" borderId="0" xfId="8" applyFont="1" applyBorder="1"/>
    <xf numFmtId="0" fontId="49" fillId="0" borderId="0" xfId="8" applyFont="1" applyFill="1" applyBorder="1" applyAlignment="1"/>
    <xf numFmtId="0" fontId="49" fillId="0" borderId="0" xfId="8" applyFont="1" applyFill="1" applyBorder="1"/>
    <xf numFmtId="0" fontId="140" fillId="0" borderId="0" xfId="8" applyFont="1" applyBorder="1"/>
    <xf numFmtId="192" fontId="49" fillId="0" borderId="0" xfId="8" applyNumberFormat="1" applyFont="1" applyBorder="1"/>
    <xf numFmtId="6" fontId="49" fillId="0" borderId="0" xfId="8" applyNumberFormat="1" applyFont="1" applyAlignment="1"/>
    <xf numFmtId="176" fontId="49" fillId="0" borderId="0" xfId="8" quotePrefix="1" applyNumberFormat="1" applyFont="1" applyAlignment="1">
      <alignment horizontal="right"/>
    </xf>
    <xf numFmtId="193" fontId="49" fillId="0" borderId="0" xfId="8" applyNumberFormat="1" applyFont="1"/>
    <xf numFmtId="176" fontId="49" fillId="0" borderId="0" xfId="8" quotePrefix="1" applyNumberFormat="1" applyFont="1" applyBorder="1" applyAlignment="1"/>
    <xf numFmtId="0" fontId="43" fillId="0" borderId="0" xfId="860" applyNumberFormat="1" applyFont="1" applyAlignment="1">
      <alignment horizontal="centerContinuous"/>
    </xf>
    <xf numFmtId="37" fontId="43" fillId="0" borderId="0" xfId="860" applyNumberFormat="1" applyFont="1" applyAlignment="1">
      <alignment horizontal="centerContinuous"/>
    </xf>
    <xf numFmtId="0" fontId="43" fillId="0" borderId="0" xfId="860" applyNumberFormat="1" applyFont="1" applyAlignment="1"/>
    <xf numFmtId="0" fontId="42" fillId="0" borderId="0" xfId="860" applyNumberFormat="1" applyFont="1" applyAlignment="1">
      <alignment horizontal="centerContinuous"/>
    </xf>
    <xf numFmtId="37" fontId="67" fillId="0" borderId="0" xfId="860" applyNumberFormat="1" applyFont="1" applyAlignment="1">
      <alignment horizontal="centerContinuous"/>
    </xf>
    <xf numFmtId="0" fontId="42" fillId="0" borderId="0" xfId="860" applyNumberFormat="1" applyFont="1" applyAlignment="1"/>
    <xf numFmtId="0" fontId="43" fillId="0" borderId="69" xfId="860" applyNumberFormat="1" applyFont="1" applyBorder="1" applyAlignment="1">
      <alignment horizontal="centerContinuous"/>
    </xf>
    <xf numFmtId="0" fontId="42" fillId="0" borderId="36" xfId="860" applyNumberFormat="1" applyFont="1" applyBorder="1" applyAlignment="1">
      <alignment horizontal="centerContinuous"/>
    </xf>
    <xf numFmtId="37" fontId="67" fillId="0" borderId="70" xfId="860" applyNumberFormat="1" applyFont="1" applyBorder="1" applyAlignment="1"/>
    <xf numFmtId="0" fontId="43" fillId="0" borderId="36" xfId="860" applyNumberFormat="1" applyFont="1" applyBorder="1" applyAlignment="1"/>
    <xf numFmtId="0" fontId="42" fillId="0" borderId="36" xfId="860" applyNumberFormat="1" applyFont="1" applyBorder="1"/>
    <xf numFmtId="37" fontId="67" fillId="0" borderId="0" xfId="860" applyNumberFormat="1" applyFont="1" applyAlignment="1"/>
    <xf numFmtId="37" fontId="42" fillId="0" borderId="0" xfId="860" applyNumberFormat="1" applyFont="1" applyAlignment="1"/>
    <xf numFmtId="37" fontId="40" fillId="0" borderId="0" xfId="860" applyNumberFormat="1" applyFont="1" applyAlignment="1"/>
    <xf numFmtId="0" fontId="42" fillId="0" borderId="67" xfId="860" applyNumberFormat="1" applyFont="1" applyBorder="1" applyAlignment="1"/>
    <xf numFmtId="0" fontId="142" fillId="0" borderId="0" xfId="860" applyNumberFormat="1" applyFont="1" applyAlignment="1"/>
    <xf numFmtId="37" fontId="42" fillId="0" borderId="0" xfId="860" applyNumberFormat="1" applyFont="1" applyAlignment="1">
      <alignment horizontal="left"/>
    </xf>
    <xf numFmtId="0" fontId="42" fillId="0" borderId="16" xfId="860" applyNumberFormat="1" applyFont="1" applyBorder="1" applyAlignment="1"/>
    <xf numFmtId="0" fontId="142" fillId="0" borderId="16" xfId="860" applyNumberFormat="1" applyFont="1" applyBorder="1" applyAlignment="1"/>
    <xf numFmtId="0" fontId="40" fillId="0" borderId="0" xfId="860" applyNumberFormat="1" applyFont="1" applyAlignment="1"/>
    <xf numFmtId="0" fontId="111" fillId="0" borderId="0" xfId="860" applyNumberFormat="1" applyFont="1" applyAlignment="1"/>
    <xf numFmtId="0" fontId="42" fillId="0" borderId="20" xfId="860" applyNumberFormat="1" applyFont="1" applyBorder="1" applyAlignment="1"/>
    <xf numFmtId="0" fontId="42" fillId="0" borderId="40" xfId="860" applyNumberFormat="1" applyFont="1" applyBorder="1" applyAlignment="1"/>
    <xf numFmtId="165" fontId="42" fillId="0" borderId="0" xfId="860" applyNumberFormat="1" applyFont="1" applyAlignment="1">
      <alignment horizontal="left"/>
    </xf>
    <xf numFmtId="0" fontId="42" fillId="0" borderId="0" xfId="860" applyNumberFormat="1" applyFont="1" applyBorder="1" applyAlignment="1"/>
    <xf numFmtId="0" fontId="43" fillId="0" borderId="0" xfId="860" applyNumberFormat="1" applyFont="1" applyBorder="1" applyAlignment="1"/>
    <xf numFmtId="0" fontId="143" fillId="0" borderId="0" xfId="860" applyFont="1" applyBorder="1" applyAlignment="1">
      <alignment vertical="top" wrapText="1"/>
    </xf>
    <xf numFmtId="0" fontId="42" fillId="0" borderId="16" xfId="860" applyNumberFormat="1" applyFont="1" applyBorder="1" applyAlignment="1">
      <alignment horizontal="left"/>
    </xf>
    <xf numFmtId="0" fontId="84" fillId="0" borderId="0" xfId="860" applyNumberFormat="1" applyFont="1" applyAlignment="1"/>
    <xf numFmtId="0" fontId="142" fillId="0" borderId="0" xfId="860" applyNumberFormat="1" applyFont="1" applyBorder="1" applyAlignment="1"/>
    <xf numFmtId="0" fontId="84" fillId="0" borderId="0" xfId="860" applyNumberFormat="1" applyFont="1" applyBorder="1" applyAlignment="1"/>
    <xf numFmtId="0" fontId="42" fillId="0" borderId="0" xfId="860" applyNumberFormat="1" applyFont="1" applyAlignment="1">
      <alignment horizontal="left"/>
    </xf>
    <xf numFmtId="0" fontId="42" fillId="0" borderId="0" xfId="860" applyNumberFormat="1" applyFont="1" applyBorder="1" applyAlignment="1">
      <alignment horizontal="left"/>
    </xf>
    <xf numFmtId="166" fontId="37" fillId="0" borderId="0" xfId="0" applyNumberFormat="1" applyFont="1" applyBorder="1" applyAlignment="1"/>
    <xf numFmtId="174" fontId="37" fillId="0" borderId="0" xfId="0" applyNumberFormat="1" applyFont="1" applyAlignment="1">
      <alignment horizontal="right"/>
    </xf>
    <xf numFmtId="170" fontId="37" fillId="0" borderId="0" xfId="0" applyNumberFormat="1" applyFont="1" applyAlignment="1"/>
    <xf numFmtId="170" fontId="37" fillId="0" borderId="0" xfId="0" applyNumberFormat="1" applyFont="1" applyBorder="1" applyAlignment="1"/>
    <xf numFmtId="170" fontId="37" fillId="0" borderId="0" xfId="0" quotePrefix="1" applyNumberFormat="1" applyFont="1" applyAlignment="1">
      <alignment horizontal="center"/>
    </xf>
    <xf numFmtId="170" fontId="37" fillId="0" borderId="0" xfId="0" applyNumberFormat="1" applyFont="1" applyAlignment="1">
      <alignment horizontal="center"/>
    </xf>
    <xf numFmtId="170" fontId="37" fillId="0" borderId="0" xfId="0" applyNumberFormat="1" applyFont="1" applyFill="1" applyBorder="1" applyAlignment="1"/>
    <xf numFmtId="170" fontId="37" fillId="0" borderId="0" xfId="0" applyNumberFormat="1" applyFont="1" applyFill="1" applyAlignment="1"/>
    <xf numFmtId="166" fontId="37" fillId="0" borderId="0" xfId="0" applyNumberFormat="1" applyFont="1" applyFill="1" applyBorder="1" applyAlignment="1"/>
    <xf numFmtId="165" fontId="37" fillId="0" borderId="0" xfId="0" applyNumberFormat="1" applyFont="1" applyBorder="1" applyAlignment="1"/>
    <xf numFmtId="166" fontId="37" fillId="0" borderId="0" xfId="0" quotePrefix="1" applyNumberFormat="1" applyFont="1" applyBorder="1" applyAlignment="1">
      <alignment horizontal="left"/>
    </xf>
    <xf numFmtId="174" fontId="37" fillId="0" borderId="0" xfId="0" applyNumberFormat="1" applyFont="1" applyAlignment="1"/>
    <xf numFmtId="170" fontId="37" fillId="0" borderId="0" xfId="0" quotePrefix="1" applyNumberFormat="1" applyFont="1" applyAlignment="1">
      <alignment horizontal="right"/>
    </xf>
    <xf numFmtId="170" fontId="37" fillId="0" borderId="0" xfId="0" applyNumberFormat="1" applyFont="1" applyBorder="1" applyAlignment="1">
      <alignment horizontal="center"/>
    </xf>
    <xf numFmtId="170" fontId="37" fillId="0" borderId="0" xfId="0" applyNumberFormat="1" applyFont="1" applyAlignment="1">
      <alignment horizontal="right"/>
    </xf>
    <xf numFmtId="170" fontId="60" fillId="0" borderId="67" xfId="2" applyNumberFormat="1" applyFont="1" applyBorder="1" applyAlignment="1">
      <alignment horizontal="center"/>
    </xf>
    <xf numFmtId="170" fontId="0" fillId="0" borderId="0" xfId="2" applyNumberFormat="1" applyFont="1" applyAlignment="1">
      <alignment horizontal="center" vertical="top"/>
    </xf>
    <xf numFmtId="166" fontId="37" fillId="0" borderId="0" xfId="0" applyNumberFormat="1" applyFont="1" applyBorder="1" applyAlignment="1" applyProtection="1">
      <protection locked="0"/>
    </xf>
    <xf numFmtId="166" fontId="37" fillId="0" borderId="0" xfId="0" applyNumberFormat="1" applyFont="1" applyAlignment="1" applyProtection="1">
      <protection locked="0"/>
    </xf>
    <xf numFmtId="166" fontId="37" fillId="0" borderId="0" xfId="0" applyNumberFormat="1" applyFont="1" applyBorder="1" applyAlignment="1" applyProtection="1"/>
    <xf numFmtId="170" fontId="37" fillId="0" borderId="0" xfId="0" applyNumberFormat="1" applyFont="1" applyAlignment="1" applyProtection="1">
      <alignment horizontal="right"/>
      <protection locked="0"/>
    </xf>
    <xf numFmtId="170" fontId="37" fillId="0" borderId="0" xfId="0" applyNumberFormat="1" applyFont="1" applyAlignment="1" applyProtection="1">
      <protection locked="0"/>
    </xf>
    <xf numFmtId="170" fontId="37" fillId="0" borderId="0" xfId="0" applyNumberFormat="1" applyFont="1" applyAlignment="1" applyProtection="1"/>
    <xf numFmtId="170" fontId="37" fillId="0" borderId="0" xfId="0" applyNumberFormat="1" applyFont="1" applyBorder="1" applyAlignment="1" applyProtection="1">
      <protection locked="0"/>
    </xf>
    <xf numFmtId="170" fontId="37" fillId="0" borderId="0" xfId="0" applyNumberFormat="1" applyFont="1" applyBorder="1" applyAlignment="1" applyProtection="1"/>
    <xf numFmtId="170" fontId="37" fillId="0" borderId="0" xfId="0" quotePrefix="1" applyNumberFormat="1" applyFont="1" applyAlignment="1" applyProtection="1">
      <alignment horizontal="center"/>
      <protection locked="0"/>
    </xf>
    <xf numFmtId="170" fontId="37" fillId="0" borderId="0" xfId="0" quotePrefix="1" applyNumberFormat="1" applyFont="1" applyAlignment="1" applyProtection="1">
      <alignment horizontal="center"/>
    </xf>
    <xf numFmtId="170" fontId="37" fillId="0" borderId="0" xfId="0" quotePrefix="1" applyNumberFormat="1" applyFont="1" applyBorder="1" applyAlignment="1" applyProtection="1">
      <alignment horizontal="center"/>
      <protection locked="0"/>
    </xf>
    <xf numFmtId="170" fontId="37" fillId="0" borderId="0" xfId="0" applyNumberFormat="1" applyFont="1" applyAlignment="1" applyProtection="1">
      <alignment horizontal="center"/>
    </xf>
    <xf numFmtId="170" fontId="37" fillId="0" borderId="10" xfId="0" applyNumberFormat="1" applyFont="1" applyBorder="1" applyAlignment="1" applyProtection="1"/>
    <xf numFmtId="170" fontId="37" fillId="0" borderId="0" xfId="0" applyNumberFormat="1" applyFont="1" applyFill="1" applyBorder="1" applyAlignment="1" applyProtection="1">
      <protection locked="0"/>
    </xf>
    <xf numFmtId="170" fontId="37" fillId="0" borderId="0" xfId="0" applyNumberFormat="1" applyFont="1" applyFill="1" applyAlignment="1" applyProtection="1">
      <protection locked="0"/>
    </xf>
    <xf numFmtId="170" fontId="37" fillId="0" borderId="0" xfId="0" applyNumberFormat="1" applyFont="1" applyFill="1" applyAlignment="1" applyProtection="1"/>
    <xf numFmtId="37" fontId="37" fillId="0" borderId="0" xfId="2" applyNumberFormat="1" applyFont="1" applyBorder="1"/>
    <xf numFmtId="49" fontId="37" fillId="0" borderId="0" xfId="17" applyNumberFormat="1" applyFont="1" applyBorder="1" applyAlignment="1">
      <alignment horizontal="center"/>
    </xf>
    <xf numFmtId="0" fontId="67" fillId="0" borderId="0" xfId="0" applyNumberFormat="1" applyFont="1" applyFill="1"/>
    <xf numFmtId="0" fontId="42" fillId="0" borderId="0" xfId="0" applyNumberFormat="1" applyFont="1" applyFill="1"/>
    <xf numFmtId="0" fontId="42" fillId="0" borderId="0" xfId="0" applyNumberFormat="1" applyFont="1" applyFill="1" applyAlignment="1">
      <alignment horizontal="right"/>
    </xf>
    <xf numFmtId="0" fontId="43" fillId="0" borderId="0" xfId="0" applyNumberFormat="1" applyFont="1" applyFill="1"/>
    <xf numFmtId="7" fontId="42" fillId="0" borderId="0" xfId="0" applyNumberFormat="1" applyFont="1" applyFill="1"/>
    <xf numFmtId="39" fontId="42" fillId="0" borderId="0" xfId="0" applyNumberFormat="1" applyFont="1" applyFill="1"/>
    <xf numFmtId="39" fontId="42" fillId="0" borderId="0" xfId="0" applyNumberFormat="1" applyFont="1" applyFill="1" applyAlignment="1">
      <alignment horizontal="center"/>
    </xf>
    <xf numFmtId="39" fontId="42" fillId="0" borderId="0" xfId="0" applyNumberFormat="1" applyFont="1" applyFill="1" applyAlignment="1">
      <alignment horizontal="right"/>
    </xf>
    <xf numFmtId="43" fontId="42" fillId="0" borderId="0" xfId="0" applyNumberFormat="1" applyFont="1" applyFill="1" applyAlignment="1">
      <alignment horizontal="center"/>
    </xf>
    <xf numFmtId="0" fontId="43" fillId="0" borderId="0" xfId="0" applyNumberFormat="1" applyFont="1" applyFill="1" applyBorder="1"/>
    <xf numFmtId="39" fontId="43" fillId="0" borderId="0" xfId="0" applyNumberFormat="1" applyFont="1" applyFill="1" applyBorder="1"/>
    <xf numFmtId="0" fontId="42" fillId="0" borderId="0" xfId="0" applyNumberFormat="1" applyFont="1" applyFill="1" applyBorder="1"/>
    <xf numFmtId="39" fontId="42" fillId="0" borderId="0" xfId="0" quotePrefix="1" applyNumberFormat="1" applyFont="1" applyFill="1" applyAlignment="1">
      <alignment horizontal="center"/>
    </xf>
    <xf numFmtId="39" fontId="43" fillId="0" borderId="0" xfId="0" applyNumberFormat="1" applyFont="1" applyFill="1" applyBorder="1" applyAlignment="1">
      <alignment horizontal="right"/>
    </xf>
    <xf numFmtId="0" fontId="42" fillId="0" borderId="0" xfId="0" applyNumberFormat="1" applyFont="1" applyFill="1" applyBorder="1" applyAlignment="1">
      <alignment horizontal="right"/>
    </xf>
    <xf numFmtId="188" fontId="42" fillId="0" borderId="0" xfId="0" applyNumberFormat="1" applyFont="1" applyFill="1"/>
    <xf numFmtId="0" fontId="42" fillId="0" borderId="0" xfId="0" applyNumberFormat="1" applyFont="1" applyFill="1" applyAlignment="1"/>
    <xf numFmtId="0" fontId="42" fillId="0" borderId="0" xfId="0" applyNumberFormat="1" applyFont="1" applyFill="1" applyAlignment="1">
      <alignment horizontal="left" vertical="top"/>
    </xf>
    <xf numFmtId="178" fontId="37" fillId="0" borderId="0" xfId="740" applyNumberFormat="1" applyFont="1" applyFill="1" applyAlignment="1">
      <alignment horizontal="center"/>
    </xf>
    <xf numFmtId="0" fontId="37" fillId="0" borderId="0" xfId="8" applyFont="1"/>
    <xf numFmtId="170" fontId="37" fillId="0" borderId="0" xfId="2" applyNumberFormat="1" applyFont="1" applyAlignment="1"/>
    <xf numFmtId="170" fontId="39" fillId="0" borderId="0" xfId="2" quotePrefix="1" applyNumberFormat="1" applyFont="1" applyBorder="1" applyAlignment="1" applyProtection="1">
      <alignment horizontal="center"/>
      <protection locked="0"/>
    </xf>
    <xf numFmtId="170" fontId="83" fillId="0" borderId="0" xfId="2" applyNumberFormat="1" applyFont="1" applyAlignment="1"/>
    <xf numFmtId="170" fontId="39" fillId="0" borderId="10" xfId="2" quotePrefix="1" applyNumberFormat="1" applyFont="1" applyBorder="1" applyAlignment="1" applyProtection="1">
      <alignment horizontal="center"/>
      <protection locked="0"/>
    </xf>
    <xf numFmtId="164" fontId="37" fillId="0" borderId="0" xfId="7" applyNumberFormat="1" applyFont="1" applyAlignment="1">
      <alignment horizontal="right"/>
    </xf>
    <xf numFmtId="166" fontId="134" fillId="0" borderId="0" xfId="0" applyNumberFormat="1" applyFont="1" applyAlignment="1" applyProtection="1">
      <protection locked="0"/>
    </xf>
    <xf numFmtId="166" fontId="131" fillId="0" borderId="0" xfId="0" applyNumberFormat="1" applyFont="1" applyBorder="1" applyAlignment="1" applyProtection="1">
      <protection locked="0"/>
    </xf>
    <xf numFmtId="166" fontId="144" fillId="0" borderId="0" xfId="0" applyNumberFormat="1" applyFont="1" applyBorder="1" applyAlignment="1" applyProtection="1">
      <protection locked="0"/>
    </xf>
    <xf numFmtId="165" fontId="144" fillId="0" borderId="0" xfId="0" applyNumberFormat="1" applyFont="1" applyBorder="1" applyAlignment="1" applyProtection="1">
      <protection locked="0"/>
    </xf>
    <xf numFmtId="165" fontId="144" fillId="0" borderId="0" xfId="0" applyNumberFormat="1" applyFont="1" applyAlignment="1" applyProtection="1">
      <protection locked="0"/>
    </xf>
    <xf numFmtId="166" fontId="145" fillId="0" borderId="0" xfId="0" applyNumberFormat="1" applyFont="1" applyAlignment="1" applyProtection="1">
      <protection locked="0"/>
    </xf>
    <xf numFmtId="165" fontId="146" fillId="0" borderId="0" xfId="0" applyNumberFormat="1" applyFont="1" applyBorder="1" applyAlignment="1" applyProtection="1">
      <protection locked="0"/>
    </xf>
    <xf numFmtId="165" fontId="131" fillId="0" borderId="0" xfId="0" applyNumberFormat="1" applyFont="1" applyBorder="1" applyAlignment="1" applyProtection="1">
      <protection locked="0"/>
    </xf>
    <xf numFmtId="165" fontId="37" fillId="0" borderId="0" xfId="0" applyNumberFormat="1" applyFont="1" applyAlignment="1" applyProtection="1">
      <protection locked="0"/>
    </xf>
    <xf numFmtId="166" fontId="37" fillId="0" borderId="0" xfId="0" applyNumberFormat="1" applyFont="1" applyBorder="1" applyAlignment="1" applyProtection="1">
      <alignment horizontal="center"/>
      <protection locked="0"/>
    </xf>
    <xf numFmtId="165" fontId="37" fillId="0" borderId="0" xfId="0" applyNumberFormat="1" applyFont="1" applyBorder="1" applyAlignment="1" applyProtection="1">
      <protection locked="0"/>
    </xf>
    <xf numFmtId="166" fontId="37" fillId="0" borderId="0" xfId="0" applyNumberFormat="1" applyFont="1" applyAlignment="1" applyProtection="1">
      <alignment horizontal="center"/>
      <protection locked="0"/>
    </xf>
    <xf numFmtId="166" fontId="37" fillId="0" borderId="0" xfId="0" applyNumberFormat="1" applyFont="1" applyAlignment="1"/>
    <xf numFmtId="166" fontId="145" fillId="0" borderId="0" xfId="0" applyNumberFormat="1" applyFont="1" applyAlignment="1"/>
    <xf numFmtId="165" fontId="144" fillId="0" borderId="0" xfId="0" applyNumberFormat="1" applyFont="1" applyAlignment="1"/>
    <xf numFmtId="166" fontId="144" fillId="0" borderId="0" xfId="0" applyNumberFormat="1" applyFont="1" applyBorder="1" applyAlignment="1"/>
    <xf numFmtId="165" fontId="144" fillId="0" borderId="0" xfId="0" applyNumberFormat="1" applyFont="1" applyBorder="1" applyAlignment="1"/>
    <xf numFmtId="165" fontId="146" fillId="0" borderId="0" xfId="0" applyNumberFormat="1" applyFont="1" applyBorder="1" applyAlignment="1"/>
    <xf numFmtId="165" fontId="131" fillId="0" borderId="0" xfId="0" applyNumberFormat="1" applyFont="1" applyBorder="1" applyAlignment="1"/>
    <xf numFmtId="164" fontId="37" fillId="0" borderId="0" xfId="0" applyFont="1"/>
    <xf numFmtId="164" fontId="37" fillId="0" borderId="0" xfId="0" applyFont="1" applyAlignment="1"/>
    <xf numFmtId="164" fontId="37" fillId="0" borderId="0" xfId="0" applyFont="1" applyAlignment="1">
      <alignment horizontal="center"/>
    </xf>
    <xf numFmtId="164" fontId="96" fillId="0" borderId="0" xfId="0" applyFont="1"/>
    <xf numFmtId="166" fontId="37" fillId="0" borderId="0" xfId="2" applyNumberFormat="1" applyFont="1" applyFill="1" applyBorder="1" applyAlignment="1"/>
    <xf numFmtId="0" fontId="37" fillId="0" borderId="0" xfId="17" applyNumberFormat="1" applyFont="1" applyAlignment="1">
      <alignment horizontal="left"/>
    </xf>
    <xf numFmtId="167" fontId="37" fillId="0" borderId="0" xfId="0" applyNumberFormat="1" applyFont="1" applyFill="1" applyAlignment="1" applyProtection="1">
      <protection locked="0"/>
    </xf>
    <xf numFmtId="170" fontId="37" fillId="0" borderId="0" xfId="0" quotePrefix="1" applyNumberFormat="1" applyFont="1" applyAlignment="1" applyProtection="1">
      <alignment horizontal="right"/>
      <protection locked="0"/>
    </xf>
    <xf numFmtId="164" fontId="67" fillId="0" borderId="0" xfId="0" applyFont="1"/>
    <xf numFmtId="0" fontId="147" fillId="0" borderId="0" xfId="860" applyNumberFormat="1" applyFont="1" applyAlignment="1"/>
    <xf numFmtId="37" fontId="42" fillId="35" borderId="0" xfId="860" applyNumberFormat="1" applyFont="1" applyFill="1" applyAlignment="1">
      <alignment horizontal="left"/>
    </xf>
    <xf numFmtId="0" fontId="43" fillId="35" borderId="0" xfId="860" applyNumberFormat="1" applyFont="1" applyFill="1" applyAlignment="1"/>
    <xf numFmtId="0" fontId="43" fillId="35" borderId="0" xfId="860" applyNumberFormat="1" applyFont="1" applyFill="1" applyBorder="1" applyAlignment="1"/>
    <xf numFmtId="166" fontId="149" fillId="0" borderId="10" xfId="0" applyNumberFormat="1" applyFont="1" applyBorder="1" applyAlignment="1">
      <alignment horizontal="centerContinuous"/>
    </xf>
    <xf numFmtId="174" fontId="39" fillId="0" borderId="0" xfId="0" applyNumberFormat="1" applyFont="1" applyAlignment="1" applyProtection="1"/>
    <xf numFmtId="4" fontId="43" fillId="0" borderId="0" xfId="1028" applyNumberFormat="1" applyFont="1" applyAlignment="1"/>
    <xf numFmtId="1" fontId="43" fillId="0" borderId="0" xfId="1028" applyNumberFormat="1" applyFont="1" applyAlignment="1"/>
    <xf numFmtId="0" fontId="43" fillId="0" borderId="0" xfId="1028" applyFont="1" applyAlignment="1">
      <alignment horizontal="right"/>
    </xf>
    <xf numFmtId="39" fontId="43" fillId="0" borderId="0" xfId="1028" applyNumberFormat="1" applyFont="1" applyFill="1" applyBorder="1" applyAlignment="1"/>
    <xf numFmtId="39" fontId="115" fillId="0" borderId="0" xfId="1028" applyNumberFormat="1" applyFont="1" applyFill="1" applyBorder="1" applyAlignment="1">
      <alignment horizontal="right"/>
    </xf>
    <xf numFmtId="39" fontId="115" fillId="0" borderId="0" xfId="1028" applyNumberFormat="1" applyFont="1" applyFill="1" applyBorder="1" applyAlignment="1"/>
    <xf numFmtId="39" fontId="115" fillId="0" borderId="0" xfId="1028" quotePrefix="1" applyNumberFormat="1" applyFont="1" applyFill="1" applyBorder="1" applyAlignment="1">
      <alignment horizontal="left"/>
    </xf>
    <xf numFmtId="4" fontId="67" fillId="0" borderId="0" xfId="1028" applyNumberFormat="1" applyFont="1" applyAlignment="1">
      <alignment horizontal="left" vertical="center"/>
    </xf>
    <xf numFmtId="1" fontId="44" fillId="0" borderId="51" xfId="1028" applyNumberFormat="1" applyFont="1" applyBorder="1" applyAlignment="1"/>
    <xf numFmtId="4" fontId="44" fillId="0" borderId="51" xfId="1028" applyNumberFormat="1" applyFont="1" applyBorder="1" applyAlignment="1">
      <alignment horizontal="center"/>
    </xf>
    <xf numFmtId="1" fontId="37" fillId="0" borderId="0" xfId="1028" quotePrefix="1" applyNumberFormat="1" applyFont="1" applyAlignment="1">
      <alignment horizontal="center"/>
    </xf>
    <xf numFmtId="4" fontId="37" fillId="0" borderId="0" xfId="1028" applyNumberFormat="1" applyFont="1" applyAlignment="1">
      <alignment horizontal="left"/>
    </xf>
    <xf numFmtId="4" fontId="37" fillId="0" borderId="0" xfId="1028" quotePrefix="1" applyNumberFormat="1" applyFont="1" applyFill="1" applyBorder="1" applyAlignment="1">
      <alignment horizontal="center"/>
    </xf>
    <xf numFmtId="1" fontId="37" fillId="0" borderId="0" xfId="1028" applyNumberFormat="1" applyFont="1" applyAlignment="1">
      <alignment horizontal="center"/>
    </xf>
    <xf numFmtId="4" fontId="37" fillId="0" borderId="0" xfId="1028" applyNumberFormat="1" applyFont="1" applyFill="1" applyBorder="1" applyAlignment="1"/>
    <xf numFmtId="4" fontId="44" fillId="0" borderId="0" xfId="1028" quotePrefix="1" applyNumberFormat="1" applyFont="1" applyFill="1" applyBorder="1" applyAlignment="1">
      <alignment horizontal="center"/>
    </xf>
    <xf numFmtId="4" fontId="37" fillId="0" borderId="0" xfId="1028" quotePrefix="1" applyNumberFormat="1" applyFont="1" applyAlignment="1">
      <alignment horizontal="left"/>
    </xf>
    <xf numFmtId="4" fontId="37" fillId="0" borderId="0" xfId="1028" applyNumberFormat="1" applyFont="1" applyBorder="1" applyAlignment="1"/>
    <xf numFmtId="4" fontId="37" fillId="0" borderId="0" xfId="1028" quotePrefix="1" applyNumberFormat="1" applyFont="1" applyBorder="1" applyAlignment="1">
      <alignment horizontal="left"/>
    </xf>
    <xf numFmtId="4" fontId="37" fillId="0" borderId="0" xfId="1028" applyNumberFormat="1" applyFont="1" applyBorder="1" applyAlignment="1">
      <alignment horizontal="center"/>
    </xf>
    <xf numFmtId="1" fontId="37" fillId="0" borderId="0" xfId="1028" applyNumberFormat="1" applyFont="1" applyAlignment="1"/>
    <xf numFmtId="4" fontId="37" fillId="0" borderId="0" xfId="1028" applyNumberFormat="1" applyFont="1" applyBorder="1" applyAlignment="1">
      <alignment horizontal="left"/>
    </xf>
    <xf numFmtId="4" fontId="37" fillId="0" borderId="0" xfId="1028" applyNumberFormat="1" applyFont="1" applyFill="1" applyBorder="1" applyAlignment="1">
      <alignment horizontal="left"/>
    </xf>
    <xf numFmtId="0" fontId="37" fillId="0" borderId="0" xfId="1028" applyNumberFormat="1" applyFont="1" applyBorder="1" applyAlignment="1">
      <alignment horizontal="left"/>
    </xf>
    <xf numFmtId="4" fontId="37" fillId="0" borderId="0" xfId="1028" quotePrefix="1" applyNumberFormat="1" applyFont="1" applyFill="1" applyBorder="1" applyAlignment="1">
      <alignment horizontal="left"/>
    </xf>
    <xf numFmtId="37" fontId="44" fillId="0" borderId="0" xfId="1028" quotePrefix="1" applyNumberFormat="1" applyFont="1" applyFill="1" applyBorder="1" applyAlignment="1">
      <alignment horizontal="center"/>
    </xf>
    <xf numFmtId="4" fontId="37" fillId="0" borderId="0" xfId="1028" applyNumberFormat="1" applyFont="1" applyFill="1" applyBorder="1" applyAlignment="1">
      <alignment horizontal="center"/>
    </xf>
    <xf numFmtId="1" fontId="37" fillId="0" borderId="0" xfId="1028" applyNumberFormat="1" applyFont="1" applyFill="1" applyAlignment="1">
      <alignment horizontal="center"/>
    </xf>
    <xf numFmtId="4" fontId="44" fillId="36" borderId="58" xfId="1028" applyNumberFormat="1" applyFont="1" applyFill="1" applyBorder="1" applyAlignment="1">
      <alignment horizontal="left"/>
    </xf>
    <xf numFmtId="4" fontId="44" fillId="0" borderId="0" xfId="1028" quotePrefix="1" applyNumberFormat="1" applyFont="1" applyAlignment="1">
      <alignment horizontal="left"/>
    </xf>
    <xf numFmtId="4" fontId="44" fillId="0" borderId="0" xfId="1028" applyNumberFormat="1" applyFont="1" applyAlignment="1">
      <alignment horizontal="left"/>
    </xf>
    <xf numFmtId="7" fontId="44" fillId="0" borderId="0" xfId="1028" applyNumberFormat="1" applyFont="1" applyBorder="1" applyAlignment="1" applyProtection="1">
      <alignment horizontal="right"/>
      <protection locked="0"/>
    </xf>
    <xf numFmtId="37" fontId="44" fillId="0" borderId="0" xfId="1028" quotePrefix="1" applyNumberFormat="1" applyFont="1" applyFill="1" applyBorder="1" applyAlignment="1">
      <alignment horizontal="right"/>
    </xf>
    <xf numFmtId="39" fontId="37" fillId="0" borderId="0" xfId="1028" applyNumberFormat="1" applyFont="1" applyFill="1" applyAlignment="1"/>
    <xf numFmtId="43" fontId="44" fillId="0" borderId="0" xfId="1028" applyNumberFormat="1" applyFont="1" applyBorder="1" applyAlignment="1">
      <alignment horizontal="right"/>
    </xf>
    <xf numFmtId="4" fontId="44" fillId="0" borderId="0" xfId="1028" applyNumberFormat="1" applyFont="1" applyFill="1" applyBorder="1" applyAlignment="1">
      <alignment horizontal="center"/>
    </xf>
    <xf numFmtId="1" fontId="37" fillId="0" borderId="0" xfId="1028" quotePrefix="1" applyNumberFormat="1" applyFont="1" applyFill="1" applyAlignment="1">
      <alignment horizontal="center"/>
    </xf>
    <xf numFmtId="174" fontId="37" fillId="0" borderId="0" xfId="1" applyNumberFormat="1" applyFont="1" applyAlignment="1"/>
    <xf numFmtId="170" fontId="37" fillId="0" borderId="0" xfId="1" applyNumberFormat="1" applyFont="1" applyAlignment="1">
      <alignment horizontal="right"/>
    </xf>
    <xf numFmtId="37" fontId="37" fillId="0" borderId="0" xfId="2" applyNumberFormat="1" applyFont="1" applyAlignment="1"/>
    <xf numFmtId="174" fontId="37" fillId="0" borderId="0" xfId="2" applyNumberFormat="1" applyFont="1" applyAlignment="1"/>
    <xf numFmtId="170" fontId="37" fillId="0" borderId="0" xfId="2" quotePrefix="1" applyNumberFormat="1" applyFont="1" applyAlignment="1">
      <alignment horizontal="center"/>
    </xf>
    <xf numFmtId="174" fontId="37" fillId="0" borderId="0" xfId="2" applyNumberFormat="1" applyFont="1" applyAlignment="1">
      <alignment horizontal="right"/>
    </xf>
    <xf numFmtId="174" fontId="37" fillId="0" borderId="0" xfId="2" quotePrefix="1" applyNumberFormat="1" applyFont="1" applyAlignment="1">
      <alignment horizontal="center"/>
    </xf>
    <xf numFmtId="0" fontId="98" fillId="0" borderId="0" xfId="8" applyFont="1"/>
    <xf numFmtId="0" fontId="37" fillId="0" borderId="0" xfId="8" applyFont="1" applyAlignment="1"/>
    <xf numFmtId="188" fontId="98" fillId="0" borderId="0" xfId="8" applyNumberFormat="1" applyFont="1"/>
    <xf numFmtId="170" fontId="37" fillId="0" borderId="0" xfId="8" applyNumberFormat="1" applyFont="1"/>
    <xf numFmtId="174" fontId="37" fillId="0" borderId="0" xfId="8" applyNumberFormat="1" applyFont="1"/>
    <xf numFmtId="0" fontId="98" fillId="0" borderId="0" xfId="8" applyFont="1" applyBorder="1"/>
    <xf numFmtId="0" fontId="37" fillId="0" borderId="0" xfId="8" applyFont="1" applyBorder="1"/>
    <xf numFmtId="0" fontId="37" fillId="0" borderId="0" xfId="17" quotePrefix="1" applyNumberFormat="1" applyFont="1" applyAlignment="1">
      <alignment horizontal="left"/>
    </xf>
    <xf numFmtId="164" fontId="62" fillId="0" borderId="0" xfId="0" applyFont="1"/>
    <xf numFmtId="164" fontId="44" fillId="0" borderId="0" xfId="0" applyFont="1"/>
    <xf numFmtId="0" fontId="140" fillId="0" borderId="0" xfId="8" applyFont="1" applyFill="1" applyAlignment="1">
      <alignment horizontal="left"/>
    </xf>
    <xf numFmtId="166" fontId="37" fillId="0" borderId="0" xfId="2" applyNumberFormat="1" applyFont="1" applyBorder="1" applyAlignment="1"/>
    <xf numFmtId="164" fontId="37" fillId="0" borderId="0" xfId="2" applyNumberFormat="1" applyFont="1" applyBorder="1" applyAlignment="1"/>
    <xf numFmtId="170" fontId="37" fillId="0" borderId="0" xfId="2" applyNumberFormat="1" applyFont="1" applyBorder="1"/>
    <xf numFmtId="165" fontId="37" fillId="0" borderId="0" xfId="0" applyNumberFormat="1" applyFont="1" applyAlignment="1"/>
    <xf numFmtId="165" fontId="44" fillId="0" borderId="0" xfId="0" applyNumberFormat="1" applyFont="1" applyAlignment="1"/>
    <xf numFmtId="174" fontId="37" fillId="0" borderId="0" xfId="0" quotePrefix="1" applyNumberFormat="1" applyFont="1" applyAlignment="1" applyProtection="1">
      <alignment horizontal="left"/>
    </xf>
    <xf numFmtId="174" fontId="37" fillId="0" borderId="0" xfId="0" applyNumberFormat="1" applyFont="1" applyAlignment="1" applyProtection="1">
      <protection locked="0"/>
    </xf>
    <xf numFmtId="170" fontId="44" fillId="0" borderId="20" xfId="0" applyNumberFormat="1" applyFont="1" applyBorder="1" applyAlignment="1"/>
    <xf numFmtId="165" fontId="37" fillId="0" borderId="0" xfId="0" quotePrefix="1" applyNumberFormat="1" applyFont="1" applyAlignment="1">
      <alignment horizontal="center"/>
    </xf>
    <xf numFmtId="170" fontId="66" fillId="0" borderId="15" xfId="2" applyNumberFormat="1" applyFont="1" applyBorder="1"/>
    <xf numFmtId="170" fontId="39" fillId="0" borderId="0" xfId="2" quotePrefix="1" applyNumberFormat="1" applyFont="1" applyFill="1" applyAlignment="1">
      <alignment horizontal="right"/>
    </xf>
    <xf numFmtId="170" fontId="76" fillId="0" borderId="15" xfId="2" applyNumberFormat="1" applyFont="1" applyBorder="1"/>
    <xf numFmtId="170" fontId="65" fillId="0" borderId="0" xfId="2" applyNumberFormat="1" applyFont="1" applyBorder="1" applyAlignment="1"/>
    <xf numFmtId="170" fontId="46" fillId="0" borderId="0" xfId="2" applyNumberFormat="1" applyFont="1" applyBorder="1" applyAlignment="1">
      <alignment horizontal="right"/>
    </xf>
    <xf numFmtId="170" fontId="39" fillId="0" borderId="21" xfId="2" applyNumberFormat="1" applyFont="1" applyBorder="1" applyAlignment="1">
      <alignment horizontal="center"/>
    </xf>
    <xf numFmtId="170" fontId="66" fillId="0" borderId="15" xfId="2" applyNumberFormat="1" applyFont="1" applyBorder="1" applyAlignment="1">
      <alignment horizontal="center"/>
    </xf>
    <xf numFmtId="170" fontId="44" fillId="0" borderId="45" xfId="2" applyNumberFormat="1" applyFont="1" applyFill="1" applyBorder="1" applyAlignment="1"/>
    <xf numFmtId="170" fontId="39" fillId="0" borderId="21" xfId="2" applyNumberFormat="1" applyFont="1" applyFill="1" applyBorder="1" applyAlignment="1"/>
    <xf numFmtId="170" fontId="44" fillId="0" borderId="21" xfId="2" applyNumberFormat="1" applyFont="1" applyFill="1" applyBorder="1" applyAlignment="1"/>
    <xf numFmtId="170" fontId="66" fillId="0" borderId="0" xfId="2" applyNumberFormat="1" applyFont="1" applyBorder="1"/>
    <xf numFmtId="170" fontId="66" fillId="0" borderId="0" xfId="2" applyNumberFormat="1" applyFont="1"/>
    <xf numFmtId="170" fontId="39" fillId="0" borderId="0" xfId="2" applyNumberFormat="1" applyFont="1"/>
    <xf numFmtId="0" fontId="98" fillId="0" borderId="0" xfId="740" applyFont="1"/>
    <xf numFmtId="0" fontId="98" fillId="0" borderId="0" xfId="740" applyFont="1" applyBorder="1"/>
    <xf numFmtId="4" fontId="43" fillId="0" borderId="0" xfId="1028" applyNumberFormat="1" applyFont="1" applyFill="1" applyBorder="1" applyAlignment="1"/>
    <xf numFmtId="0" fontId="83" fillId="0" borderId="0" xfId="1028" applyFont="1" applyAlignment="1">
      <alignment horizontal="right"/>
    </xf>
    <xf numFmtId="4" fontId="115" fillId="0" borderId="0" xfId="1028" applyNumberFormat="1" applyFont="1" applyFill="1" applyBorder="1" applyAlignment="1">
      <alignment horizontal="right"/>
    </xf>
    <xf numFmtId="0" fontId="43" fillId="0" borderId="0" xfId="1028" applyFont="1" applyBorder="1" applyAlignment="1">
      <alignment horizontal="left"/>
    </xf>
    <xf numFmtId="164" fontId="0" fillId="0" borderId="0" xfId="0" applyBorder="1"/>
    <xf numFmtId="4" fontId="115" fillId="0" borderId="0" xfId="1028" applyNumberFormat="1" applyFont="1" applyFill="1" applyBorder="1" applyAlignment="1"/>
    <xf numFmtId="4" fontId="87" fillId="0" borderId="0" xfId="1028" applyNumberFormat="1" applyFont="1" applyFill="1" applyBorder="1" applyAlignment="1"/>
    <xf numFmtId="4" fontId="115" fillId="0" borderId="0" xfId="1028" quotePrefix="1" applyNumberFormat="1" applyFont="1" applyFill="1" applyBorder="1" applyAlignment="1">
      <alignment horizontal="left"/>
    </xf>
    <xf numFmtId="4" fontId="43" fillId="0" borderId="0" xfId="1028" applyNumberFormat="1" applyFont="1" applyBorder="1" applyAlignment="1"/>
    <xf numFmtId="4" fontId="43" fillId="0" borderId="0" xfId="1028" applyNumberFormat="1" applyFont="1" applyBorder="1" applyAlignment="1">
      <alignment horizontal="center"/>
    </xf>
    <xf numFmtId="4" fontId="42" fillId="0" borderId="0" xfId="1028" applyNumberFormat="1" applyFont="1" applyFill="1" applyAlignment="1">
      <alignment horizontal="right"/>
    </xf>
    <xf numFmtId="4" fontId="44" fillId="0" borderId="0" xfId="1028" applyNumberFormat="1" applyFont="1" applyBorder="1" applyAlignment="1">
      <alignment horizontal="center"/>
    </xf>
    <xf numFmtId="1" fontId="44" fillId="0" borderId="0" xfId="1028" applyNumberFormat="1" applyFont="1" applyFill="1" applyAlignment="1"/>
    <xf numFmtId="164" fontId="98" fillId="0" borderId="0" xfId="0" applyFont="1"/>
    <xf numFmtId="4" fontId="44" fillId="0" borderId="0" xfId="1028" applyNumberFormat="1" applyFont="1" applyBorder="1" applyAlignment="1"/>
    <xf numFmtId="164" fontId="37" fillId="0" borderId="0" xfId="0" applyFont="1" applyBorder="1"/>
    <xf numFmtId="0" fontId="98" fillId="0" borderId="0" xfId="0" applyNumberFormat="1" applyFont="1" applyAlignment="1"/>
    <xf numFmtId="1" fontId="37" fillId="0" borderId="0" xfId="1028" applyNumberFormat="1" applyFont="1" applyFill="1" applyBorder="1" applyAlignment="1">
      <alignment horizontal="center"/>
    </xf>
    <xf numFmtId="4" fontId="44" fillId="0" borderId="0" xfId="1028" applyNumberFormat="1" applyFont="1" applyFill="1" applyBorder="1" applyAlignment="1"/>
    <xf numFmtId="43" fontId="0" fillId="0" borderId="0" xfId="0" applyNumberFormat="1"/>
    <xf numFmtId="164" fontId="98" fillId="0" borderId="0" xfId="0" applyFont="1" applyBorder="1"/>
    <xf numFmtId="1" fontId="37" fillId="0" borderId="0" xfId="1028" applyNumberFormat="1" applyFont="1" applyBorder="1" applyAlignment="1">
      <alignment horizontal="center"/>
    </xf>
    <xf numFmtId="1" fontId="37" fillId="0" borderId="0" xfId="1028" applyNumberFormat="1" applyFont="1" applyFill="1" applyAlignment="1"/>
    <xf numFmtId="4" fontId="37" fillId="0" borderId="0" xfId="1028" quotePrefix="1" applyNumberFormat="1" applyFont="1" applyFill="1" applyAlignment="1">
      <alignment horizontal="center"/>
    </xf>
    <xf numFmtId="1" fontId="37" fillId="0" borderId="0" xfId="0" applyNumberFormat="1" applyFont="1" applyAlignment="1">
      <alignment horizontal="center"/>
    </xf>
    <xf numFmtId="1" fontId="37" fillId="0" borderId="0" xfId="1028" applyNumberFormat="1" applyFont="1" applyFill="1" applyBorder="1" applyAlignment="1"/>
    <xf numFmtId="4" fontId="37" fillId="33" borderId="0" xfId="1028" applyNumberFormat="1" applyFont="1" applyFill="1" applyBorder="1" applyAlignment="1">
      <alignment horizontal="centerContinuous"/>
    </xf>
    <xf numFmtId="4" fontId="37" fillId="33" borderId="0" xfId="1028" applyNumberFormat="1" applyFont="1" applyFill="1" applyBorder="1" applyAlignment="1">
      <alignment horizontal="center"/>
    </xf>
    <xf numFmtId="4" fontId="44" fillId="0" borderId="0" xfId="1028" quotePrefix="1" applyNumberFormat="1" applyFont="1" applyBorder="1" applyAlignment="1">
      <alignment horizontal="left"/>
    </xf>
    <xf numFmtId="4" fontId="44" fillId="0" borderId="0" xfId="0" applyNumberFormat="1" applyFont="1" applyAlignment="1">
      <alignment horizontal="left"/>
    </xf>
    <xf numFmtId="4" fontId="44" fillId="0" borderId="0" xfId="1028" applyNumberFormat="1" applyFont="1" applyBorder="1" applyAlignment="1">
      <alignment horizontal="left"/>
    </xf>
    <xf numFmtId="37" fontId="44" fillId="0" borderId="0" xfId="1028" applyNumberFormat="1" applyFont="1" applyFill="1" applyBorder="1" applyAlignment="1">
      <alignment horizontal="right"/>
    </xf>
    <xf numFmtId="37" fontId="44" fillId="0" borderId="0" xfId="0" applyNumberFormat="1" applyFont="1" applyAlignment="1">
      <alignment horizontal="right"/>
    </xf>
    <xf numFmtId="4" fontId="44" fillId="0" borderId="0" xfId="0" applyNumberFormat="1" applyFont="1" applyBorder="1" applyAlignment="1">
      <alignment horizontal="left"/>
    </xf>
    <xf numFmtId="39" fontId="37" fillId="0" borderId="0" xfId="1028" applyNumberFormat="1" applyFont="1" applyFill="1" applyBorder="1" applyAlignment="1"/>
    <xf numFmtId="0" fontId="137" fillId="0" borderId="0" xfId="841" applyFont="1" applyBorder="1"/>
    <xf numFmtId="170" fontId="37" fillId="0" borderId="0" xfId="2" applyNumberFormat="1" applyFont="1" applyAlignment="1">
      <alignment horizontal="right"/>
    </xf>
    <xf numFmtId="174" fontId="59" fillId="0" borderId="0" xfId="2" applyNumberFormat="1" applyFont="1" applyFill="1" applyAlignment="1"/>
    <xf numFmtId="178" fontId="44" fillId="0" borderId="0" xfId="740" applyNumberFormat="1" applyFont="1" applyBorder="1" applyAlignment="1">
      <alignment horizontal="right"/>
    </xf>
    <xf numFmtId="178" fontId="101" fillId="0" borderId="0" xfId="740" applyNumberFormat="1" applyFont="1" applyFill="1"/>
    <xf numFmtId="178" fontId="101" fillId="0" borderId="0" xfId="740" applyNumberFormat="1" applyFont="1"/>
    <xf numFmtId="178" fontId="44" fillId="0" borderId="0" xfId="740" applyNumberFormat="1" applyFont="1" applyAlignment="1">
      <alignment horizontal="right"/>
    </xf>
    <xf numFmtId="178" fontId="44" fillId="33" borderId="16" xfId="740" applyNumberFormat="1" applyFont="1" applyFill="1" applyBorder="1" applyAlignment="1"/>
    <xf numFmtId="178" fontId="62" fillId="0" borderId="20" xfId="836" applyNumberFormat="1" applyFont="1" applyBorder="1" applyAlignment="1"/>
    <xf numFmtId="178" fontId="62" fillId="0" borderId="0" xfId="836" applyNumberFormat="1" applyFont="1" applyBorder="1" applyAlignment="1"/>
    <xf numFmtId="178" fontId="62" fillId="0" borderId="0" xfId="836" applyNumberFormat="1" applyFont="1" applyAlignment="1">
      <alignment horizontal="fill"/>
    </xf>
    <xf numFmtId="178" fontId="62" fillId="0" borderId="0" xfId="836" applyNumberFormat="1" applyFont="1" applyAlignment="1">
      <alignment horizontal="right"/>
    </xf>
    <xf numFmtId="178" fontId="62" fillId="0" borderId="0" xfId="836" quotePrefix="1" applyNumberFormat="1" applyFont="1" applyFill="1" applyAlignment="1"/>
    <xf numFmtId="178" fontId="67" fillId="0" borderId="0" xfId="836" applyNumberFormat="1" applyFont="1" applyBorder="1" applyAlignment="1"/>
    <xf numFmtId="181" fontId="67" fillId="0" borderId="17" xfId="836" applyNumberFormat="1" applyFont="1" applyBorder="1" applyAlignment="1">
      <alignment horizontal="right"/>
    </xf>
    <xf numFmtId="0" fontId="114" fillId="0" borderId="0" xfId="8" quotePrefix="1" applyFont="1" applyBorder="1" applyAlignment="1">
      <alignment horizontal="right"/>
    </xf>
    <xf numFmtId="0" fontId="82" fillId="0" borderId="0" xfId="8" applyFont="1" applyBorder="1" applyAlignment="1"/>
    <xf numFmtId="0" fontId="141" fillId="0" borderId="0" xfId="8" applyFont="1" applyBorder="1"/>
    <xf numFmtId="0" fontId="49" fillId="0" borderId="0" xfId="8" applyFont="1" applyBorder="1" applyAlignment="1"/>
    <xf numFmtId="0" fontId="37" fillId="0" borderId="0" xfId="8" applyFont="1" applyBorder="1" applyAlignment="1"/>
    <xf numFmtId="0" fontId="114" fillId="0" borderId="0" xfId="8" applyFont="1" applyFill="1" applyBorder="1" applyAlignment="1">
      <alignment horizontal="center"/>
    </xf>
    <xf numFmtId="0" fontId="49" fillId="0" borderId="0" xfId="8" applyFont="1" applyFill="1" applyBorder="1" applyAlignment="1">
      <alignment horizontal="center"/>
    </xf>
    <xf numFmtId="174" fontId="49" fillId="0" borderId="0" xfId="8" applyNumberFormat="1" applyFont="1" applyFill="1" applyBorder="1" applyAlignment="1"/>
    <xf numFmtId="170" fontId="49" fillId="0" borderId="0" xfId="8" applyNumberFormat="1" applyFont="1" applyFill="1" applyBorder="1" applyAlignment="1"/>
    <xf numFmtId="170" fontId="37" fillId="0" borderId="0" xfId="2" applyNumberFormat="1" applyFont="1" applyFill="1" applyAlignment="1">
      <alignment horizontal="right"/>
    </xf>
    <xf numFmtId="170" fontId="37" fillId="0" borderId="0" xfId="2" quotePrefix="1" applyNumberFormat="1" applyFont="1" applyFill="1" applyAlignment="1">
      <alignment horizontal="right"/>
    </xf>
    <xf numFmtId="170" fontId="60" fillId="0" borderId="0" xfId="2" quotePrefix="1" applyNumberFormat="1" applyFont="1" applyFill="1" applyAlignment="1">
      <alignment horizontal="center"/>
    </xf>
    <xf numFmtId="170" fontId="37" fillId="0" borderId="0" xfId="2" quotePrefix="1" applyNumberFormat="1" applyFont="1" applyAlignment="1">
      <alignment horizontal="right"/>
    </xf>
    <xf numFmtId="170" fontId="37" fillId="0" borderId="0" xfId="2" quotePrefix="1" applyNumberFormat="1" applyFont="1" applyAlignment="1"/>
    <xf numFmtId="170" fontId="37" fillId="0" borderId="20" xfId="2" applyNumberFormat="1" applyFont="1" applyBorder="1" applyAlignment="1"/>
    <xf numFmtId="174" fontId="131" fillId="0" borderId="0" xfId="2" applyNumberFormat="1" applyFont="1" applyBorder="1"/>
    <xf numFmtId="0" fontId="37" fillId="0" borderId="0" xfId="2" applyNumberFormat="1" applyFont="1" applyAlignment="1"/>
    <xf numFmtId="170" fontId="44" fillId="0" borderId="16" xfId="2" applyNumberFormat="1" applyFont="1" applyBorder="1" applyAlignment="1">
      <alignment horizontal="right"/>
    </xf>
    <xf numFmtId="170" fontId="39" fillId="33" borderId="0" xfId="2" applyNumberFormat="1" applyFont="1" applyFill="1" applyBorder="1" applyAlignment="1"/>
    <xf numFmtId="170" fontId="39" fillId="0" borderId="18" xfId="2" applyNumberFormat="1" applyFont="1" applyBorder="1" applyAlignment="1">
      <alignment horizontal="center"/>
    </xf>
    <xf numFmtId="170" fontId="42" fillId="0" borderId="0" xfId="2" applyNumberFormat="1" applyFont="1" applyAlignment="1"/>
    <xf numFmtId="0" fontId="37" fillId="0" borderId="0" xfId="2" applyFont="1" applyBorder="1"/>
    <xf numFmtId="0" fontId="67" fillId="0" borderId="0" xfId="836" applyNumberFormat="1" applyFont="1" applyFill="1" applyAlignment="1">
      <alignment horizontal="center"/>
    </xf>
    <xf numFmtId="0" fontId="67" fillId="0" borderId="20" xfId="836" applyNumberFormat="1" applyFont="1" applyFill="1" applyBorder="1" applyAlignment="1"/>
    <xf numFmtId="182" fontId="62" fillId="0" borderId="0" xfId="836" applyNumberFormat="1" applyFont="1" applyFill="1" applyBorder="1" applyAlignment="1"/>
    <xf numFmtId="181" fontId="77" fillId="0" borderId="10" xfId="836" quotePrefix="1" applyNumberFormat="1" applyFont="1" applyFill="1" applyBorder="1" applyAlignment="1"/>
    <xf numFmtId="181" fontId="62" fillId="0" borderId="0" xfId="836" applyNumberFormat="1" applyFont="1" applyFill="1" applyBorder="1" applyAlignment="1"/>
    <xf numFmtId="181" fontId="62" fillId="0" borderId="10" xfId="836" applyNumberFormat="1" applyFont="1" applyFill="1" applyBorder="1" applyAlignment="1"/>
    <xf numFmtId="181" fontId="77" fillId="0" borderId="0" xfId="836" quotePrefix="1" applyNumberFormat="1" applyFont="1" applyFill="1" applyBorder="1" applyAlignment="1"/>
    <xf numFmtId="186" fontId="79" fillId="0" borderId="0" xfId="836" applyNumberFormat="1" applyFont="1" applyFill="1" applyAlignment="1"/>
    <xf numFmtId="182" fontId="62" fillId="0" borderId="0" xfId="836" applyNumberFormat="1" applyFont="1" applyFill="1" applyAlignment="1"/>
    <xf numFmtId="182" fontId="62" fillId="0" borderId="20" xfId="836" applyNumberFormat="1" applyFont="1" applyFill="1" applyBorder="1" applyAlignment="1"/>
    <xf numFmtId="182" fontId="62" fillId="0" borderId="20" xfId="836" applyNumberFormat="1" applyFont="1" applyFill="1" applyBorder="1" applyAlignment="1">
      <alignment horizontal="right"/>
    </xf>
    <xf numFmtId="182" fontId="79" fillId="0" borderId="20" xfId="836" applyNumberFormat="1" applyFont="1" applyFill="1" applyBorder="1"/>
    <xf numFmtId="178" fontId="67" fillId="0" borderId="0" xfId="836" applyNumberFormat="1" applyFont="1" applyFill="1" applyAlignment="1">
      <alignment horizontal="right"/>
    </xf>
    <xf numFmtId="178" fontId="67" fillId="0" borderId="0" xfId="836" applyNumberFormat="1" applyFont="1" applyFill="1" applyAlignment="1"/>
    <xf numFmtId="178" fontId="62" fillId="0" borderId="20" xfId="836" applyNumberFormat="1" applyFont="1" applyFill="1" applyBorder="1" applyAlignment="1"/>
    <xf numFmtId="178" fontId="67" fillId="0" borderId="0" xfId="836" applyNumberFormat="1" applyFont="1" applyFill="1" applyBorder="1" applyAlignment="1"/>
    <xf numFmtId="173" fontId="62" fillId="0" borderId="0" xfId="836" quotePrefix="1" applyNumberFormat="1" applyFont="1" applyFill="1" applyAlignment="1">
      <alignment horizontal="left"/>
    </xf>
    <xf numFmtId="178" fontId="62" fillId="0" borderId="0" xfId="836" quotePrefix="1" applyNumberFormat="1" applyFont="1" applyFill="1" applyAlignment="1">
      <alignment horizontal="center"/>
    </xf>
    <xf numFmtId="178" fontId="62" fillId="0" borderId="10" xfId="836" applyNumberFormat="1" applyFont="1" applyFill="1" applyBorder="1" applyAlignment="1"/>
    <xf numFmtId="178" fontId="62" fillId="0" borderId="10" xfId="836" quotePrefix="1" applyNumberFormat="1" applyFont="1" applyFill="1" applyBorder="1" applyAlignment="1">
      <alignment horizontal="center"/>
    </xf>
    <xf numFmtId="178" fontId="62" fillId="0" borderId="0" xfId="836" applyNumberFormat="1" applyFont="1" applyFill="1" applyBorder="1" applyAlignment="1" applyProtection="1">
      <protection locked="0"/>
    </xf>
    <xf numFmtId="178" fontId="62" fillId="0" borderId="0" xfId="836" applyNumberFormat="1" applyFont="1" applyFill="1" applyBorder="1" applyAlignment="1">
      <alignment horizontal="center"/>
    </xf>
    <xf numFmtId="178" fontId="67" fillId="0" borderId="10" xfId="836" applyNumberFormat="1" applyFont="1" applyFill="1" applyBorder="1" applyAlignment="1"/>
    <xf numFmtId="178" fontId="77" fillId="0" borderId="0" xfId="836" quotePrefix="1" applyNumberFormat="1" applyFont="1" applyFill="1" applyBorder="1" applyAlignment="1">
      <alignment horizontal="right"/>
    </xf>
    <xf numFmtId="178" fontId="77" fillId="0" borderId="0" xfId="836" applyNumberFormat="1" applyFont="1" applyFill="1" applyAlignment="1">
      <alignment horizontal="right"/>
    </xf>
    <xf numFmtId="178" fontId="79" fillId="0" borderId="0" xfId="836" applyNumberFormat="1" applyFont="1" applyFill="1" applyBorder="1" applyAlignment="1">
      <alignment horizontal="right"/>
    </xf>
    <xf numFmtId="178" fontId="67" fillId="0" borderId="33" xfId="836" applyNumberFormat="1" applyFont="1" applyFill="1" applyBorder="1" applyAlignment="1">
      <alignment horizontal="right"/>
    </xf>
    <xf numFmtId="181" fontId="62" fillId="0" borderId="0" xfId="836" applyNumberFormat="1" applyFont="1" applyFill="1" applyAlignment="1"/>
    <xf numFmtId="181" fontId="67" fillId="0" borderId="17" xfId="836" applyNumberFormat="1" applyFont="1" applyFill="1" applyBorder="1" applyAlignment="1"/>
    <xf numFmtId="181" fontId="67" fillId="0" borderId="0" xfId="836" applyNumberFormat="1" applyFont="1" applyFill="1" applyAlignment="1">
      <alignment horizontal="right"/>
    </xf>
    <xf numFmtId="181" fontId="67" fillId="0" borderId="0" xfId="836" applyNumberFormat="1" applyFont="1" applyFill="1" applyAlignment="1"/>
    <xf numFmtId="182" fontId="62" fillId="0" borderId="36" xfId="836" applyNumberFormat="1" applyFont="1" applyFill="1" applyBorder="1" applyAlignment="1"/>
    <xf numFmtId="0" fontId="154" fillId="0" borderId="0" xfId="836" quotePrefix="1" applyNumberFormat="1" applyFont="1" applyFill="1" applyAlignment="1">
      <alignment horizontal="left"/>
    </xf>
    <xf numFmtId="173" fontId="79" fillId="0" borderId="0" xfId="836" applyNumberFormat="1" applyFont="1" applyFill="1"/>
    <xf numFmtId="0" fontId="37" fillId="0" borderId="0" xfId="17" applyNumberFormat="1" applyFont="1" applyFill="1" applyAlignment="1">
      <alignment readingOrder="1"/>
    </xf>
    <xf numFmtId="0" fontId="37" fillId="0" borderId="0" xfId="17" applyNumberFormat="1" applyFont="1" applyFill="1" applyAlignment="1"/>
    <xf numFmtId="0" fontId="37" fillId="0" borderId="0" xfId="17" applyNumberFormat="1" applyFont="1" applyFill="1" applyAlignment="1" applyProtection="1">
      <alignment readingOrder="1"/>
      <protection locked="0"/>
    </xf>
    <xf numFmtId="0" fontId="37" fillId="0" borderId="0" xfId="17" applyNumberFormat="1" applyFont="1" applyFill="1" applyAlignment="1" applyProtection="1">
      <protection locked="0"/>
    </xf>
    <xf numFmtId="0" fontId="44" fillId="0" borderId="0" xfId="17" applyNumberFormat="1" applyFont="1" applyAlignment="1" applyProtection="1">
      <protection locked="0"/>
    </xf>
    <xf numFmtId="0" fontId="0" fillId="0" borderId="0" xfId="0" applyNumberFormat="1"/>
    <xf numFmtId="39" fontId="42" fillId="0" borderId="0" xfId="0" applyNumberFormat="1" applyFont="1" applyFill="1" applyAlignment="1"/>
    <xf numFmtId="39" fontId="42" fillId="0" borderId="0" xfId="0" applyNumberFormat="1" applyFont="1" applyFill="1" applyAlignment="1">
      <alignment horizontal="right" vertical="top"/>
    </xf>
    <xf numFmtId="39" fontId="42" fillId="0" borderId="0" xfId="0" applyNumberFormat="1" applyFont="1" applyFill="1" applyAlignment="1">
      <alignment horizontal="center" vertical="top"/>
    </xf>
    <xf numFmtId="0" fontId="42" fillId="0" borderId="0" xfId="0" quotePrefix="1" applyNumberFormat="1" applyFont="1" applyFill="1" applyAlignment="1"/>
    <xf numFmtId="0" fontId="42" fillId="0" borderId="0" xfId="0" applyNumberFormat="1" applyFont="1" applyFill="1" applyAlignment="1">
      <alignment horizontal="center" vertical="top"/>
    </xf>
    <xf numFmtId="0" fontId="155" fillId="0" borderId="0" xfId="0" applyNumberFormat="1" applyFont="1" applyFill="1"/>
    <xf numFmtId="0" fontId="156" fillId="0" borderId="0" xfId="0" applyNumberFormat="1" applyFont="1" applyFill="1"/>
    <xf numFmtId="0" fontId="156" fillId="0" borderId="0" xfId="0" applyNumberFormat="1" applyFont="1" applyFill="1" applyAlignment="1">
      <alignment horizontal="left"/>
    </xf>
    <xf numFmtId="0" fontId="156" fillId="0" borderId="0" xfId="0" applyNumberFormat="1" applyFont="1" applyFill="1" applyAlignment="1">
      <alignment horizontal="center"/>
    </xf>
    <xf numFmtId="0" fontId="156" fillId="0" borderId="0" xfId="0" quotePrefix="1" applyNumberFormat="1" applyFont="1" applyFill="1" applyAlignment="1">
      <alignment horizontal="center"/>
    </xf>
    <xf numFmtId="0" fontId="156" fillId="0" borderId="0" xfId="0" applyNumberFormat="1" applyFont="1" applyFill="1" applyAlignment="1">
      <alignment horizontal="centerContinuous"/>
    </xf>
    <xf numFmtId="0" fontId="156" fillId="0" borderId="67" xfId="0" applyNumberFormat="1" applyFont="1" applyFill="1" applyBorder="1" applyAlignment="1">
      <alignment horizontal="centerContinuous"/>
    </xf>
    <xf numFmtId="0" fontId="156" fillId="0" borderId="67" xfId="0" applyNumberFormat="1" applyFont="1" applyFill="1" applyBorder="1"/>
    <xf numFmtId="0" fontId="156" fillId="0" borderId="67" xfId="0" quotePrefix="1" applyNumberFormat="1" applyFont="1" applyFill="1" applyBorder="1" applyAlignment="1">
      <alignment horizontal="center"/>
    </xf>
    <xf numFmtId="49" fontId="156" fillId="0" borderId="67" xfId="0" applyNumberFormat="1" applyFont="1" applyFill="1" applyBorder="1" applyAlignment="1">
      <alignment horizontal="center"/>
    </xf>
    <xf numFmtId="49" fontId="156" fillId="0" borderId="67" xfId="0" quotePrefix="1" applyNumberFormat="1" applyFont="1" applyFill="1" applyBorder="1" applyAlignment="1">
      <alignment horizontal="center"/>
    </xf>
    <xf numFmtId="0" fontId="156" fillId="0" borderId="67" xfId="0" applyNumberFormat="1" applyFont="1" applyFill="1" applyBorder="1" applyAlignment="1">
      <alignment horizontal="center"/>
    </xf>
    <xf numFmtId="0" fontId="156" fillId="0" borderId="0" xfId="0" applyNumberFormat="1" applyFont="1" applyFill="1" applyBorder="1"/>
    <xf numFmtId="42" fontId="157" fillId="0" borderId="0" xfId="0" applyNumberFormat="1" applyFont="1" applyFill="1" applyAlignment="1">
      <alignment horizontal="right"/>
    </xf>
    <xf numFmtId="41" fontId="157" fillId="0" borderId="0" xfId="0" applyNumberFormat="1" applyFont="1" applyFill="1" applyAlignment="1">
      <alignment horizontal="center"/>
    </xf>
    <xf numFmtId="41" fontId="157" fillId="0" borderId="0" xfId="0" applyNumberFormat="1" applyFont="1" applyFill="1" applyAlignment="1">
      <alignment horizontal="right"/>
    </xf>
    <xf numFmtId="41" fontId="155" fillId="0" borderId="0" xfId="0" applyNumberFormat="1" applyFont="1" applyFill="1" applyAlignment="1">
      <alignment horizontal="right"/>
    </xf>
    <xf numFmtId="41" fontId="155" fillId="0" borderId="0" xfId="0" applyNumberFormat="1" applyFont="1" applyFill="1" applyBorder="1" applyAlignment="1">
      <alignment horizontal="right"/>
    </xf>
    <xf numFmtId="41" fontId="157" fillId="0" borderId="0" xfId="0" applyNumberFormat="1" applyFont="1" applyFill="1" applyBorder="1" applyAlignment="1">
      <alignment horizontal="right"/>
    </xf>
    <xf numFmtId="0" fontId="155" fillId="0" borderId="0" xfId="0" quotePrefix="1" applyNumberFormat="1" applyFont="1" applyFill="1"/>
    <xf numFmtId="37" fontId="155" fillId="0" borderId="0" xfId="0" applyNumberFormat="1" applyFont="1" applyFill="1"/>
    <xf numFmtId="0" fontId="155" fillId="0" borderId="0" xfId="0" applyNumberFormat="1" applyFont="1" applyFill="1" applyBorder="1"/>
    <xf numFmtId="0" fontId="156" fillId="0" borderId="0" xfId="0" applyNumberFormat="1" applyFont="1" applyFill="1" applyBorder="1" applyAlignment="1">
      <alignment horizontal="right"/>
    </xf>
    <xf numFmtId="0" fontId="156" fillId="0" borderId="0" xfId="0" applyNumberFormat="1" applyFont="1" applyFill="1" applyBorder="1" applyAlignment="1">
      <alignment horizontal="center"/>
    </xf>
    <xf numFmtId="42" fontId="157" fillId="0" borderId="0" xfId="0" applyNumberFormat="1" applyFont="1" applyFill="1" applyBorder="1" applyAlignment="1">
      <alignment horizontal="right"/>
    </xf>
    <xf numFmtId="0" fontId="155" fillId="0" borderId="0" xfId="0" applyNumberFormat="1" applyFont="1" applyFill="1" applyBorder="1" applyAlignment="1">
      <alignment horizontal="right"/>
    </xf>
    <xf numFmtId="178" fontId="37" fillId="0" borderId="0" xfId="1767" applyNumberFormat="1" applyFont="1" applyAlignment="1"/>
    <xf numFmtId="170" fontId="37" fillId="0" borderId="20" xfId="0" quotePrefix="1" applyNumberFormat="1" applyFont="1" applyBorder="1" applyAlignment="1" applyProtection="1">
      <alignment horizontal="right"/>
      <protection locked="0"/>
    </xf>
    <xf numFmtId="174" fontId="39" fillId="0" borderId="0" xfId="0" applyNumberFormat="1" applyFont="1" applyAlignment="1" applyProtection="1">
      <protection locked="0"/>
    </xf>
    <xf numFmtId="174" fontId="39" fillId="0" borderId="13" xfId="0" applyNumberFormat="1" applyFont="1" applyBorder="1" applyAlignment="1" applyProtection="1">
      <protection locked="0"/>
    </xf>
    <xf numFmtId="174" fontId="39" fillId="0" borderId="0" xfId="0" applyNumberFormat="1" applyFont="1" applyBorder="1" applyAlignment="1" applyProtection="1">
      <protection locked="0"/>
    </xf>
    <xf numFmtId="178" fontId="37" fillId="0" borderId="0" xfId="740" applyNumberFormat="1" applyFont="1" applyFill="1" applyBorder="1" applyAlignment="1">
      <alignment horizontal="right"/>
    </xf>
    <xf numFmtId="178" fontId="37" fillId="0" borderId="0" xfId="740" applyNumberFormat="1" applyFont="1" applyFill="1" applyAlignment="1">
      <alignment horizontal="right"/>
    </xf>
    <xf numFmtId="178" fontId="37" fillId="0" borderId="0" xfId="740" applyNumberFormat="1" applyFont="1" applyAlignment="1">
      <alignment horizontal="fill"/>
    </xf>
    <xf numFmtId="178" fontId="37" fillId="0" borderId="0" xfId="740" applyNumberFormat="1" applyFont="1" applyAlignment="1"/>
    <xf numFmtId="178" fontId="37" fillId="0" borderId="0" xfId="740" applyNumberFormat="1" applyFont="1" applyBorder="1" applyAlignment="1"/>
    <xf numFmtId="178" fontId="37" fillId="0" borderId="0" xfId="740" applyNumberFormat="1" applyFont="1" applyAlignment="1">
      <alignment horizontal="right"/>
    </xf>
    <xf numFmtId="178" fontId="37" fillId="0" borderId="0" xfId="740" applyNumberFormat="1" applyFont="1" applyBorder="1" applyAlignment="1">
      <alignment horizontal="right"/>
    </xf>
    <xf numFmtId="178" fontId="37" fillId="0" borderId="0" xfId="740" applyNumberFormat="1" applyFont="1" applyFill="1" applyAlignment="1"/>
    <xf numFmtId="181" fontId="37" fillId="0" borderId="0" xfId="740" applyNumberFormat="1" applyFont="1" applyFill="1" applyAlignment="1">
      <alignment horizontal="left"/>
    </xf>
    <xf numFmtId="178" fontId="37" fillId="0" borderId="0" xfId="740" applyNumberFormat="1" applyFont="1" applyFill="1" applyAlignment="1">
      <alignment horizontal="left"/>
    </xf>
    <xf numFmtId="178" fontId="37" fillId="0" borderId="0" xfId="740" quotePrefix="1" applyNumberFormat="1" applyFont="1" applyAlignment="1">
      <alignment horizontal="center"/>
    </xf>
    <xf numFmtId="178" fontId="37" fillId="0" borderId="0" xfId="740" applyNumberFormat="1" applyFont="1" applyAlignment="1">
      <alignment horizontal="center"/>
    </xf>
    <xf numFmtId="178" fontId="98" fillId="0" borderId="0" xfId="740" applyNumberFormat="1" applyFont="1"/>
    <xf numFmtId="178" fontId="37" fillId="0" borderId="0" xfId="740" quotePrefix="1" applyNumberFormat="1" applyFont="1" applyAlignment="1">
      <alignment horizontal="left"/>
    </xf>
    <xf numFmtId="178" fontId="37" fillId="0" borderId="0" xfId="740" applyNumberFormat="1" applyFont="1" applyBorder="1" applyAlignment="1">
      <alignment horizontal="center"/>
    </xf>
    <xf numFmtId="178" fontId="37" fillId="0" borderId="0" xfId="740" quotePrefix="1" applyNumberFormat="1" applyFont="1" applyFill="1" applyAlignment="1">
      <alignment horizontal="left"/>
    </xf>
    <xf numFmtId="178" fontId="37" fillId="0" borderId="0" xfId="740" applyNumberFormat="1" applyFont="1" applyFill="1" applyBorder="1" applyAlignment="1"/>
    <xf numFmtId="178" fontId="37" fillId="0" borderId="0" xfId="740" applyNumberFormat="1" applyFont="1" applyFill="1" applyBorder="1" applyAlignment="1">
      <alignment horizontal="center"/>
    </xf>
    <xf numFmtId="178" fontId="37" fillId="0" borderId="0" xfId="740" quotePrefix="1" applyNumberFormat="1" applyFont="1" applyFill="1" applyAlignment="1">
      <alignment horizontal="center"/>
    </xf>
    <xf numFmtId="173" fontId="37" fillId="0" borderId="0" xfId="740" quotePrefix="1" applyNumberFormat="1" applyFont="1" applyAlignment="1">
      <alignment horizontal="left"/>
    </xf>
    <xf numFmtId="173" fontId="37" fillId="0" borderId="0" xfId="740" applyNumberFormat="1" applyFont="1" applyAlignment="1"/>
    <xf numFmtId="178" fontId="98" fillId="0" borderId="0" xfId="740" applyNumberFormat="1" applyFont="1" applyAlignment="1">
      <alignment horizontal="left"/>
    </xf>
    <xf numFmtId="183" fontId="98" fillId="0" borderId="0" xfId="740" applyNumberFormat="1" applyFont="1"/>
    <xf numFmtId="43" fontId="37" fillId="0" borderId="0" xfId="741" applyFont="1" applyAlignment="1"/>
    <xf numFmtId="178" fontId="37" fillId="0" borderId="0" xfId="740" quotePrefix="1" applyNumberFormat="1" applyFont="1" applyAlignment="1"/>
    <xf numFmtId="182" fontId="37" fillId="0" borderId="0" xfId="740" applyNumberFormat="1" applyFont="1" applyAlignment="1">
      <alignment horizontal="right"/>
    </xf>
    <xf numFmtId="178" fontId="98" fillId="0" borderId="0" xfId="740" applyNumberFormat="1" applyFont="1" applyFill="1"/>
    <xf numFmtId="0" fontId="98" fillId="0" borderId="0" xfId="740" applyFont="1" applyFill="1"/>
    <xf numFmtId="182" fontId="37" fillId="0" borderId="0" xfId="740" applyNumberFormat="1" applyFont="1" applyFill="1" applyBorder="1" applyAlignment="1"/>
    <xf numFmtId="182" fontId="37" fillId="0" borderId="0" xfId="740" applyNumberFormat="1" applyFont="1" applyFill="1" applyAlignment="1"/>
    <xf numFmtId="0" fontId="37" fillId="0" borderId="0" xfId="740" quotePrefix="1" applyNumberFormat="1" applyFont="1" applyFill="1" applyAlignment="1">
      <alignment horizontal="left"/>
    </xf>
    <xf numFmtId="183" fontId="37" fillId="0" borderId="0" xfId="741" applyNumberFormat="1" applyFont="1" applyFill="1" applyBorder="1" applyAlignment="1"/>
    <xf numFmtId="164" fontId="0" fillId="0" borderId="67" xfId="2" applyNumberFormat="1" applyFont="1" applyBorder="1"/>
    <xf numFmtId="0" fontId="44" fillId="0" borderId="10" xfId="2" applyNumberFormat="1" applyFont="1" applyBorder="1" applyAlignment="1">
      <alignment horizontal="center"/>
    </xf>
    <xf numFmtId="175" fontId="44" fillId="0" borderId="10" xfId="4" quotePrefix="1" applyNumberFormat="1" applyFont="1" applyFill="1" applyBorder="1" applyAlignment="1">
      <alignment horizontal="center"/>
    </xf>
    <xf numFmtId="175" fontId="44" fillId="0" borderId="10" xfId="4" applyNumberFormat="1" applyFont="1" applyFill="1" applyBorder="1" applyAlignment="1">
      <alignment horizontal="center"/>
    </xf>
    <xf numFmtId="0" fontId="44" fillId="0" borderId="0" xfId="2" quotePrefix="1" applyNumberFormat="1" applyFont="1" applyBorder="1" applyAlignment="1">
      <alignment horizontal="center"/>
    </xf>
    <xf numFmtId="0" fontId="44" fillId="0" borderId="0" xfId="2" applyNumberFormat="1" applyFont="1" applyAlignment="1">
      <alignment horizontal="center"/>
    </xf>
    <xf numFmtId="17" fontId="44" fillId="0" borderId="0" xfId="2" quotePrefix="1" applyNumberFormat="1" applyFont="1" applyAlignment="1">
      <alignment horizontal="center"/>
    </xf>
    <xf numFmtId="15" fontId="44" fillId="0" borderId="0" xfId="2" quotePrefix="1" applyNumberFormat="1" applyFont="1" applyAlignment="1">
      <alignment horizontal="center"/>
    </xf>
    <xf numFmtId="0" fontId="44" fillId="0" borderId="0" xfId="2" applyNumberFormat="1" applyFont="1" applyFill="1" applyAlignment="1">
      <alignment horizontal="center"/>
    </xf>
    <xf numFmtId="0" fontId="44" fillId="0" borderId="0" xfId="2" quotePrefix="1" applyNumberFormat="1" applyFont="1" applyFill="1" applyAlignment="1">
      <alignment horizontal="center"/>
    </xf>
    <xf numFmtId="165" fontId="44" fillId="0" borderId="0" xfId="2" applyNumberFormat="1" applyFont="1" applyFill="1" applyAlignment="1"/>
    <xf numFmtId="17" fontId="44" fillId="0" borderId="0" xfId="2" applyNumberFormat="1" applyFont="1" applyFill="1" applyAlignment="1">
      <alignment horizontal="center"/>
    </xf>
    <xf numFmtId="15" fontId="44" fillId="0" borderId="0" xfId="2" applyNumberFormat="1" applyFont="1" applyFill="1" applyAlignment="1">
      <alignment horizontal="center"/>
    </xf>
    <xf numFmtId="0" fontId="44" fillId="0" borderId="10" xfId="2" quotePrefix="1" applyNumberFormat="1" applyFont="1" applyFill="1" applyBorder="1" applyAlignment="1">
      <alignment horizontal="center"/>
    </xf>
    <xf numFmtId="166" fontId="59" fillId="0" borderId="0" xfId="2" quotePrefix="1" applyNumberFormat="1" applyFont="1" applyAlignment="1">
      <alignment horizontal="center"/>
    </xf>
    <xf numFmtId="166" fontId="59" fillId="0" borderId="0" xfId="2" applyNumberFormat="1" applyFont="1" applyBorder="1" applyAlignment="1"/>
    <xf numFmtId="166" fontId="59" fillId="0" borderId="0" xfId="2" applyNumberFormat="1" applyFont="1" applyAlignment="1">
      <alignment horizontal="center"/>
    </xf>
    <xf numFmtId="171" fontId="59" fillId="0" borderId="0" xfId="2" quotePrefix="1" applyNumberFormat="1" applyFont="1" applyAlignment="1">
      <alignment horizontal="center"/>
    </xf>
    <xf numFmtId="166" fontId="59" fillId="0" borderId="10" xfId="2" applyNumberFormat="1" applyFont="1" applyBorder="1" applyAlignment="1">
      <alignment horizontal="center"/>
    </xf>
    <xf numFmtId="0" fontId="44" fillId="0" borderId="0" xfId="2" quotePrefix="1" applyNumberFormat="1" applyFont="1" applyAlignment="1">
      <alignment horizontal="center"/>
    </xf>
    <xf numFmtId="3" fontId="44" fillId="0" borderId="0" xfId="2" applyNumberFormat="1" applyFont="1" applyAlignment="1"/>
    <xf numFmtId="165" fontId="44" fillId="0" borderId="0" xfId="2" quotePrefix="1" applyNumberFormat="1" applyFont="1" applyAlignment="1">
      <alignment horizontal="center"/>
    </xf>
    <xf numFmtId="165" fontId="76" fillId="0" borderId="0" xfId="2" applyNumberFormat="1" applyFont="1"/>
    <xf numFmtId="166" fontId="44" fillId="0" borderId="0" xfId="2" applyNumberFormat="1" applyFont="1" applyBorder="1" applyAlignment="1">
      <alignment horizontal="center"/>
    </xf>
    <xf numFmtId="165" fontId="44" fillId="0" borderId="0" xfId="2" applyNumberFormat="1" applyFont="1" applyBorder="1" applyAlignment="1">
      <alignment horizontal="center"/>
    </xf>
    <xf numFmtId="3" fontId="44" fillId="0" borderId="0" xfId="2" applyNumberFormat="1" applyFont="1" applyAlignment="1">
      <alignment horizontal="center"/>
    </xf>
    <xf numFmtId="165" fontId="44" fillId="0" borderId="0" xfId="2" applyNumberFormat="1" applyFont="1" applyAlignment="1">
      <alignment horizontal="center"/>
    </xf>
    <xf numFmtId="1" fontId="44" fillId="0" borderId="10" xfId="2" quotePrefix="1" applyNumberFormat="1" applyFont="1" applyBorder="1" applyAlignment="1">
      <alignment horizontal="center"/>
    </xf>
    <xf numFmtId="1" fontId="44" fillId="0" borderId="0" xfId="2" quotePrefix="1" applyNumberFormat="1" applyFont="1" applyBorder="1" applyAlignment="1">
      <alignment horizontal="center"/>
    </xf>
    <xf numFmtId="166" fontId="44" fillId="0" borderId="10" xfId="2" applyNumberFormat="1" applyFont="1" applyBorder="1" applyAlignment="1">
      <alignment horizontal="center"/>
    </xf>
    <xf numFmtId="166" fontId="44" fillId="0" borderId="10" xfId="2" quotePrefix="1" applyNumberFormat="1" applyFont="1" applyBorder="1" applyAlignment="1">
      <alignment horizontal="center"/>
    </xf>
    <xf numFmtId="165" fontId="43" fillId="0" borderId="0" xfId="2" applyNumberFormat="1" applyFont="1" applyAlignment="1"/>
    <xf numFmtId="0" fontId="43" fillId="0" borderId="0" xfId="2" applyNumberFormat="1" applyFont="1" applyAlignment="1"/>
    <xf numFmtId="0" fontId="44" fillId="0" borderId="0" xfId="2" applyNumberFormat="1" applyFont="1" applyBorder="1" applyAlignment="1">
      <alignment horizontal="center"/>
    </xf>
    <xf numFmtId="165" fontId="44" fillId="0" borderId="10" xfId="2" applyNumberFormat="1" applyFont="1" applyBorder="1" applyAlignment="1">
      <alignment horizontal="center"/>
    </xf>
    <xf numFmtId="0" fontId="43" fillId="0" borderId="0" xfId="2" applyNumberFormat="1" applyFont="1" applyBorder="1" applyAlignment="1"/>
    <xf numFmtId="0" fontId="44" fillId="0" borderId="0" xfId="4" applyNumberFormat="1" applyFont="1" applyFill="1" applyAlignment="1">
      <alignment horizontal="center"/>
    </xf>
    <xf numFmtId="166" fontId="44" fillId="0" borderId="0" xfId="4" applyNumberFormat="1" applyFont="1" applyFill="1"/>
    <xf numFmtId="175" fontId="44" fillId="0" borderId="0" xfId="4" applyNumberFormat="1" applyFont="1" applyFill="1" applyBorder="1"/>
    <xf numFmtId="166" fontId="44" fillId="0" borderId="0" xfId="4" applyNumberFormat="1" applyFont="1" applyBorder="1" applyAlignment="1">
      <alignment horizontal="center"/>
    </xf>
    <xf numFmtId="165" fontId="44" fillId="0" borderId="0" xfId="4" applyNumberFormat="1" applyFont="1" applyBorder="1" applyAlignment="1"/>
    <xf numFmtId="165" fontId="44" fillId="0" borderId="0" xfId="4" applyNumberFormat="1" applyFont="1" applyBorder="1" applyAlignment="1">
      <alignment horizontal="center"/>
    </xf>
    <xf numFmtId="166" fontId="44" fillId="0" borderId="10" xfId="4" applyNumberFormat="1" applyFont="1" applyFill="1" applyBorder="1" applyAlignment="1">
      <alignment horizontal="center"/>
    </xf>
    <xf numFmtId="0" fontId="44" fillId="0" borderId="10" xfId="4" applyNumberFormat="1" applyFont="1" applyFill="1" applyBorder="1" applyAlignment="1">
      <alignment horizontal="center"/>
    </xf>
    <xf numFmtId="0" fontId="44" fillId="0" borderId="0" xfId="4" applyNumberFormat="1" applyFont="1" applyFill="1" applyBorder="1" applyAlignment="1">
      <alignment horizontal="center"/>
    </xf>
    <xf numFmtId="166" fontId="44" fillId="0" borderId="10" xfId="4" applyNumberFormat="1" applyFont="1" applyBorder="1" applyAlignment="1">
      <alignment horizontal="center"/>
    </xf>
    <xf numFmtId="165" fontId="44" fillId="0" borderId="0" xfId="4" applyNumberFormat="1" applyFont="1" applyAlignment="1"/>
    <xf numFmtId="165" fontId="158" fillId="0" borderId="0" xfId="2" applyNumberFormat="1" applyFont="1" applyAlignment="1"/>
    <xf numFmtId="165" fontId="159" fillId="0" borderId="0" xfId="2" applyNumberFormat="1" applyFont="1" applyAlignment="1"/>
    <xf numFmtId="165" fontId="160" fillId="0" borderId="0" xfId="2" applyNumberFormat="1" applyFont="1" applyAlignment="1">
      <alignment horizontal="centerContinuous"/>
    </xf>
    <xf numFmtId="0" fontId="161" fillId="0" borderId="0" xfId="2" applyFont="1" applyBorder="1" applyAlignment="1"/>
    <xf numFmtId="165" fontId="162" fillId="0" borderId="0" xfId="2" applyNumberFormat="1" applyFont="1" applyAlignment="1"/>
    <xf numFmtId="165" fontId="162" fillId="0" borderId="0" xfId="2" applyNumberFormat="1" applyFont="1" applyBorder="1" applyAlignment="1"/>
    <xf numFmtId="0" fontId="44" fillId="0" borderId="10" xfId="2" applyNumberFormat="1" applyFont="1" applyFill="1" applyBorder="1" applyAlignment="1">
      <alignment horizontal="center"/>
    </xf>
    <xf numFmtId="0" fontId="44" fillId="0" borderId="0" xfId="2" applyNumberFormat="1" applyFont="1" applyFill="1" applyBorder="1" applyAlignment="1">
      <alignment horizontal="center"/>
    </xf>
    <xf numFmtId="0" fontId="161" fillId="0" borderId="0" xfId="2" applyFont="1"/>
    <xf numFmtId="166" fontId="81" fillId="0" borderId="0" xfId="2" applyNumberFormat="1" applyFont="1" applyAlignment="1"/>
    <xf numFmtId="166" fontId="80" fillId="0" borderId="0" xfId="2" applyNumberFormat="1" applyFont="1" applyAlignment="1">
      <alignment horizontal="center"/>
    </xf>
    <xf numFmtId="164" fontId="44" fillId="0" borderId="0" xfId="0" applyFont="1" applyAlignment="1">
      <alignment horizontal="center"/>
    </xf>
    <xf numFmtId="0" fontId="67" fillId="0" borderId="0" xfId="0" applyNumberFormat="1" applyFont="1" applyAlignment="1">
      <alignment horizontal="center"/>
    </xf>
    <xf numFmtId="164" fontId="67" fillId="0" borderId="0" xfId="0" applyFont="1" applyAlignment="1">
      <alignment horizontal="center"/>
    </xf>
    <xf numFmtId="164" fontId="67" fillId="0" borderId="67" xfId="0" applyFont="1" applyBorder="1" applyAlignment="1">
      <alignment horizontal="center"/>
    </xf>
    <xf numFmtId="0" fontId="67" fillId="0" borderId="0" xfId="2" quotePrefix="1" applyNumberFormat="1" applyFont="1" applyAlignment="1">
      <alignment horizontal="center"/>
    </xf>
    <xf numFmtId="0" fontId="67" fillId="0" borderId="0" xfId="2" applyNumberFormat="1" applyFont="1" applyBorder="1" applyAlignment="1"/>
    <xf numFmtId="0" fontId="67" fillId="0" borderId="0" xfId="2" applyNumberFormat="1" applyFont="1" applyAlignment="1">
      <alignment horizontal="center"/>
    </xf>
    <xf numFmtId="180" fontId="44" fillId="0" borderId="0" xfId="740" quotePrefix="1" applyNumberFormat="1" applyFont="1" applyBorder="1" applyAlignment="1">
      <alignment horizontal="center"/>
    </xf>
    <xf numFmtId="0" fontId="43" fillId="0" borderId="0" xfId="860" applyNumberFormat="1" applyFont="1" applyAlignment="1">
      <alignment horizontal="right"/>
    </xf>
    <xf numFmtId="178" fontId="42" fillId="0" borderId="0" xfId="740" applyNumberFormat="1" applyFont="1" applyFill="1" applyAlignment="1"/>
    <xf numFmtId="39" fontId="43" fillId="0" borderId="0" xfId="0" applyNumberFormat="1" applyFont="1" applyFill="1" applyAlignment="1">
      <alignment horizontal="right"/>
    </xf>
    <xf numFmtId="7" fontId="42" fillId="0" borderId="0" xfId="0" applyNumberFormat="1" applyFont="1" applyFill="1" applyAlignment="1">
      <alignment horizontal="right" vertical="top"/>
    </xf>
    <xf numFmtId="39" fontId="42" fillId="0" borderId="0" xfId="0" quotePrefix="1" applyNumberFormat="1" applyFont="1" applyFill="1" applyAlignment="1"/>
    <xf numFmtId="0" fontId="37" fillId="0" borderId="0" xfId="0" applyNumberFormat="1" applyFont="1" applyFill="1"/>
    <xf numFmtId="39" fontId="43" fillId="0" borderId="0" xfId="0" applyNumberFormat="1" applyFont="1" applyFill="1"/>
    <xf numFmtId="0" fontId="42" fillId="0" borderId="0" xfId="0" applyNumberFormat="1" applyFont="1" applyFill="1" applyBorder="1" applyAlignment="1"/>
    <xf numFmtId="0" fontId="42" fillId="0" borderId="0" xfId="0" applyNumberFormat="1" applyFont="1" applyFill="1" applyBorder="1" applyAlignment="1">
      <alignment horizontal="center" vertical="top"/>
    </xf>
    <xf numFmtId="39" fontId="42" fillId="0" borderId="0" xfId="0" applyNumberFormat="1" applyFont="1" applyFill="1" applyBorder="1"/>
    <xf numFmtId="39" fontId="42" fillId="0" borderId="0" xfId="0" applyNumberFormat="1" applyFont="1" applyFill="1" applyBorder="1" applyAlignment="1">
      <alignment horizontal="center"/>
    </xf>
    <xf numFmtId="39" fontId="42" fillId="0" borderId="0" xfId="0" applyNumberFormat="1" applyFont="1" applyFill="1" applyBorder="1" applyAlignment="1">
      <alignment horizontal="right"/>
    </xf>
    <xf numFmtId="39" fontId="42" fillId="0" borderId="0" xfId="0" quotePrefix="1" applyNumberFormat="1" applyFont="1" applyFill="1" applyBorder="1" applyAlignment="1">
      <alignment horizontal="center"/>
    </xf>
    <xf numFmtId="39" fontId="43" fillId="0" borderId="0" xfId="0" applyNumberFormat="1" applyFont="1" applyFill="1" applyBorder="1" applyAlignment="1">
      <alignment horizontal="center" vertical="top"/>
    </xf>
    <xf numFmtId="0" fontId="155" fillId="0" borderId="0" xfId="0" applyNumberFormat="1" applyFont="1" applyFill="1" applyAlignment="1"/>
    <xf numFmtId="0" fontId="156" fillId="0" borderId="0" xfId="0" applyNumberFormat="1" applyFont="1" applyFill="1" applyAlignment="1">
      <alignment horizontal="left" vertical="top"/>
    </xf>
    <xf numFmtId="0" fontId="155" fillId="0" borderId="0" xfId="0" quotePrefix="1" applyNumberFormat="1" applyFont="1" applyFill="1" applyAlignment="1"/>
    <xf numFmtId="0" fontId="156" fillId="0" borderId="0" xfId="0" applyNumberFormat="1" applyFont="1" applyFill="1" applyAlignment="1">
      <alignment horizontal="center" vertical="top"/>
    </xf>
    <xf numFmtId="0" fontId="156" fillId="0" borderId="0" xfId="0" applyNumberFormat="1" applyFont="1" applyFill="1" applyAlignment="1">
      <alignment horizontal="centerContinuous" vertical="top"/>
    </xf>
    <xf numFmtId="39" fontId="155" fillId="0" borderId="0" xfId="0" quotePrefix="1" applyNumberFormat="1" applyFont="1" applyFill="1" applyBorder="1" applyAlignment="1"/>
    <xf numFmtId="39" fontId="157" fillId="0" borderId="0" xfId="0" quotePrefix="1" applyNumberFormat="1" applyFont="1" applyFill="1" applyBorder="1" applyAlignment="1"/>
    <xf numFmtId="39" fontId="155" fillId="0" borderId="0" xfId="0" applyNumberFormat="1" applyFont="1" applyFill="1" applyBorder="1" applyAlignment="1"/>
    <xf numFmtId="0" fontId="157" fillId="0" borderId="0" xfId="0" applyNumberFormat="1" applyFont="1" applyFill="1" applyBorder="1" applyAlignment="1"/>
    <xf numFmtId="0" fontId="155" fillId="0" borderId="0" xfId="0" applyNumberFormat="1" applyFont="1" applyFill="1" applyBorder="1" applyAlignment="1"/>
    <xf numFmtId="0" fontId="155" fillId="0" borderId="0" xfId="0" applyNumberFormat="1" applyFont="1" applyFill="1" applyBorder="1" applyAlignment="1">
      <alignment horizontal="left" vertical="top"/>
    </xf>
    <xf numFmtId="42" fontId="155" fillId="0" borderId="0" xfId="0" applyNumberFormat="1" applyFont="1" applyFill="1" applyAlignment="1">
      <alignment horizontal="left" vertical="top"/>
    </xf>
    <xf numFmtId="42" fontId="157" fillId="0" borderId="0" xfId="0" applyNumberFormat="1" applyFont="1" applyFill="1" applyAlignment="1">
      <alignment horizontal="left" vertical="top"/>
    </xf>
    <xf numFmtId="42" fontId="155" fillId="0" borderId="0" xfId="0" applyNumberFormat="1" applyFont="1" applyFill="1"/>
    <xf numFmtId="42" fontId="157" fillId="0" borderId="0" xfId="0" applyNumberFormat="1" applyFont="1" applyFill="1" applyAlignment="1">
      <alignment horizontal="right" vertical="top"/>
    </xf>
    <xf numFmtId="0" fontId="157" fillId="0" borderId="0" xfId="0" applyNumberFormat="1" applyFont="1" applyFill="1" applyAlignment="1">
      <alignment horizontal="right"/>
    </xf>
    <xf numFmtId="41" fontId="157" fillId="0" borderId="0" xfId="0" applyNumberFormat="1" applyFont="1" applyFill="1" applyAlignment="1"/>
    <xf numFmtId="0" fontId="155" fillId="0" borderId="0" xfId="0" applyNumberFormat="1" applyFont="1" applyFill="1" applyAlignment="1">
      <alignment horizontal="left" vertical="top"/>
    </xf>
    <xf numFmtId="0" fontId="155" fillId="0" borderId="0" xfId="0" quotePrefix="1" applyNumberFormat="1" applyFont="1" applyFill="1" applyAlignment="1">
      <alignment horizontal="left" vertical="top"/>
    </xf>
    <xf numFmtId="0" fontId="155" fillId="0" borderId="0" xfId="0" quotePrefix="1" applyNumberFormat="1" applyFont="1" applyFill="1" applyBorder="1" applyAlignment="1"/>
    <xf numFmtId="41" fontId="155" fillId="0" borderId="0" xfId="0" applyNumberFormat="1" applyFont="1" applyFill="1" applyAlignment="1"/>
    <xf numFmtId="0" fontId="157" fillId="0" borderId="0" xfId="0" applyNumberFormat="1" applyFont="1" applyFill="1" applyAlignment="1"/>
    <xf numFmtId="0" fontId="156" fillId="0" borderId="0" xfId="0" quotePrefix="1" applyNumberFormat="1" applyFont="1" applyFill="1" applyAlignment="1">
      <alignment horizontal="left" vertical="top"/>
    </xf>
    <xf numFmtId="43" fontId="0" fillId="0" borderId="0" xfId="0" applyNumberFormat="1" applyAlignment="1">
      <alignment horizontal="right"/>
    </xf>
    <xf numFmtId="164" fontId="42" fillId="0" borderId="0" xfId="2" applyNumberFormat="1" applyFont="1" applyAlignment="1"/>
    <xf numFmtId="164" fontId="38" fillId="0" borderId="0" xfId="2" applyNumberFormat="1" applyFont="1" applyAlignment="1">
      <alignment horizontal="right"/>
    </xf>
    <xf numFmtId="164" fontId="40" fillId="0" borderId="0" xfId="2" applyNumberFormat="1" applyFont="1" applyAlignment="1"/>
    <xf numFmtId="164" fontId="42" fillId="0" borderId="10" xfId="2" applyNumberFormat="1" applyFont="1" applyBorder="1" applyAlignment="1"/>
    <xf numFmtId="164" fontId="43" fillId="0" borderId="0" xfId="2" applyNumberFormat="1" applyFont="1" applyAlignment="1"/>
    <xf numFmtId="164" fontId="44" fillId="0" borderId="0" xfId="2" applyNumberFormat="1" applyFont="1" applyAlignment="1">
      <alignment horizontal="center"/>
    </xf>
    <xf numFmtId="164" fontId="44" fillId="0" borderId="10" xfId="2" applyNumberFormat="1" applyFont="1" applyBorder="1" applyAlignment="1">
      <alignment horizontal="center"/>
    </xf>
    <xf numFmtId="175" fontId="37" fillId="0" borderId="0" xfId="4" applyNumberFormat="1" applyFont="1" applyFill="1"/>
    <xf numFmtId="170" fontId="42" fillId="0" borderId="0" xfId="2" applyNumberFormat="1" applyFont="1" applyBorder="1" applyAlignment="1"/>
    <xf numFmtId="181" fontId="37" fillId="0" borderId="0" xfId="740" applyNumberFormat="1" applyFont="1" applyFill="1" applyAlignment="1">
      <alignment horizontal="center"/>
    </xf>
    <xf numFmtId="43" fontId="37" fillId="0" borderId="0" xfId="0" applyNumberFormat="1" applyFont="1" applyFill="1" applyBorder="1" applyAlignment="1" applyProtection="1"/>
    <xf numFmtId="170" fontId="39" fillId="0" borderId="73" xfId="2" applyNumberFormat="1" applyFont="1" applyFill="1" applyBorder="1" applyAlignment="1"/>
    <xf numFmtId="170" fontId="0" fillId="0" borderId="28" xfId="2" applyNumberFormat="1" applyFont="1" applyFill="1" applyBorder="1" applyAlignment="1"/>
    <xf numFmtId="42" fontId="37" fillId="0" borderId="0" xfId="0" applyNumberFormat="1" applyFont="1" applyBorder="1" applyAlignment="1"/>
    <xf numFmtId="42" fontId="37" fillId="0" borderId="0" xfId="0" quotePrefix="1" applyNumberFormat="1" applyFont="1" applyBorder="1" applyAlignment="1">
      <alignment horizontal="right"/>
    </xf>
    <xf numFmtId="42" fontId="37" fillId="0" borderId="0" xfId="0" applyNumberFormat="1" applyFont="1" applyBorder="1" applyAlignment="1" applyProtection="1">
      <protection locked="0"/>
    </xf>
    <xf numFmtId="41" fontId="37" fillId="0" borderId="0" xfId="0" quotePrefix="1" applyNumberFormat="1" applyFont="1" applyBorder="1" applyAlignment="1">
      <alignment horizontal="right"/>
    </xf>
    <xf numFmtId="41" fontId="37" fillId="0" borderId="0" xfId="0" applyNumberFormat="1" applyFont="1" applyBorder="1" applyAlignment="1"/>
    <xf numFmtId="41" fontId="37" fillId="0" borderId="0" xfId="0" applyNumberFormat="1" applyFont="1" applyBorder="1" applyAlignment="1" applyProtection="1">
      <protection locked="0"/>
    </xf>
    <xf numFmtId="41" fontId="37" fillId="0" borderId="0" xfId="0" quotePrefix="1" applyNumberFormat="1" applyFont="1" applyBorder="1" applyAlignment="1">
      <alignment horizontal="center"/>
    </xf>
    <xf numFmtId="41" fontId="37" fillId="0" borderId="0" xfId="0" quotePrefix="1" applyNumberFormat="1" applyFont="1" applyBorder="1" applyAlignment="1"/>
    <xf numFmtId="41" fontId="37" fillId="0" borderId="0" xfId="0" applyNumberFormat="1" applyFont="1" applyBorder="1" applyAlignment="1">
      <alignment horizontal="center"/>
    </xf>
    <xf numFmtId="41" fontId="37" fillId="0" borderId="0" xfId="0" applyNumberFormat="1" applyFont="1" applyBorder="1" applyAlignment="1">
      <alignment horizontal="right"/>
    </xf>
    <xf numFmtId="41" fontId="37" fillId="0" borderId="67" xfId="0" quotePrefix="1" applyNumberFormat="1" applyFont="1" applyBorder="1" applyAlignment="1">
      <alignment horizontal="right"/>
    </xf>
    <xf numFmtId="41" fontId="37" fillId="0" borderId="67" xfId="0" quotePrefix="1" applyNumberFormat="1" applyFont="1" applyBorder="1" applyAlignment="1">
      <alignment horizontal="center"/>
    </xf>
    <xf numFmtId="41" fontId="37" fillId="0" borderId="0" xfId="0" applyNumberFormat="1" applyFont="1" applyBorder="1" applyAlignment="1" applyProtection="1">
      <alignment horizontal="right"/>
      <protection locked="0"/>
    </xf>
    <xf numFmtId="41" fontId="37" fillId="0" borderId="0" xfId="739" applyNumberFormat="1" applyFont="1" applyBorder="1" applyAlignment="1" applyProtection="1">
      <protection locked="0"/>
    </xf>
    <xf numFmtId="42" fontId="37" fillId="0" borderId="0" xfId="739" applyNumberFormat="1" applyFont="1" applyBorder="1" applyAlignment="1" applyProtection="1">
      <protection locked="0"/>
    </xf>
    <xf numFmtId="41" fontId="44" fillId="0" borderId="16" xfId="739" applyNumberFormat="1" applyFont="1" applyBorder="1" applyAlignment="1"/>
    <xf numFmtId="174" fontId="44" fillId="0" borderId="49" xfId="2" applyNumberFormat="1" applyFont="1" applyFill="1" applyBorder="1" applyAlignment="1">
      <alignment horizontal="right"/>
    </xf>
    <xf numFmtId="174" fontId="44" fillId="0" borderId="74" xfId="2" applyNumberFormat="1" applyFont="1" applyFill="1" applyBorder="1" applyAlignment="1"/>
    <xf numFmtId="170" fontId="39" fillId="0" borderId="28" xfId="2" applyNumberFormat="1" applyFont="1" applyBorder="1" applyAlignment="1"/>
    <xf numFmtId="170" fontId="48" fillId="0" borderId="0" xfId="2" applyNumberFormat="1" applyFont="1" applyBorder="1" applyAlignment="1"/>
    <xf numFmtId="170" fontId="48" fillId="0" borderId="21" xfId="2" applyNumberFormat="1" applyFont="1" applyBorder="1" applyAlignment="1"/>
    <xf numFmtId="170" fontId="39" fillId="0" borderId="73" xfId="2" applyNumberFormat="1" applyFont="1" applyBorder="1" applyAlignment="1"/>
    <xf numFmtId="0" fontId="67" fillId="0" borderId="0" xfId="836" quotePrefix="1" applyNumberFormat="1" applyFont="1" applyFill="1" applyAlignment="1"/>
    <xf numFmtId="43" fontId="42" fillId="0" borderId="0" xfId="0" applyNumberFormat="1" applyFont="1" applyFill="1"/>
    <xf numFmtId="43" fontId="42" fillId="0" borderId="0" xfId="0" applyNumberFormat="1" applyFont="1" applyFill="1" applyAlignment="1"/>
    <xf numFmtId="191" fontId="163" fillId="0" borderId="0" xfId="11" applyNumberFormat="1" applyFont="1" applyAlignment="1">
      <alignment horizontal="right"/>
    </xf>
    <xf numFmtId="42" fontId="156" fillId="0" borderId="0" xfId="0" applyNumberFormat="1" applyFont="1" applyFill="1" applyAlignment="1">
      <alignment horizontal="right" vertical="top"/>
    </xf>
    <xf numFmtId="42" fontId="156" fillId="0" borderId="0" xfId="0" applyNumberFormat="1" applyFont="1" applyFill="1" applyAlignment="1">
      <alignment horizontal="right"/>
    </xf>
    <xf numFmtId="42" fontId="156" fillId="0" borderId="0" xfId="0" applyNumberFormat="1" applyFont="1" applyFill="1" applyBorder="1" applyAlignment="1">
      <alignment horizontal="right"/>
    </xf>
    <xf numFmtId="0" fontId="67" fillId="0" borderId="0" xfId="0" applyNumberFormat="1" applyFont="1" applyFill="1" applyAlignment="1">
      <alignment horizontal="left" vertical="top"/>
    </xf>
    <xf numFmtId="178" fontId="67" fillId="0" borderId="0" xfId="740" applyNumberFormat="1" applyFont="1" applyAlignment="1"/>
    <xf numFmtId="178" fontId="67" fillId="0" borderId="0" xfId="740" quotePrefix="1" applyNumberFormat="1" applyFont="1" applyAlignment="1">
      <alignment horizontal="left"/>
    </xf>
    <xf numFmtId="178" fontId="67" fillId="0" borderId="0" xfId="740" quotePrefix="1" applyNumberFormat="1" applyFont="1" applyAlignment="1">
      <alignment horizontal="right"/>
    </xf>
    <xf numFmtId="0" fontId="67" fillId="0" borderId="0" xfId="0" applyNumberFormat="1" applyFont="1" applyFill="1" applyAlignment="1">
      <alignment horizontal="right" vertical="top"/>
    </xf>
    <xf numFmtId="0" fontId="37" fillId="0" borderId="0" xfId="17" applyNumberFormat="1" applyFont="1" applyAlignment="1"/>
    <xf numFmtId="4" fontId="44" fillId="0" borderId="51" xfId="1028" applyNumberFormat="1" applyFont="1" applyBorder="1" applyAlignment="1"/>
    <xf numFmtId="187" fontId="44" fillId="0" borderId="51" xfId="0" applyNumberFormat="1" applyFont="1" applyBorder="1" applyAlignment="1" applyProtection="1">
      <alignment horizontal="center"/>
      <protection locked="0"/>
    </xf>
    <xf numFmtId="39" fontId="44" fillId="0" borderId="51" xfId="0" applyNumberFormat="1" applyFont="1" applyBorder="1" applyAlignment="1">
      <alignment horizontal="center"/>
    </xf>
    <xf numFmtId="4" fontId="0" fillId="0" borderId="0" xfId="0" applyNumberFormat="1" applyAlignment="1" applyProtection="1">
      <alignment horizontal="right"/>
      <protection locked="0"/>
    </xf>
    <xf numFmtId="39" fontId="44" fillId="0" borderId="0" xfId="0" applyNumberFormat="1" applyFont="1" applyAlignment="1">
      <alignment horizontal="center"/>
    </xf>
    <xf numFmtId="0" fontId="102" fillId="0" borderId="0" xfId="0" applyNumberFormat="1" applyFont="1" applyBorder="1"/>
    <xf numFmtId="0" fontId="102" fillId="0" borderId="0" xfId="0" applyNumberFormat="1" applyFont="1" applyBorder="1" applyAlignment="1" applyProtection="1"/>
    <xf numFmtId="164" fontId="44" fillId="0" borderId="0" xfId="0" applyFont="1" applyAlignment="1" applyProtection="1">
      <alignment horizontal="right"/>
      <protection locked="0"/>
    </xf>
    <xf numFmtId="164" fontId="0" fillId="0" borderId="0" xfId="0" applyProtection="1">
      <protection locked="0"/>
    </xf>
    <xf numFmtId="164" fontId="44" fillId="0" borderId="0" xfId="0" applyFont="1" applyAlignment="1">
      <alignment horizontal="right"/>
    </xf>
    <xf numFmtId="43" fontId="0" fillId="0" borderId="0" xfId="0" applyNumberFormat="1" applyAlignment="1" applyProtection="1">
      <alignment horizontal="right"/>
      <protection locked="0"/>
    </xf>
    <xf numFmtId="4" fontId="37" fillId="0" borderId="0" xfId="0" applyNumberFormat="1" applyFont="1" applyAlignment="1">
      <alignment horizontal="center"/>
    </xf>
    <xf numFmtId="1" fontId="37" fillId="0" borderId="0" xfId="1028" quotePrefix="1" applyNumberFormat="1" applyFont="1" applyAlignment="1"/>
    <xf numFmtId="4" fontId="44" fillId="0" borderId="0" xfId="0" applyNumberFormat="1" applyFont="1"/>
    <xf numFmtId="0" fontId="98" fillId="0" borderId="0" xfId="0" applyNumberFormat="1" applyFont="1"/>
    <xf numFmtId="0" fontId="98" fillId="0" borderId="0" xfId="1028" quotePrefix="1" applyNumberFormat="1" applyFont="1" applyFill="1" applyBorder="1" applyAlignment="1"/>
    <xf numFmtId="43" fontId="37" fillId="0" borderId="0" xfId="1028" applyNumberFormat="1" applyFont="1" applyBorder="1" applyAlignment="1" applyProtection="1">
      <alignment horizontal="right"/>
    </xf>
    <xf numFmtId="164" fontId="37" fillId="0" borderId="0" xfId="0" applyFont="1" applyProtection="1"/>
    <xf numFmtId="4" fontId="44" fillId="0" borderId="0" xfId="0" applyNumberFormat="1" applyFont="1" applyAlignment="1">
      <alignment horizontal="center"/>
    </xf>
    <xf numFmtId="43" fontId="44" fillId="0" borderId="0" xfId="0" applyNumberFormat="1" applyFont="1" applyAlignment="1">
      <alignment horizontal="right"/>
    </xf>
    <xf numFmtId="43" fontId="37" fillId="0" borderId="0" xfId="0" applyNumberFormat="1" applyFont="1" applyAlignment="1" applyProtection="1">
      <alignment horizontal="right"/>
      <protection locked="0"/>
    </xf>
    <xf numFmtId="4" fontId="37" fillId="0" borderId="0" xfId="0" applyNumberFormat="1" applyFont="1"/>
    <xf numFmtId="0" fontId="117" fillId="0" borderId="0" xfId="1028" quotePrefix="1" applyNumberFormat="1" applyFont="1" applyBorder="1" applyAlignment="1">
      <alignment horizontal="left"/>
    </xf>
    <xf numFmtId="0" fontId="98" fillId="0" borderId="0" xfId="1028" quotePrefix="1" applyNumberFormat="1" applyFont="1" applyAlignment="1"/>
    <xf numFmtId="4" fontId="37" fillId="0" borderId="0" xfId="1028" quotePrefix="1" applyNumberFormat="1" applyFont="1" applyBorder="1" applyAlignment="1">
      <alignment horizontal="right"/>
    </xf>
    <xf numFmtId="4" fontId="37" fillId="0" borderId="0" xfId="1028" quotePrefix="1" applyNumberFormat="1" applyFont="1" applyAlignment="1">
      <alignment horizontal="center"/>
    </xf>
    <xf numFmtId="4" fontId="37" fillId="0" borderId="0" xfId="1028" applyNumberFormat="1" applyFont="1" applyBorder="1" applyAlignment="1">
      <alignment horizontal="centerContinuous"/>
    </xf>
    <xf numFmtId="37" fontId="44" fillId="0" borderId="0" xfId="1028" applyNumberFormat="1" applyFont="1" applyBorder="1" applyAlignment="1">
      <alignment horizontal="center"/>
    </xf>
    <xf numFmtId="4" fontId="37" fillId="0" borderId="0" xfId="0" applyNumberFormat="1" applyFont="1" applyAlignment="1">
      <alignment horizontal="left"/>
    </xf>
    <xf numFmtId="1" fontId="37" fillId="0" borderId="0" xfId="1028" quotePrefix="1" applyNumberFormat="1" applyFont="1" applyFill="1" applyBorder="1" applyAlignment="1">
      <alignment horizontal="center"/>
    </xf>
    <xf numFmtId="43" fontId="44" fillId="0" borderId="0" xfId="0" applyNumberFormat="1" applyFont="1" applyAlignment="1" applyProtection="1">
      <alignment horizontal="right"/>
      <protection locked="0"/>
    </xf>
    <xf numFmtId="164" fontId="37" fillId="0" borderId="0" xfId="0" applyFont="1" applyProtection="1">
      <protection locked="0"/>
    </xf>
    <xf numFmtId="4" fontId="37" fillId="0" borderId="0" xfId="1028" applyNumberFormat="1" applyFont="1" applyFill="1" applyBorder="1" applyAlignment="1">
      <alignment horizontal="right"/>
    </xf>
    <xf numFmtId="43" fontId="37" fillId="0" borderId="0" xfId="0" applyNumberFormat="1" applyFont="1" applyAlignment="1">
      <alignment horizontal="right"/>
    </xf>
    <xf numFmtId="4" fontId="37" fillId="0" borderId="0" xfId="1028" quotePrefix="1" applyNumberFormat="1" applyFont="1" applyFill="1" applyAlignment="1">
      <alignment horizontal="left"/>
    </xf>
    <xf numFmtId="1" fontId="44" fillId="0" borderId="0" xfId="1028" quotePrefix="1" applyNumberFormat="1" applyFont="1" applyAlignment="1"/>
    <xf numFmtId="0" fontId="98" fillId="0" borderId="0" xfId="1028" applyNumberFormat="1" applyFont="1" applyBorder="1" applyAlignment="1"/>
    <xf numFmtId="0" fontId="44" fillId="0" borderId="0" xfId="1028" applyNumberFormat="1" applyFont="1" applyBorder="1" applyAlignment="1">
      <alignment horizontal="center"/>
    </xf>
    <xf numFmtId="0" fontId="102" fillId="0" borderId="0" xfId="0" applyNumberFormat="1" applyFont="1" applyAlignment="1"/>
    <xf numFmtId="0" fontId="116" fillId="0" borderId="0" xfId="1028" quotePrefix="1" applyNumberFormat="1" applyFont="1" applyAlignment="1"/>
    <xf numFmtId="7" fontId="44" fillId="0" borderId="0" xfId="0" applyNumberFormat="1" applyFont="1" applyAlignment="1" applyProtection="1">
      <alignment horizontal="right"/>
      <protection locked="0"/>
    </xf>
    <xf numFmtId="37" fontId="44" fillId="0" borderId="0" xfId="1028" applyNumberFormat="1" applyFont="1" applyAlignment="1">
      <alignment horizontal="right"/>
    </xf>
    <xf numFmtId="4" fontId="44" fillId="0" borderId="0" xfId="1028" applyNumberFormat="1" applyFont="1" applyBorder="1" applyAlignment="1" applyProtection="1">
      <alignment horizontal="left"/>
    </xf>
    <xf numFmtId="164" fontId="98" fillId="0" borderId="0" xfId="1028" applyNumberFormat="1" applyFont="1" applyBorder="1" applyAlignment="1" applyProtection="1"/>
    <xf numFmtId="4" fontId="102" fillId="0" borderId="0" xfId="0" applyNumberFormat="1" applyFont="1" applyAlignment="1">
      <alignment horizontal="left" vertical="top"/>
    </xf>
    <xf numFmtId="37" fontId="44" fillId="0" borderId="0" xfId="0" applyNumberFormat="1" applyFont="1" applyBorder="1" applyAlignment="1">
      <alignment horizontal="right" vertical="top"/>
    </xf>
    <xf numFmtId="4" fontId="44" fillId="0" borderId="0" xfId="0" applyNumberFormat="1" applyFont="1" applyAlignment="1">
      <alignment horizontal="left" vertical="top"/>
    </xf>
    <xf numFmtId="4" fontId="44" fillId="0" borderId="0" xfId="0" applyNumberFormat="1" applyFont="1" applyBorder="1" applyAlignment="1">
      <alignment horizontal="left" vertical="top"/>
    </xf>
    <xf numFmtId="164" fontId="98" fillId="0" borderId="0" xfId="0" applyNumberFormat="1" applyFont="1"/>
    <xf numFmtId="164" fontId="98" fillId="0" borderId="0" xfId="0" applyNumberFormat="1" applyFont="1" applyBorder="1"/>
    <xf numFmtId="4" fontId="44" fillId="0" borderId="0" xfId="1028" applyNumberFormat="1" applyFont="1" applyFill="1" applyBorder="1" applyAlignment="1">
      <alignment horizontal="left"/>
    </xf>
    <xf numFmtId="164" fontId="37" fillId="0" borderId="0" xfId="0" applyNumberFormat="1" applyFont="1" applyAlignment="1"/>
    <xf numFmtId="164" fontId="37" fillId="0" borderId="0" xfId="0" applyNumberFormat="1" applyFont="1" applyBorder="1" applyAlignment="1"/>
    <xf numFmtId="4" fontId="102" fillId="0" borderId="0" xfId="0" applyNumberFormat="1" applyFont="1" applyBorder="1" applyAlignment="1" applyProtection="1">
      <alignment horizontal="left"/>
    </xf>
    <xf numFmtId="37" fontId="102" fillId="0" borderId="0" xfId="0" applyNumberFormat="1" applyFont="1" applyBorder="1" applyAlignment="1" applyProtection="1">
      <alignment horizontal="right"/>
    </xf>
    <xf numFmtId="164" fontId="98" fillId="0" borderId="0" xfId="0" applyNumberFormat="1" applyFont="1" applyBorder="1" applyAlignment="1" applyProtection="1"/>
    <xf numFmtId="37" fontId="102" fillId="0" borderId="0" xfId="0" applyNumberFormat="1" applyFont="1" applyAlignment="1">
      <alignment horizontal="right" vertical="top"/>
    </xf>
    <xf numFmtId="37" fontId="44" fillId="0" borderId="0" xfId="841" applyNumberFormat="1" applyFont="1" applyAlignment="1">
      <alignment horizontal="right"/>
    </xf>
    <xf numFmtId="43" fontId="44" fillId="0" borderId="0" xfId="0" applyNumberFormat="1" applyFont="1" applyBorder="1" applyAlignment="1">
      <alignment horizontal="right"/>
    </xf>
    <xf numFmtId="166" fontId="37" fillId="0" borderId="0" xfId="2" applyNumberFormat="1" applyFont="1" applyAlignment="1"/>
    <xf numFmtId="165" fontId="68" fillId="0" borderId="0" xfId="840" applyNumberFormat="1" applyFont="1" applyAlignment="1">
      <alignment horizontal="left"/>
    </xf>
    <xf numFmtId="0" fontId="68" fillId="0" borderId="0" xfId="840" applyNumberFormat="1" applyFont="1" applyAlignment="1">
      <alignment horizontal="left"/>
    </xf>
    <xf numFmtId="0" fontId="44" fillId="0" borderId="0" xfId="840" applyNumberFormat="1" applyFont="1" applyAlignment="1">
      <alignment horizontal="left"/>
    </xf>
    <xf numFmtId="0" fontId="37" fillId="0" borderId="0" xfId="840" applyNumberFormat="1" applyFont="1" applyAlignment="1">
      <alignment horizontal="left"/>
    </xf>
    <xf numFmtId="0" fontId="37" fillId="0" borderId="0" xfId="840" applyNumberFormat="1" applyFont="1" applyFill="1" applyAlignment="1">
      <alignment horizontal="left"/>
    </xf>
    <xf numFmtId="0" fontId="37" fillId="0" borderId="0" xfId="2" applyNumberFormat="1" applyFont="1" applyAlignment="1">
      <alignment horizontal="left"/>
    </xf>
    <xf numFmtId="3" fontId="39" fillId="0" borderId="0" xfId="2" applyNumberFormat="1" applyFont="1" applyAlignment="1">
      <alignment horizontal="left"/>
    </xf>
    <xf numFmtId="3" fontId="39" fillId="0" borderId="0" xfId="0" applyNumberFormat="1" applyFont="1" applyAlignment="1" applyProtection="1">
      <protection locked="0"/>
    </xf>
    <xf numFmtId="3" fontId="39" fillId="0" borderId="0" xfId="0" applyNumberFormat="1" applyFont="1" applyAlignment="1" applyProtection="1">
      <alignment horizontal="left"/>
      <protection locked="0"/>
    </xf>
    <xf numFmtId="3" fontId="39" fillId="0" borderId="0" xfId="0" applyNumberFormat="1" applyFont="1" applyAlignment="1"/>
    <xf numFmtId="3" fontId="37" fillId="0" borderId="0" xfId="0" applyNumberFormat="1" applyFont="1" applyAlignment="1">
      <alignment horizontal="left"/>
    </xf>
    <xf numFmtId="166" fontId="44" fillId="0" borderId="0" xfId="0" applyNumberFormat="1" applyFont="1" applyAlignment="1" applyProtection="1">
      <alignment horizontal="left"/>
      <protection locked="0"/>
    </xf>
    <xf numFmtId="166" fontId="44" fillId="0" borderId="0" xfId="0" applyNumberFormat="1" applyFont="1" applyFill="1" applyAlignment="1" applyProtection="1">
      <alignment horizontal="left"/>
      <protection locked="0"/>
    </xf>
    <xf numFmtId="0" fontId="67" fillId="0" borderId="0" xfId="2" applyNumberFormat="1" applyFont="1" applyFill="1" applyAlignment="1" applyProtection="1">
      <alignment horizontal="left"/>
      <protection locked="0"/>
    </xf>
    <xf numFmtId="37" fontId="67" fillId="0" borderId="0" xfId="2" applyNumberFormat="1" applyFont="1" applyFill="1" applyAlignment="1">
      <alignment horizontal="center"/>
    </xf>
    <xf numFmtId="37" fontId="67" fillId="0" borderId="0" xfId="2" quotePrefix="1" applyNumberFormat="1" applyFont="1" applyFill="1" applyAlignment="1">
      <alignment horizontal="center"/>
    </xf>
    <xf numFmtId="165" fontId="37" fillId="0" borderId="0" xfId="2" applyNumberFormat="1" applyFont="1" applyAlignment="1" applyProtection="1">
      <protection locked="0"/>
    </xf>
    <xf numFmtId="165" fontId="37" fillId="0" borderId="0" xfId="2" applyNumberFormat="1" applyFont="1" applyFill="1" applyAlignment="1" applyProtection="1">
      <protection locked="0"/>
    </xf>
    <xf numFmtId="165" fontId="37" fillId="0" borderId="0" xfId="2" applyNumberFormat="1" applyFont="1" applyProtection="1">
      <protection locked="0"/>
    </xf>
    <xf numFmtId="165" fontId="37" fillId="0" borderId="0" xfId="836" applyNumberFormat="1" applyFont="1" applyAlignment="1" applyProtection="1">
      <protection locked="0"/>
    </xf>
    <xf numFmtId="165" fontId="37" fillId="0" borderId="0" xfId="740" applyNumberFormat="1" applyFont="1" applyProtection="1">
      <protection locked="0"/>
    </xf>
    <xf numFmtId="165" fontId="37" fillId="0" borderId="0" xfId="17" applyNumberFormat="1" applyFont="1" applyAlignment="1" applyProtection="1">
      <protection locked="0"/>
    </xf>
    <xf numFmtId="0" fontId="44" fillId="0" borderId="0" xfId="17" applyNumberFormat="1" applyFont="1" applyAlignment="1"/>
    <xf numFmtId="170" fontId="44" fillId="0" borderId="67" xfId="2" applyNumberFormat="1" applyFont="1" applyBorder="1" applyAlignment="1"/>
    <xf numFmtId="0" fontId="52" fillId="0" borderId="0" xfId="2" applyNumberFormat="1" applyFont="1" applyAlignment="1">
      <alignment horizontal="right"/>
    </xf>
    <xf numFmtId="0" fontId="52" fillId="0" borderId="0" xfId="2" applyNumberFormat="1" applyFont="1" applyAlignment="1"/>
    <xf numFmtId="0" fontId="52" fillId="0" borderId="0" xfId="2" applyNumberFormat="1" applyFont="1" applyAlignment="1">
      <alignment horizontal="left"/>
    </xf>
    <xf numFmtId="0" fontId="52" fillId="0" borderId="0" xfId="2" quotePrefix="1" applyNumberFormat="1" applyFont="1" applyAlignment="1">
      <alignment horizontal="left"/>
    </xf>
    <xf numFmtId="0" fontId="154" fillId="0" borderId="0" xfId="2" applyNumberFormat="1" applyFont="1" applyBorder="1" applyAlignment="1">
      <alignment horizontal="right"/>
    </xf>
    <xf numFmtId="0" fontId="62" fillId="0" borderId="0" xfId="2" applyNumberFormat="1" applyFont="1" applyBorder="1" applyAlignment="1"/>
    <xf numFmtId="0" fontId="67" fillId="0" borderId="0" xfId="2" quotePrefix="1" applyNumberFormat="1" applyFont="1" applyBorder="1" applyAlignment="1" applyProtection="1">
      <alignment horizontal="right"/>
      <protection locked="0"/>
    </xf>
    <xf numFmtId="0" fontId="154" fillId="0" borderId="0" xfId="2" applyNumberFormat="1" applyFont="1" applyAlignment="1"/>
    <xf numFmtId="0" fontId="67" fillId="0" borderId="10" xfId="2" applyNumberFormat="1" applyFont="1" applyBorder="1" applyAlignment="1">
      <alignment horizontal="center"/>
    </xf>
    <xf numFmtId="0" fontId="67" fillId="0" borderId="10" xfId="2" quotePrefix="1" applyNumberFormat="1" applyFont="1" applyBorder="1" applyAlignment="1">
      <alignment horizontal="center"/>
    </xf>
    <xf numFmtId="0" fontId="67" fillId="0" borderId="0" xfId="2" applyNumberFormat="1" applyFont="1" applyBorder="1" applyAlignment="1">
      <alignment horizontal="center"/>
    </xf>
    <xf numFmtId="174" fontId="67" fillId="0" borderId="20" xfId="2" quotePrefix="1" applyNumberFormat="1" applyFont="1" applyBorder="1" applyAlignment="1"/>
    <xf numFmtId="174" fontId="67" fillId="0" borderId="0" xfId="2" applyNumberFormat="1" applyFont="1" applyBorder="1" applyAlignment="1">
      <alignment horizontal="right"/>
    </xf>
    <xf numFmtId="174" fontId="67" fillId="0" borderId="20" xfId="2" quotePrefix="1" applyNumberFormat="1" applyFont="1" applyBorder="1" applyAlignment="1">
      <alignment horizontal="right"/>
    </xf>
    <xf numFmtId="174" fontId="67" fillId="0" borderId="24" xfId="2" applyNumberFormat="1" applyFont="1" applyBorder="1" applyAlignment="1" applyProtection="1">
      <protection locked="0"/>
    </xf>
    <xf numFmtId="174" fontId="67" fillId="0" borderId="21" xfId="2" applyNumberFormat="1" applyFont="1" applyBorder="1" applyAlignment="1" applyProtection="1">
      <protection locked="0"/>
    </xf>
    <xf numFmtId="174" fontId="67" fillId="0" borderId="0" xfId="2" applyNumberFormat="1" applyFont="1" applyBorder="1" applyAlignment="1" applyProtection="1">
      <protection locked="0"/>
    </xf>
    <xf numFmtId="174" fontId="62" fillId="0" borderId="0" xfId="2" applyNumberFormat="1" applyFont="1" applyAlignment="1"/>
    <xf numFmtId="174" fontId="62" fillId="0" borderId="0" xfId="2" applyNumberFormat="1" applyFont="1" applyAlignment="1" applyProtection="1">
      <protection locked="0"/>
    </xf>
    <xf numFmtId="175" fontId="62" fillId="0" borderId="24" xfId="2" applyNumberFormat="1" applyFont="1" applyBorder="1" applyAlignment="1" applyProtection="1">
      <protection locked="0"/>
    </xf>
    <xf numFmtId="175" fontId="62" fillId="0" borderId="21" xfId="2" applyNumberFormat="1" applyFont="1" applyBorder="1" applyAlignment="1" applyProtection="1">
      <protection locked="0"/>
    </xf>
    <xf numFmtId="175" fontId="62" fillId="0" borderId="0" xfId="2" applyNumberFormat="1" applyFont="1" applyAlignment="1" applyProtection="1">
      <protection locked="0"/>
    </xf>
    <xf numFmtId="0" fontId="62" fillId="0" borderId="0" xfId="2" quotePrefix="1" applyNumberFormat="1" applyFont="1" applyAlignment="1">
      <alignment horizontal="left"/>
    </xf>
    <xf numFmtId="170" fontId="62" fillId="0" borderId="10" xfId="2" quotePrefix="1" applyNumberFormat="1" applyFont="1" applyBorder="1" applyAlignment="1">
      <alignment horizontal="right"/>
    </xf>
    <xf numFmtId="170" fontId="62" fillId="0" borderId="0" xfId="2" applyNumberFormat="1" applyFont="1" applyBorder="1" applyAlignment="1" applyProtection="1">
      <protection locked="0"/>
    </xf>
    <xf numFmtId="170" fontId="62" fillId="0" borderId="0" xfId="2" applyNumberFormat="1" applyFont="1" applyAlignment="1" applyProtection="1">
      <protection locked="0"/>
    </xf>
    <xf numFmtId="170" fontId="62" fillId="0" borderId="24" xfId="2" applyNumberFormat="1" applyFont="1" applyBorder="1" applyAlignment="1" applyProtection="1">
      <protection locked="0"/>
    </xf>
    <xf numFmtId="170" fontId="62" fillId="0" borderId="21" xfId="2" applyNumberFormat="1" applyFont="1" applyBorder="1" applyAlignment="1" applyProtection="1">
      <protection locked="0"/>
    </xf>
    <xf numFmtId="170" fontId="67" fillId="0" borderId="20" xfId="2" applyNumberFormat="1" applyFont="1" applyBorder="1" applyAlignment="1">
      <alignment horizontal="right"/>
    </xf>
    <xf numFmtId="170" fontId="67" fillId="0" borderId="0" xfId="2" applyNumberFormat="1" applyFont="1" applyBorder="1" applyAlignment="1">
      <alignment horizontal="right"/>
    </xf>
    <xf numFmtId="170" fontId="67" fillId="0" borderId="0" xfId="2" applyNumberFormat="1" applyFont="1" applyAlignment="1" applyProtection="1">
      <protection locked="0"/>
    </xf>
    <xf numFmtId="170" fontId="67" fillId="0" borderId="24" xfId="2" applyNumberFormat="1" applyFont="1" applyBorder="1" applyAlignment="1" applyProtection="1">
      <protection locked="0"/>
    </xf>
    <xf numFmtId="170" fontId="67" fillId="0" borderId="21" xfId="2" applyNumberFormat="1" applyFont="1" applyBorder="1" applyAlignment="1" applyProtection="1">
      <protection locked="0"/>
    </xf>
    <xf numFmtId="170" fontId="62" fillId="0" borderId="20" xfId="2" applyNumberFormat="1" applyFont="1" applyBorder="1" applyAlignment="1" applyProtection="1">
      <protection locked="0"/>
    </xf>
    <xf numFmtId="170" fontId="62" fillId="0" borderId="20" xfId="2" applyNumberFormat="1" applyFont="1" applyBorder="1" applyAlignment="1" applyProtection="1">
      <alignment horizontal="right"/>
      <protection locked="0"/>
    </xf>
    <xf numFmtId="170" fontId="62" fillId="0" borderId="0" xfId="2" applyNumberFormat="1" applyFont="1" applyAlignment="1" applyProtection="1">
      <alignment horizontal="right"/>
      <protection locked="0"/>
    </xf>
    <xf numFmtId="170" fontId="62" fillId="0" borderId="24" xfId="2" applyNumberFormat="1" applyFont="1" applyBorder="1" applyAlignment="1" applyProtection="1">
      <alignment horizontal="center"/>
      <protection locked="0"/>
    </xf>
    <xf numFmtId="170" fontId="62" fillId="0" borderId="0" xfId="2" applyNumberFormat="1" applyFont="1" applyAlignment="1" applyProtection="1">
      <alignment horizontal="center"/>
      <protection locked="0"/>
    </xf>
    <xf numFmtId="170" fontId="62" fillId="0" borderId="0" xfId="2" quotePrefix="1" applyNumberFormat="1" applyFont="1" applyBorder="1" applyAlignment="1">
      <alignment horizontal="right"/>
    </xf>
    <xf numFmtId="170" fontId="62" fillId="0" borderId="10" xfId="2" quotePrefix="1" applyNumberFormat="1" applyFont="1" applyBorder="1" applyAlignment="1">
      <alignment horizontal="center"/>
    </xf>
    <xf numFmtId="170" fontId="67" fillId="0" borderId="0" xfId="2" quotePrefix="1" applyNumberFormat="1" applyFont="1" applyAlignment="1">
      <alignment horizontal="right"/>
    </xf>
    <xf numFmtId="170" fontId="67" fillId="0" borderId="10" xfId="2" quotePrefix="1" applyNumberFormat="1" applyFont="1" applyBorder="1" applyAlignment="1"/>
    <xf numFmtId="170" fontId="67" fillId="0" borderId="10" xfId="2" quotePrefix="1" applyNumberFormat="1" applyFont="1" applyBorder="1" applyAlignment="1">
      <alignment horizontal="right"/>
    </xf>
    <xf numFmtId="170" fontId="67" fillId="0" borderId="0" xfId="2" applyNumberFormat="1" applyFont="1" applyBorder="1" applyAlignment="1" applyProtection="1">
      <protection locked="0"/>
    </xf>
    <xf numFmtId="170" fontId="62" fillId="0" borderId="24" xfId="2" applyNumberFormat="1" applyFont="1" applyBorder="1" applyAlignment="1">
      <alignment horizontal="center"/>
    </xf>
    <xf numFmtId="170" fontId="62" fillId="0" borderId="0" xfId="2" applyNumberFormat="1" applyFont="1" applyBorder="1" applyAlignment="1">
      <alignment horizontal="center"/>
    </xf>
    <xf numFmtId="170" fontId="67" fillId="0" borderId="20" xfId="2" applyNumberFormat="1" applyFont="1" applyBorder="1" applyAlignment="1">
      <alignment horizontal="center"/>
    </xf>
    <xf numFmtId="170" fontId="67" fillId="0" borderId="0" xfId="2" applyNumberFormat="1" applyFont="1" applyAlignment="1" applyProtection="1">
      <alignment horizontal="right"/>
      <protection locked="0"/>
    </xf>
    <xf numFmtId="170" fontId="67" fillId="0" borderId="24" xfId="2" applyNumberFormat="1" applyFont="1" applyBorder="1" applyAlignment="1" applyProtection="1">
      <alignment horizontal="right"/>
      <protection locked="0"/>
    </xf>
    <xf numFmtId="170" fontId="67" fillId="0" borderId="0" xfId="2" applyNumberFormat="1" applyFont="1" applyBorder="1" applyAlignment="1" applyProtection="1">
      <alignment horizontal="right"/>
      <protection locked="0"/>
    </xf>
    <xf numFmtId="170" fontId="67" fillId="0" borderId="0" xfId="2" quotePrefix="1" applyNumberFormat="1" applyFont="1" applyBorder="1" applyAlignment="1">
      <alignment horizontal="right"/>
    </xf>
    <xf numFmtId="170" fontId="67" fillId="0" borderId="18" xfId="2" applyNumberFormat="1" applyFont="1" applyBorder="1" applyAlignment="1"/>
    <xf numFmtId="174" fontId="67" fillId="0" borderId="20" xfId="2" applyNumberFormat="1" applyFont="1" applyBorder="1" applyAlignment="1"/>
    <xf numFmtId="174" fontId="67" fillId="0" borderId="0" xfId="2" applyNumberFormat="1" applyFont="1" applyAlignment="1" applyProtection="1">
      <protection locked="0"/>
    </xf>
    <xf numFmtId="174" fontId="67" fillId="0" borderId="18" xfId="2" applyNumberFormat="1" applyFont="1" applyBorder="1" applyAlignment="1"/>
    <xf numFmtId="166" fontId="62" fillId="0" borderId="36" xfId="2" applyNumberFormat="1" applyFont="1" applyBorder="1" applyAlignment="1"/>
    <xf numFmtId="166" fontId="62" fillId="0" borderId="0" xfId="2" applyNumberFormat="1" applyFont="1" applyAlignment="1"/>
    <xf numFmtId="166" fontId="62" fillId="0" borderId="0" xfId="2" applyNumberFormat="1" applyFont="1" applyBorder="1" applyAlignment="1"/>
    <xf numFmtId="170" fontId="67" fillId="0" borderId="0" xfId="2" applyNumberFormat="1" applyFont="1" applyAlignment="1" applyProtection="1">
      <alignment horizontal="right"/>
    </xf>
    <xf numFmtId="170" fontId="62" fillId="0" borderId="67" xfId="2" quotePrefix="1" applyNumberFormat="1" applyFont="1" applyBorder="1" applyAlignment="1"/>
    <xf numFmtId="170" fontId="62" fillId="0" borderId="0" xfId="2" quotePrefix="1" applyNumberFormat="1" applyFont="1" applyBorder="1" applyAlignment="1"/>
    <xf numFmtId="170" fontId="67" fillId="0" borderId="0" xfId="2" quotePrefix="1" applyNumberFormat="1" applyFont="1" applyAlignment="1">
      <alignment horizontal="center"/>
    </xf>
    <xf numFmtId="170" fontId="67" fillId="0" borderId="0" xfId="2" applyNumberFormat="1" applyFont="1" applyAlignment="1">
      <alignment horizontal="center"/>
    </xf>
    <xf numFmtId="170" fontId="67" fillId="0" borderId="0" xfId="2" applyNumberFormat="1" applyFont="1" applyBorder="1" applyAlignment="1">
      <alignment horizontal="center"/>
    </xf>
    <xf numFmtId="170" fontId="67" fillId="0" borderId="0" xfId="2" applyNumberFormat="1" applyFont="1" applyAlignment="1" applyProtection="1">
      <alignment horizontal="center"/>
      <protection locked="0"/>
    </xf>
    <xf numFmtId="170" fontId="67" fillId="0" borderId="20" xfId="2" quotePrefix="1" applyNumberFormat="1" applyFont="1" applyBorder="1" applyAlignment="1">
      <alignment horizontal="center"/>
    </xf>
    <xf numFmtId="170" fontId="67" fillId="0" borderId="0" xfId="2" quotePrefix="1" applyNumberFormat="1" applyFont="1" applyBorder="1" applyAlignment="1">
      <alignment horizontal="center"/>
    </xf>
    <xf numFmtId="43" fontId="43" fillId="0" borderId="0" xfId="0" applyNumberFormat="1" applyFont="1" applyFill="1"/>
    <xf numFmtId="43" fontId="42" fillId="0" borderId="0" xfId="0" applyNumberFormat="1" applyFont="1" applyFill="1" applyAlignment="1">
      <alignment horizontal="center" vertical="top"/>
    </xf>
    <xf numFmtId="43" fontId="42" fillId="0" borderId="0" xfId="0" applyNumberFormat="1" applyFont="1" applyFill="1" applyBorder="1" applyAlignment="1">
      <alignment horizontal="center"/>
    </xf>
    <xf numFmtId="43" fontId="43" fillId="0" borderId="0" xfId="0" applyNumberFormat="1" applyFont="1" applyFill="1" applyBorder="1" applyAlignment="1">
      <alignment horizontal="center" vertical="top"/>
    </xf>
    <xf numFmtId="43" fontId="42" fillId="0" borderId="0" xfId="0" applyNumberFormat="1" applyFont="1" applyFill="1" applyBorder="1"/>
    <xf numFmtId="0" fontId="0" fillId="0" borderId="0" xfId="17" applyNumberFormat="1" applyFont="1" applyBorder="1"/>
    <xf numFmtId="0" fontId="103" fillId="0" borderId="0" xfId="17" applyNumberFormat="1" applyFont="1" applyBorder="1"/>
    <xf numFmtId="0" fontId="108" fillId="0" borderId="0" xfId="17" applyNumberFormat="1" applyFont="1" applyBorder="1" applyAlignment="1" applyProtection="1">
      <protection locked="0"/>
    </xf>
    <xf numFmtId="0" fontId="108" fillId="0" borderId="0" xfId="17" applyNumberFormat="1" applyFont="1" applyBorder="1" applyAlignment="1"/>
    <xf numFmtId="0" fontId="108" fillId="0" borderId="0" xfId="17" applyNumberFormat="1" applyFont="1" applyBorder="1" applyAlignment="1">
      <alignment horizontal="center"/>
    </xf>
    <xf numFmtId="0" fontId="37" fillId="0" borderId="0" xfId="17" applyNumberFormat="1" applyFont="1" applyBorder="1" applyAlignment="1" applyProtection="1"/>
    <xf numFmtId="165" fontId="164" fillId="0" borderId="0" xfId="2" applyNumberFormat="1" applyFont="1" applyAlignment="1"/>
    <xf numFmtId="164" fontId="37" fillId="0" borderId="0" xfId="1028" applyNumberFormat="1" applyFont="1" applyBorder="1" applyAlignment="1"/>
    <xf numFmtId="164" fontId="37" fillId="0" borderId="0" xfId="1028" quotePrefix="1" applyNumberFormat="1" applyFont="1" applyBorder="1" applyAlignment="1"/>
    <xf numFmtId="164" fontId="37" fillId="0" borderId="0" xfId="1028" quotePrefix="1" applyNumberFormat="1" applyFont="1" applyAlignment="1"/>
    <xf numFmtId="164" fontId="37" fillId="0" borderId="0" xfId="1028" applyNumberFormat="1" applyFont="1" applyFill="1" applyBorder="1" applyAlignment="1"/>
    <xf numFmtId="0" fontId="43" fillId="0" borderId="0" xfId="8" applyFont="1" applyAlignment="1">
      <alignment horizontal="right"/>
    </xf>
    <xf numFmtId="194" fontId="43" fillId="0" borderId="0" xfId="8" quotePrefix="1" applyNumberFormat="1" applyFont="1" applyAlignment="1">
      <alignment horizontal="right"/>
    </xf>
    <xf numFmtId="170" fontId="44" fillId="0" borderId="40" xfId="0" applyNumberFormat="1" applyFont="1" applyBorder="1" applyAlignment="1"/>
    <xf numFmtId="165" fontId="42" fillId="0" borderId="0" xfId="2" applyNumberFormat="1" applyFont="1" applyFill="1" applyAlignment="1"/>
    <xf numFmtId="165" fontId="37" fillId="0" borderId="0" xfId="2" applyNumberFormat="1" applyFont="1" applyFill="1" applyAlignment="1"/>
    <xf numFmtId="165" fontId="37" fillId="0" borderId="0" xfId="2" applyNumberFormat="1" applyFont="1" applyFill="1" applyAlignment="1">
      <alignment horizontal="centerContinuous"/>
    </xf>
    <xf numFmtId="0" fontId="76" fillId="0" borderId="0" xfId="2" applyNumberFormat="1" applyFont="1" applyFill="1" applyAlignment="1">
      <alignment horizontal="left"/>
    </xf>
    <xf numFmtId="166" fontId="37" fillId="0" borderId="0" xfId="2" applyNumberFormat="1" applyFont="1" applyFill="1" applyAlignment="1"/>
    <xf numFmtId="0" fontId="37" fillId="0" borderId="0" xfId="2" applyNumberFormat="1" applyFont="1" applyFill="1" applyAlignment="1">
      <alignment horizontal="left"/>
    </xf>
    <xf numFmtId="174" fontId="37" fillId="0" borderId="0" xfId="2" applyNumberFormat="1" applyFont="1" applyFill="1" applyAlignment="1">
      <alignment horizontal="right"/>
    </xf>
    <xf numFmtId="174" fontId="37" fillId="0" borderId="0" xfId="2" applyNumberFormat="1" applyFont="1" applyFill="1" applyAlignment="1"/>
    <xf numFmtId="170" fontId="37" fillId="0" borderId="0" xfId="2" applyNumberFormat="1" applyFont="1" applyFill="1" applyAlignment="1"/>
    <xf numFmtId="170" fontId="37" fillId="0" borderId="0" xfId="2" quotePrefix="1" applyNumberFormat="1" applyFont="1" applyFill="1" applyAlignment="1"/>
    <xf numFmtId="170" fontId="37" fillId="0" borderId="0" xfId="2" applyNumberFormat="1" applyFont="1" applyAlignment="1">
      <alignment horizontal="center"/>
    </xf>
    <xf numFmtId="170" fontId="39" fillId="0" borderId="67" xfId="2" applyNumberFormat="1" applyFont="1" applyBorder="1"/>
    <xf numFmtId="178" fontId="67" fillId="0" borderId="67" xfId="836" applyNumberFormat="1" applyFont="1" applyFill="1" applyBorder="1" applyAlignment="1">
      <alignment horizontal="right"/>
    </xf>
    <xf numFmtId="178" fontId="62" fillId="0" borderId="67" xfId="836" applyNumberFormat="1" applyFont="1" applyFill="1" applyBorder="1" applyAlignment="1"/>
    <xf numFmtId="42" fontId="97" fillId="0" borderId="17" xfId="739" applyNumberFormat="1" applyFont="1" applyBorder="1" applyAlignment="1"/>
    <xf numFmtId="42" fontId="97" fillId="0" borderId="0" xfId="0" applyNumberFormat="1" applyFont="1" applyBorder="1"/>
    <xf numFmtId="174" fontId="67" fillId="0" borderId="35" xfId="2" applyNumberFormat="1" applyFont="1" applyBorder="1" applyAlignment="1"/>
    <xf numFmtId="170" fontId="80" fillId="0" borderId="67" xfId="2" applyNumberFormat="1" applyFont="1" applyBorder="1" applyAlignment="1">
      <alignment horizontal="right"/>
    </xf>
    <xf numFmtId="164" fontId="44" fillId="0" borderId="67" xfId="2" applyNumberFormat="1" applyFont="1" applyBorder="1"/>
    <xf numFmtId="174" fontId="80" fillId="0" borderId="17" xfId="2" applyNumberFormat="1" applyFont="1" applyBorder="1" applyAlignment="1"/>
    <xf numFmtId="181" fontId="0" fillId="0" borderId="0" xfId="17" applyNumberFormat="1" applyFont="1"/>
    <xf numFmtId="184" fontId="39" fillId="0" borderId="0" xfId="0" applyNumberFormat="1" applyFont="1" applyBorder="1" applyAlignment="1" applyProtection="1">
      <protection locked="0"/>
    </xf>
    <xf numFmtId="164" fontId="39" fillId="0" borderId="67" xfId="0" applyNumberFormat="1" applyFont="1" applyBorder="1" applyAlignment="1" applyProtection="1">
      <protection locked="0"/>
    </xf>
    <xf numFmtId="166" fontId="44" fillId="0" borderId="10" xfId="0" quotePrefix="1" applyNumberFormat="1" applyFont="1" applyBorder="1" applyAlignment="1" applyProtection="1">
      <alignment horizontal="center"/>
    </xf>
    <xf numFmtId="17" fontId="44" fillId="0" borderId="67" xfId="2" quotePrefix="1" applyNumberFormat="1" applyFont="1" applyFill="1" applyBorder="1" applyAlignment="1">
      <alignment horizontal="center"/>
    </xf>
    <xf numFmtId="185" fontId="67" fillId="0" borderId="0" xfId="836" quotePrefix="1" applyNumberFormat="1" applyFont="1" applyAlignment="1">
      <alignment horizontal="center"/>
    </xf>
    <xf numFmtId="180" fontId="67" fillId="0" borderId="0" xfId="836" quotePrefix="1" applyNumberFormat="1" applyFont="1" applyAlignment="1">
      <alignment horizontal="center"/>
    </xf>
    <xf numFmtId="180" fontId="67" fillId="0" borderId="0" xfId="836" quotePrefix="1" applyNumberFormat="1" applyFont="1" applyFill="1" applyAlignment="1">
      <alignment horizontal="center"/>
    </xf>
    <xf numFmtId="182" fontId="67" fillId="0" borderId="0" xfId="836" quotePrefix="1" applyNumberFormat="1" applyFont="1" applyAlignment="1">
      <alignment horizontal="center"/>
    </xf>
    <xf numFmtId="0" fontId="37" fillId="0" borderId="0" xfId="2" quotePrefix="1" applyNumberFormat="1" applyFont="1" applyFill="1" applyBorder="1" applyAlignment="1">
      <alignment horizontal="left"/>
    </xf>
    <xf numFmtId="0" fontId="166" fillId="0" borderId="0" xfId="2" applyFont="1"/>
    <xf numFmtId="4" fontId="37" fillId="0" borderId="0" xfId="1028" applyNumberFormat="1" applyFont="1" applyFill="1" applyAlignment="1">
      <alignment horizontal="center"/>
    </xf>
    <xf numFmtId="0" fontId="80" fillId="0" borderId="0" xfId="2" quotePrefix="1" applyNumberFormat="1" applyFont="1" applyAlignment="1">
      <alignment horizontal="center"/>
    </xf>
    <xf numFmtId="0" fontId="44" fillId="0" borderId="0" xfId="840" quotePrefix="1" applyNumberFormat="1" applyFont="1" applyAlignment="1">
      <alignment horizontal="center"/>
    </xf>
    <xf numFmtId="170" fontId="37" fillId="0" borderId="0" xfId="1" quotePrefix="1" applyNumberFormat="1" applyFont="1" applyFill="1" applyAlignment="1">
      <alignment horizontal="center"/>
    </xf>
    <xf numFmtId="170" fontId="37" fillId="0" borderId="10" xfId="2" applyNumberFormat="1" applyFont="1" applyFill="1" applyBorder="1" applyAlignment="1">
      <alignment horizontal="right"/>
    </xf>
    <xf numFmtId="170" fontId="37" fillId="0" borderId="67" xfId="2" applyNumberFormat="1" applyFont="1" applyBorder="1" applyAlignment="1">
      <alignment horizontal="center"/>
    </xf>
    <xf numFmtId="164" fontId="37" fillId="0" borderId="0" xfId="0" applyNumberFormat="1" applyFont="1" applyBorder="1" applyAlignment="1" applyProtection="1">
      <protection locked="0"/>
    </xf>
    <xf numFmtId="0" fontId="168" fillId="0" borderId="0" xfId="0" applyNumberFormat="1" applyFont="1"/>
    <xf numFmtId="41" fontId="168" fillId="0" borderId="0" xfId="0" applyNumberFormat="1" applyFont="1" applyFill="1"/>
    <xf numFmtId="41" fontId="168" fillId="0" borderId="0" xfId="0" applyNumberFormat="1" applyFont="1" applyAlignment="1"/>
    <xf numFmtId="0" fontId="168" fillId="0" borderId="0" xfId="0" applyNumberFormat="1" applyFont="1" applyFill="1"/>
    <xf numFmtId="0" fontId="168" fillId="0" borderId="0" xfId="0" applyNumberFormat="1" applyFont="1" applyBorder="1" applyAlignment="1"/>
    <xf numFmtId="0" fontId="168" fillId="0" borderId="0" xfId="0" applyNumberFormat="1" applyFont="1" applyFill="1" applyAlignment="1"/>
    <xf numFmtId="41" fontId="168" fillId="0" borderId="0" xfId="0" applyNumberFormat="1" applyFont="1" applyFill="1" applyBorder="1"/>
    <xf numFmtId="49" fontId="168" fillId="0" borderId="0" xfId="0" applyNumberFormat="1" applyFont="1" applyFill="1" applyAlignment="1">
      <alignment wrapText="1"/>
    </xf>
    <xf numFmtId="191" fontId="168" fillId="0" borderId="0" xfId="0" applyNumberFormat="1" applyFont="1" applyFill="1" applyBorder="1" applyAlignment="1">
      <alignment vertical="center"/>
    </xf>
    <xf numFmtId="0" fontId="168" fillId="0" borderId="0" xfId="0" applyNumberFormat="1" applyFont="1" applyBorder="1"/>
    <xf numFmtId="0" fontId="168" fillId="0" borderId="0" xfId="0" applyNumberFormat="1" applyFont="1" applyAlignment="1"/>
    <xf numFmtId="0" fontId="98" fillId="0" borderId="0" xfId="1767" applyFont="1"/>
    <xf numFmtId="43" fontId="37" fillId="0" borderId="0" xfId="1767" applyNumberFormat="1" applyFont="1" applyFill="1" applyAlignment="1" applyProtection="1">
      <alignment horizontal="right"/>
      <protection locked="0"/>
    </xf>
    <xf numFmtId="0" fontId="117" fillId="0" borderId="0" xfId="1028" applyFont="1" applyAlignment="1">
      <alignment horizontal="left"/>
    </xf>
    <xf numFmtId="37" fontId="37" fillId="0" borderId="0" xfId="0" applyNumberFormat="1" applyFont="1" applyAlignment="1" applyProtection="1">
      <alignment horizontal="left"/>
      <protection locked="0"/>
    </xf>
    <xf numFmtId="0" fontId="42" fillId="0" borderId="0" xfId="0" applyNumberFormat="1" applyFont="1"/>
    <xf numFmtId="0" fontId="42" fillId="0" borderId="0" xfId="0" applyNumberFormat="1" applyFont="1" applyFill="1" applyAlignment="1">
      <alignment horizontal="left" vertical="top" wrapText="1"/>
    </xf>
    <xf numFmtId="165" fontId="37" fillId="0" borderId="0" xfId="2" applyNumberFormat="1" applyFont="1" applyAlignment="1"/>
    <xf numFmtId="166" fontId="44" fillId="0" borderId="0" xfId="0" applyNumberFormat="1" applyFont="1" applyBorder="1" applyAlignment="1">
      <alignment horizontal="center"/>
    </xf>
    <xf numFmtId="166" fontId="44" fillId="0" borderId="10" xfId="0" applyNumberFormat="1" applyFont="1" applyBorder="1" applyAlignment="1">
      <alignment horizontal="center"/>
    </xf>
    <xf numFmtId="0" fontId="44" fillId="0" borderId="0" xfId="2" applyNumberFormat="1" applyFont="1" applyAlignment="1">
      <alignment horizontal="right"/>
    </xf>
    <xf numFmtId="170" fontId="44" fillId="0" borderId="0" xfId="2" applyNumberFormat="1" applyFont="1" applyAlignment="1"/>
    <xf numFmtId="165" fontId="37" fillId="35" borderId="0" xfId="5458" applyNumberFormat="1" applyFont="1" applyFill="1" applyAlignment="1" applyProtection="1">
      <protection locked="0"/>
    </xf>
    <xf numFmtId="37" fontId="37" fillId="0" borderId="0" xfId="2" applyNumberFormat="1" applyFont="1" applyBorder="1" applyAlignment="1"/>
    <xf numFmtId="37" fontId="37" fillId="0" borderId="0" xfId="2" applyNumberFormat="1" applyFont="1" applyAlignment="1">
      <alignment horizontal="right"/>
    </xf>
    <xf numFmtId="5" fontId="37" fillId="0" borderId="0" xfId="2" applyNumberFormat="1" applyFont="1" applyAlignment="1"/>
    <xf numFmtId="169" fontId="37" fillId="0" borderId="0" xfId="2" applyNumberFormat="1" applyFont="1" applyAlignment="1"/>
    <xf numFmtId="37" fontId="37" fillId="0" borderId="0" xfId="2" quotePrefix="1" applyNumberFormat="1" applyFont="1" applyAlignment="1">
      <alignment horizontal="center"/>
    </xf>
    <xf numFmtId="170" fontId="37" fillId="0" borderId="67" xfId="2" applyNumberFormat="1" applyFont="1" applyBorder="1" applyAlignment="1">
      <alignment horizontal="right"/>
    </xf>
    <xf numFmtId="170" fontId="37" fillId="0" borderId="67" xfId="2" applyNumberFormat="1" applyFont="1" applyBorder="1" applyAlignment="1"/>
    <xf numFmtId="166" fontId="37" fillId="0" borderId="0" xfId="2" applyNumberFormat="1" applyFont="1" applyBorder="1" applyAlignment="1">
      <alignment horizontal="right"/>
    </xf>
    <xf numFmtId="0" fontId="37" fillId="0" borderId="0" xfId="2" applyFont="1"/>
    <xf numFmtId="170" fontId="37" fillId="0" borderId="0" xfId="2" applyNumberFormat="1" applyFont="1"/>
    <xf numFmtId="166" fontId="37" fillId="0" borderId="0" xfId="2" applyNumberFormat="1" applyFont="1" applyBorder="1"/>
    <xf numFmtId="3" fontId="37" fillId="0" borderId="0" xfId="2" applyNumberFormat="1" applyFont="1" applyAlignment="1"/>
    <xf numFmtId="37" fontId="37" fillId="0" borderId="0" xfId="2" applyNumberFormat="1" applyFont="1"/>
    <xf numFmtId="0" fontId="37" fillId="0" borderId="0" xfId="5458" applyNumberFormat="1" applyFont="1" applyFill="1" applyAlignment="1">
      <alignment horizontal="left"/>
    </xf>
    <xf numFmtId="165" fontId="37" fillId="0" borderId="0" xfId="5458" applyNumberFormat="1" applyFont="1" applyAlignment="1" applyProtection="1">
      <protection locked="0"/>
    </xf>
    <xf numFmtId="37" fontId="44" fillId="0" borderId="75" xfId="2" applyNumberFormat="1" applyFont="1" applyBorder="1" applyAlignment="1">
      <alignment horizontal="center"/>
    </xf>
    <xf numFmtId="37" fontId="42" fillId="0" borderId="75" xfId="2" applyNumberFormat="1" applyFont="1" applyBorder="1" applyAlignment="1"/>
    <xf numFmtId="37" fontId="37" fillId="0" borderId="75" xfId="2" applyNumberFormat="1" applyFont="1" applyBorder="1" applyAlignment="1"/>
    <xf numFmtId="174" fontId="37" fillId="0" borderId="0" xfId="2" quotePrefix="1" applyNumberFormat="1" applyFont="1" applyAlignment="1">
      <alignment horizontal="right"/>
    </xf>
    <xf numFmtId="170" fontId="37" fillId="0" borderId="0" xfId="1773" applyNumberFormat="1" applyFont="1" applyAlignment="1"/>
    <xf numFmtId="170" fontId="37" fillId="0" borderId="0" xfId="2" applyNumberFormat="1" applyFont="1" applyBorder="1" applyAlignment="1"/>
    <xf numFmtId="170" fontId="37" fillId="0" borderId="0" xfId="2" applyNumberFormat="1" applyFont="1" applyBorder="1" applyAlignment="1">
      <alignment horizontal="right"/>
    </xf>
    <xf numFmtId="37" fontId="37" fillId="0" borderId="0" xfId="2" applyNumberFormat="1" applyFont="1" applyBorder="1" applyAlignment="1">
      <alignment horizontal="right"/>
    </xf>
    <xf numFmtId="170" fontId="37" fillId="0" borderId="0" xfId="1773" quotePrefix="1" applyNumberFormat="1" applyFont="1" applyAlignment="1">
      <alignment horizontal="right"/>
    </xf>
    <xf numFmtId="170" fontId="37" fillId="0" borderId="0" xfId="2" quotePrefix="1" applyNumberFormat="1" applyFont="1" applyBorder="1" applyAlignment="1">
      <alignment horizontal="center"/>
    </xf>
    <xf numFmtId="37" fontId="37" fillId="0" borderId="0" xfId="2" quotePrefix="1" applyNumberFormat="1" applyFont="1" applyBorder="1" applyAlignment="1">
      <alignment horizontal="center"/>
    </xf>
    <xf numFmtId="37" fontId="37" fillId="0" borderId="0" xfId="2" applyNumberFormat="1" applyFont="1" applyBorder="1" applyAlignment="1">
      <alignment horizontal="center"/>
    </xf>
    <xf numFmtId="170" fontId="37" fillId="0" borderId="67" xfId="2" quotePrefix="1" applyNumberFormat="1" applyFont="1" applyBorder="1" applyAlignment="1">
      <alignment horizontal="right"/>
    </xf>
    <xf numFmtId="174" fontId="37" fillId="0" borderId="0" xfId="2" applyNumberFormat="1" applyFont="1"/>
    <xf numFmtId="0" fontId="37" fillId="0" borderId="0" xfId="2" applyFont="1" applyAlignment="1">
      <alignment horizontal="left"/>
    </xf>
    <xf numFmtId="37" fontId="37" fillId="0" borderId="0" xfId="2" applyNumberFormat="1" applyFont="1" applyFill="1"/>
    <xf numFmtId="174" fontId="37" fillId="0" borderId="75" xfId="2" applyNumberFormat="1" applyFont="1" applyBorder="1" applyAlignment="1"/>
    <xf numFmtId="174" fontId="37" fillId="0" borderId="0" xfId="2" quotePrefix="1" applyNumberFormat="1" applyFont="1" applyAlignment="1"/>
    <xf numFmtId="170" fontId="37" fillId="0" borderId="75" xfId="2" applyNumberFormat="1" applyFont="1" applyBorder="1" applyAlignment="1"/>
    <xf numFmtId="170" fontId="37" fillId="0" borderId="75" xfId="2" applyNumberFormat="1" applyFont="1" applyBorder="1" applyAlignment="1">
      <alignment horizontal="center"/>
    </xf>
    <xf numFmtId="170" fontId="44" fillId="0" borderId="75" xfId="2" applyNumberFormat="1" applyFont="1" applyBorder="1" applyAlignment="1"/>
    <xf numFmtId="170" fontId="44" fillId="0" borderId="28" xfId="2" applyNumberFormat="1" applyFont="1" applyBorder="1" applyAlignment="1"/>
    <xf numFmtId="174" fontId="44" fillId="0" borderId="75" xfId="2" applyNumberFormat="1" applyFont="1" applyBorder="1" applyAlignment="1"/>
    <xf numFmtId="166" fontId="37" fillId="0" borderId="0" xfId="2" applyNumberFormat="1" applyFont="1"/>
    <xf numFmtId="37" fontId="37" fillId="0" borderId="0" xfId="2" applyNumberFormat="1" applyFont="1" applyAlignment="1">
      <alignment horizontal="center"/>
    </xf>
    <xf numFmtId="166" fontId="59" fillId="0" borderId="67" xfId="2" applyNumberFormat="1" applyFont="1" applyBorder="1" applyAlignment="1">
      <alignment horizontal="center"/>
    </xf>
    <xf numFmtId="174" fontId="59" fillId="0" borderId="28" xfId="2" applyNumberFormat="1" applyFont="1" applyBorder="1" applyAlignment="1"/>
    <xf numFmtId="166" fontId="60" fillId="0" borderId="28" xfId="2" applyNumberFormat="1" applyFont="1" applyBorder="1" applyAlignment="1"/>
    <xf numFmtId="170" fontId="60" fillId="0" borderId="28" xfId="2" applyNumberFormat="1" applyFont="1" applyBorder="1" applyAlignment="1"/>
    <xf numFmtId="164" fontId="37" fillId="0" borderId="0" xfId="2" applyNumberFormat="1" applyFont="1" applyAlignment="1"/>
    <xf numFmtId="170" fontId="60" fillId="0" borderId="75" xfId="2" applyNumberFormat="1" applyFont="1" applyBorder="1" applyAlignment="1"/>
    <xf numFmtId="170" fontId="59" fillId="0" borderId="67" xfId="2" applyNumberFormat="1" applyFont="1" applyBorder="1" applyAlignment="1">
      <alignment horizontal="right"/>
    </xf>
    <xf numFmtId="164" fontId="44" fillId="0" borderId="67" xfId="2" applyNumberFormat="1" applyFont="1" applyBorder="1" applyAlignment="1"/>
    <xf numFmtId="3" fontId="37" fillId="0" borderId="0" xfId="2" applyNumberFormat="1" applyFont="1" applyAlignment="1">
      <alignment vertical="center"/>
    </xf>
    <xf numFmtId="3" fontId="37" fillId="0" borderId="0" xfId="2" applyNumberFormat="1" applyFont="1" applyAlignment="1">
      <alignment horizontal="left" vertical="center"/>
    </xf>
    <xf numFmtId="170" fontId="60" fillId="0" borderId="76" xfId="2" applyNumberFormat="1" applyFont="1" applyBorder="1" applyAlignment="1"/>
    <xf numFmtId="170" fontId="60" fillId="0" borderId="77" xfId="2" applyNumberFormat="1" applyFont="1" applyBorder="1" applyAlignment="1"/>
    <xf numFmtId="170" fontId="59" fillId="0" borderId="76" xfId="2" applyNumberFormat="1" applyFont="1" applyBorder="1" applyAlignment="1"/>
    <xf numFmtId="164" fontId="37" fillId="0" borderId="67" xfId="2" quotePrefix="1" applyNumberFormat="1" applyFont="1" applyBorder="1" applyAlignment="1"/>
    <xf numFmtId="170" fontId="59" fillId="0" borderId="67" xfId="2" applyNumberFormat="1" applyFont="1" applyBorder="1" applyAlignment="1"/>
    <xf numFmtId="164" fontId="37" fillId="0" borderId="67" xfId="2" applyNumberFormat="1" applyFont="1" applyBorder="1" applyAlignment="1"/>
    <xf numFmtId="172" fontId="44" fillId="0" borderId="67" xfId="2" applyNumberFormat="1" applyFont="1" applyBorder="1" applyAlignment="1"/>
    <xf numFmtId="166" fontId="43" fillId="0" borderId="0" xfId="0" applyNumberFormat="1" applyFont="1" applyFill="1" applyBorder="1" applyAlignment="1"/>
    <xf numFmtId="165" fontId="40" fillId="0" borderId="0" xfId="0" applyNumberFormat="1" applyFont="1" applyFill="1" applyBorder="1" applyAlignment="1"/>
    <xf numFmtId="166" fontId="57" fillId="0" borderId="0" xfId="0" applyNumberFormat="1" applyFont="1" applyFill="1" applyBorder="1" applyAlignment="1"/>
    <xf numFmtId="166" fontId="57" fillId="0" borderId="0" xfId="0" applyNumberFormat="1" applyFont="1" applyFill="1" applyAlignment="1"/>
    <xf numFmtId="166" fontId="44" fillId="0" borderId="0" xfId="0" applyNumberFormat="1" applyFont="1" applyFill="1" applyBorder="1" applyAlignment="1">
      <alignment horizontal="center"/>
    </xf>
    <xf numFmtId="166" fontId="59" fillId="0" borderId="0" xfId="0" applyNumberFormat="1" applyFont="1" applyFill="1" applyBorder="1" applyAlignment="1">
      <alignment horizontal="center"/>
    </xf>
    <xf numFmtId="166" fontId="60" fillId="0" borderId="0" xfId="0" applyNumberFormat="1" applyFont="1" applyFill="1" applyBorder="1" applyAlignment="1"/>
    <xf numFmtId="174" fontId="60" fillId="0" borderId="0" xfId="0" applyNumberFormat="1" applyFont="1" applyFill="1" applyBorder="1" applyAlignment="1"/>
    <xf numFmtId="170" fontId="60" fillId="0" borderId="0" xfId="0" applyNumberFormat="1" applyFont="1" applyFill="1" applyBorder="1" applyAlignment="1"/>
    <xf numFmtId="170" fontId="60" fillId="0" borderId="0" xfId="0" applyNumberFormat="1" applyFont="1" applyFill="1" applyBorder="1" applyAlignment="1">
      <alignment horizontal="center"/>
    </xf>
    <xf numFmtId="170" fontId="59" fillId="0" borderId="0" xfId="0" applyNumberFormat="1" applyFont="1" applyFill="1" applyBorder="1" applyAlignment="1">
      <alignment horizontal="center"/>
    </xf>
    <xf numFmtId="174" fontId="39" fillId="0" borderId="0" xfId="0" applyNumberFormat="1" applyFont="1" applyFill="1" applyAlignment="1"/>
    <xf numFmtId="170" fontId="39" fillId="0" borderId="0" xfId="0" applyNumberFormat="1" applyFont="1" applyFill="1" applyAlignment="1">
      <alignment horizontal="center"/>
    </xf>
    <xf numFmtId="170" fontId="39" fillId="0" borderId="14" xfId="0" applyNumberFormat="1" applyFont="1" applyFill="1" applyBorder="1" applyAlignment="1"/>
    <xf numFmtId="170" fontId="59" fillId="0" borderId="14" xfId="0" applyNumberFormat="1" applyFont="1" applyFill="1" applyBorder="1" applyAlignment="1"/>
    <xf numFmtId="174" fontId="59" fillId="0" borderId="14" xfId="0" applyNumberFormat="1" applyFont="1" applyFill="1" applyBorder="1" applyAlignment="1"/>
    <xf numFmtId="164" fontId="44" fillId="0" borderId="67" xfId="0" applyNumberFormat="1" applyFont="1" applyBorder="1" applyAlignment="1" applyProtection="1">
      <protection locked="0"/>
    </xf>
    <xf numFmtId="0" fontId="44" fillId="0" borderId="0" xfId="2" applyNumberFormat="1" applyFont="1" applyAlignment="1">
      <alignment horizontal="right"/>
    </xf>
    <xf numFmtId="165" fontId="64" fillId="0" borderId="67" xfId="2" applyNumberFormat="1" applyFont="1" applyBorder="1" applyAlignment="1" applyProtection="1">
      <alignment horizontal="center"/>
      <protection locked="0"/>
    </xf>
    <xf numFmtId="165" fontId="64" fillId="0" borderId="67" xfId="2" applyNumberFormat="1" applyFont="1" applyBorder="1" applyAlignment="1" applyProtection="1">
      <protection locked="0"/>
    </xf>
    <xf numFmtId="0" fontId="65" fillId="0" borderId="67" xfId="2" applyNumberFormat="1" applyFont="1" applyBorder="1" applyAlignment="1"/>
    <xf numFmtId="0" fontId="44" fillId="0" borderId="0" xfId="2" applyNumberFormat="1" applyFont="1" applyAlignment="1">
      <alignment horizontal="left"/>
    </xf>
    <xf numFmtId="37" fontId="134" fillId="0" borderId="0" xfId="2" applyNumberFormat="1" applyFont="1" applyFill="1" applyBorder="1" applyAlignment="1"/>
    <xf numFmtId="37" fontId="132" fillId="0" borderId="0" xfId="2" applyNumberFormat="1" applyFont="1" applyFill="1" applyBorder="1" applyAlignment="1"/>
    <xf numFmtId="37" fontId="44" fillId="0" borderId="0" xfId="2" applyNumberFormat="1" applyFont="1" applyFill="1" applyBorder="1" applyAlignment="1"/>
    <xf numFmtId="37" fontId="44" fillId="0" borderId="0" xfId="2" applyNumberFormat="1" applyFont="1" applyFill="1" applyBorder="1" applyAlignment="1">
      <alignment horizontal="center"/>
    </xf>
    <xf numFmtId="37" fontId="135" fillId="0" borderId="0" xfId="2" applyNumberFormat="1" applyFont="1" applyBorder="1" applyAlignment="1">
      <alignment horizontal="centerContinuous"/>
    </xf>
    <xf numFmtId="174" fontId="37" fillId="0" borderId="0" xfId="2" applyNumberFormat="1" applyFont="1" applyBorder="1" applyAlignment="1">
      <alignment horizontal="right"/>
    </xf>
    <xf numFmtId="174" fontId="37" fillId="0" borderId="0" xfId="2" quotePrefix="1" applyNumberFormat="1" applyFont="1" applyBorder="1" applyAlignment="1">
      <alignment horizontal="right"/>
    </xf>
    <xf numFmtId="174" fontId="37" fillId="0" borderId="0" xfId="2" applyNumberFormat="1" applyFont="1" applyBorder="1" applyAlignment="1"/>
    <xf numFmtId="170" fontId="37" fillId="0" borderId="0" xfId="1773" applyNumberFormat="1" applyFont="1" applyBorder="1" applyAlignment="1"/>
    <xf numFmtId="170" fontId="37" fillId="0" borderId="0" xfId="1773" quotePrefix="1" applyNumberFormat="1" applyFont="1" applyBorder="1" applyAlignment="1">
      <alignment horizontal="right"/>
    </xf>
    <xf numFmtId="170" fontId="37" fillId="0" borderId="0" xfId="2" quotePrefix="1" applyNumberFormat="1" applyFont="1" applyBorder="1" applyAlignment="1">
      <alignment horizontal="right"/>
    </xf>
    <xf numFmtId="174" fontId="44" fillId="0" borderId="0" xfId="2" applyNumberFormat="1" applyFont="1" applyBorder="1" applyAlignment="1">
      <alignment horizontal="right"/>
    </xf>
    <xf numFmtId="174" fontId="37" fillId="0" borderId="0" xfId="2" applyNumberFormat="1" applyFont="1" applyBorder="1"/>
    <xf numFmtId="170" fontId="39" fillId="0" borderId="77" xfId="4" applyNumberFormat="1" applyFont="1" applyFill="1" applyBorder="1"/>
    <xf numFmtId="170" fontId="39" fillId="0" borderId="77" xfId="2" applyNumberFormat="1" applyFont="1" applyBorder="1" applyAlignment="1">
      <alignment horizontal="center"/>
    </xf>
    <xf numFmtId="0" fontId="44" fillId="0" borderId="0" xfId="2" applyNumberFormat="1" applyFont="1" applyAlignment="1">
      <alignment horizontal="left"/>
    </xf>
    <xf numFmtId="0" fontId="38" fillId="0" borderId="0" xfId="2" applyNumberFormat="1" applyFont="1" applyAlignment="1">
      <alignment horizontal="right"/>
    </xf>
    <xf numFmtId="0" fontId="44" fillId="0" borderId="0" xfId="2" applyNumberFormat="1" applyFont="1" applyFill="1" applyAlignment="1">
      <alignment horizontal="right"/>
    </xf>
    <xf numFmtId="37" fontId="132" fillId="0" borderId="0" xfId="2" applyNumberFormat="1" applyFont="1" applyBorder="1" applyAlignment="1"/>
    <xf numFmtId="37" fontId="44" fillId="0" borderId="77" xfId="2" applyNumberFormat="1" applyFont="1" applyBorder="1" applyAlignment="1">
      <alignment horizontal="center"/>
    </xf>
    <xf numFmtId="170" fontId="44" fillId="0" borderId="0" xfId="2" quotePrefix="1" applyNumberFormat="1" applyFont="1" applyBorder="1" applyAlignment="1"/>
    <xf numFmtId="166" fontId="66" fillId="0" borderId="0" xfId="2" applyNumberFormat="1" applyFont="1" applyBorder="1" applyAlignment="1"/>
    <xf numFmtId="0" fontId="67" fillId="0" borderId="0" xfId="2" quotePrefix="1" applyNumberFormat="1" applyFont="1" applyBorder="1" applyAlignment="1">
      <alignment horizontal="left"/>
    </xf>
    <xf numFmtId="174" fontId="67" fillId="0" borderId="0" xfId="2" quotePrefix="1" applyNumberFormat="1" applyFont="1" applyBorder="1" applyAlignment="1">
      <alignment horizontal="right"/>
    </xf>
    <xf numFmtId="0" fontId="39" fillId="0" borderId="15" xfId="2" applyNumberFormat="1" applyFont="1" applyBorder="1" applyAlignment="1"/>
    <xf numFmtId="0" fontId="78" fillId="0" borderId="0" xfId="2" applyNumberFormat="1" applyFont="1" applyAlignment="1"/>
    <xf numFmtId="0" fontId="78" fillId="0" borderId="0" xfId="2" quotePrefix="1" applyNumberFormat="1" applyFont="1" applyAlignment="1">
      <alignment horizontal="left"/>
    </xf>
    <xf numFmtId="0" fontId="44" fillId="0" borderId="15" xfId="2" applyNumberFormat="1" applyFont="1" applyBorder="1" applyAlignment="1">
      <alignment horizontal="center"/>
    </xf>
    <xf numFmtId="0" fontId="44" fillId="0" borderId="15" xfId="2" quotePrefix="1" applyNumberFormat="1" applyFont="1" applyBorder="1" applyAlignment="1">
      <alignment horizontal="center"/>
    </xf>
    <xf numFmtId="175" fontId="39" fillId="0" borderId="15" xfId="2" applyNumberFormat="1" applyFont="1" applyBorder="1" applyAlignment="1"/>
    <xf numFmtId="170" fontId="44" fillId="0" borderId="15" xfId="2" quotePrefix="1" applyNumberFormat="1" applyFont="1" applyBorder="1" applyAlignment="1"/>
    <xf numFmtId="170" fontId="44" fillId="0" borderId="15" xfId="2" applyNumberFormat="1" applyFont="1" applyBorder="1" applyAlignment="1">
      <alignment vertical="center"/>
    </xf>
    <xf numFmtId="166" fontId="42" fillId="0" borderId="0" xfId="0" applyNumberFormat="1" applyFont="1" applyFill="1" applyAlignment="1"/>
    <xf numFmtId="166" fontId="44" fillId="0" borderId="0" xfId="0" applyNumberFormat="1" applyFont="1" applyFill="1" applyAlignment="1">
      <alignment horizontal="center"/>
    </xf>
    <xf numFmtId="169" fontId="39" fillId="0" borderId="0" xfId="0" applyNumberFormat="1" applyFont="1" applyFill="1" applyBorder="1" applyAlignment="1"/>
    <xf numFmtId="166" fontId="40" fillId="0" borderId="0" xfId="0" applyNumberFormat="1" applyFont="1" applyFill="1" applyBorder="1" applyAlignment="1"/>
    <xf numFmtId="166" fontId="46" fillId="0" borderId="15" xfId="0" applyNumberFormat="1" applyFont="1" applyFill="1" applyBorder="1" applyAlignment="1"/>
    <xf numFmtId="169" fontId="46" fillId="0" borderId="15" xfId="0" applyNumberFormat="1" applyFont="1" applyFill="1" applyBorder="1" applyAlignment="1"/>
    <xf numFmtId="166" fontId="45" fillId="0" borderId="15" xfId="0" applyNumberFormat="1" applyFont="1" applyFill="1" applyBorder="1" applyAlignment="1"/>
    <xf numFmtId="169" fontId="45" fillId="0" borderId="15" xfId="0" applyNumberFormat="1" applyFont="1" applyFill="1" applyBorder="1" applyAlignment="1"/>
    <xf numFmtId="166" fontId="80" fillId="0" borderId="0" xfId="2" applyNumberFormat="1" applyFont="1" applyBorder="1" applyAlignment="1"/>
    <xf numFmtId="166" fontId="44" fillId="0" borderId="15" xfId="2" applyNumberFormat="1" applyFont="1" applyFill="1" applyBorder="1" applyAlignment="1"/>
    <xf numFmtId="175" fontId="44" fillId="0" borderId="15" xfId="2" applyNumberFormat="1" applyFont="1" applyFill="1" applyBorder="1" applyAlignment="1"/>
    <xf numFmtId="165" fontId="37" fillId="0" borderId="0" xfId="2" applyNumberFormat="1" applyFont="1" applyFill="1" applyBorder="1" applyAlignment="1"/>
    <xf numFmtId="0" fontId="37" fillId="0" borderId="0" xfId="2" applyFont="1" applyFill="1"/>
    <xf numFmtId="0" fontId="37" fillId="0" borderId="0" xfId="2" applyFont="1" applyFill="1" applyBorder="1" applyAlignment="1"/>
    <xf numFmtId="0" fontId="37" fillId="0" borderId="0" xfId="2" applyNumberFormat="1" applyFont="1" applyFill="1" applyAlignment="1"/>
    <xf numFmtId="165" fontId="37" fillId="0" borderId="0" xfId="2" applyNumberFormat="1" applyFont="1" applyFill="1" applyBorder="1" applyAlignment="1" applyProtection="1">
      <protection locked="0"/>
    </xf>
    <xf numFmtId="0" fontId="37" fillId="0" borderId="0" xfId="2" applyNumberFormat="1" applyFont="1" applyFill="1" applyBorder="1" applyAlignment="1"/>
    <xf numFmtId="0" fontId="37" fillId="0" borderId="0" xfId="2" applyNumberFormat="1" applyFont="1" applyFill="1" applyAlignment="1">
      <alignment horizontal="centerContinuous"/>
    </xf>
    <xf numFmtId="165" fontId="37" fillId="0" borderId="0" xfId="2" applyNumberFormat="1" applyFont="1" applyFill="1" applyBorder="1" applyAlignment="1" applyProtection="1">
      <alignment horizontal="center"/>
      <protection locked="0"/>
    </xf>
    <xf numFmtId="0" fontId="37" fillId="0" borderId="20" xfId="2" applyNumberFormat="1" applyFont="1" applyFill="1" applyBorder="1" applyAlignment="1"/>
    <xf numFmtId="165" fontId="37" fillId="0" borderId="20" xfId="2" applyNumberFormat="1" applyFont="1" applyFill="1" applyBorder="1" applyAlignment="1"/>
    <xf numFmtId="165" fontId="37" fillId="0" borderId="15" xfId="2" applyNumberFormat="1" applyFont="1" applyFill="1" applyBorder="1" applyAlignment="1" applyProtection="1">
      <protection locked="0"/>
    </xf>
    <xf numFmtId="165" fontId="37" fillId="0" borderId="0" xfId="2" applyNumberFormat="1" applyFont="1" applyBorder="1" applyAlignment="1" applyProtection="1">
      <protection locked="0"/>
    </xf>
    <xf numFmtId="165" fontId="37" fillId="0" borderId="37" xfId="2" applyNumberFormat="1" applyFont="1" applyFill="1" applyBorder="1" applyAlignment="1"/>
    <xf numFmtId="0" fontId="37" fillId="0" borderId="23" xfId="2" applyNumberFormat="1" applyFont="1" applyFill="1" applyBorder="1" applyAlignment="1"/>
    <xf numFmtId="0" fontId="37" fillId="0" borderId="37" xfId="2" applyNumberFormat="1" applyFont="1" applyFill="1" applyBorder="1" applyAlignment="1"/>
    <xf numFmtId="0" fontId="37" fillId="0" borderId="15" xfId="2" applyNumberFormat="1" applyFont="1" applyFill="1" applyBorder="1" applyAlignment="1"/>
    <xf numFmtId="175" fontId="37" fillId="0" borderId="0" xfId="2" applyNumberFormat="1" applyFont="1" applyFill="1" applyAlignment="1"/>
    <xf numFmtId="175" fontId="37" fillId="0" borderId="0" xfId="2" applyNumberFormat="1" applyFont="1" applyFill="1" applyBorder="1" applyAlignment="1"/>
    <xf numFmtId="175" fontId="37" fillId="0" borderId="13" xfId="2" applyNumberFormat="1" applyFont="1" applyFill="1" applyBorder="1" applyAlignment="1"/>
    <xf numFmtId="175" fontId="37" fillId="0" borderId="28" xfId="2" applyNumberFormat="1" applyFont="1" applyFill="1" applyBorder="1" applyAlignment="1"/>
    <xf numFmtId="175" fontId="37" fillId="0" borderId="15" xfId="2" applyNumberFormat="1" applyFont="1" applyFill="1" applyBorder="1" applyAlignment="1"/>
    <xf numFmtId="174" fontId="37" fillId="0" borderId="0" xfId="2" quotePrefix="1" applyNumberFormat="1" applyFont="1" applyFill="1" applyAlignment="1">
      <alignment horizontal="right"/>
    </xf>
    <xf numFmtId="174" fontId="37" fillId="0" borderId="10" xfId="2" applyNumberFormat="1" applyFont="1" applyFill="1" applyBorder="1" applyAlignment="1"/>
    <xf numFmtId="174" fontId="37" fillId="0" borderId="13" xfId="2" applyNumberFormat="1" applyFont="1" applyFill="1" applyBorder="1" applyAlignment="1">
      <alignment horizontal="right"/>
    </xf>
    <xf numFmtId="174" fontId="37" fillId="0" borderId="0" xfId="2" applyNumberFormat="1" applyFont="1" applyFill="1" applyBorder="1" applyAlignment="1"/>
    <xf numFmtId="174" fontId="37" fillId="0" borderId="28" xfId="2" applyNumberFormat="1" applyFont="1" applyFill="1" applyBorder="1" applyAlignment="1">
      <alignment horizontal="right"/>
    </xf>
    <xf numFmtId="174" fontId="37" fillId="0" borderId="0" xfId="2" applyNumberFormat="1" applyFont="1" applyFill="1" applyBorder="1" applyAlignment="1">
      <alignment horizontal="right"/>
    </xf>
    <xf numFmtId="169" fontId="37" fillId="0" borderId="0" xfId="2" applyNumberFormat="1" applyFont="1" applyFill="1" applyAlignment="1"/>
    <xf numFmtId="169" fontId="37" fillId="0" borderId="15" xfId="2" applyNumberFormat="1" applyFont="1" applyFill="1" applyBorder="1" applyAlignment="1"/>
    <xf numFmtId="169" fontId="37" fillId="0" borderId="0" xfId="2" applyNumberFormat="1" applyFont="1" applyFill="1" applyBorder="1" applyAlignment="1"/>
    <xf numFmtId="168" fontId="37" fillId="0" borderId="0" xfId="2" applyNumberFormat="1" applyFont="1" applyFill="1" applyAlignment="1" applyProtection="1">
      <protection locked="0"/>
    </xf>
    <xf numFmtId="168" fontId="37" fillId="0" borderId="0" xfId="2" applyNumberFormat="1" applyFont="1" applyFill="1" applyAlignment="1"/>
    <xf numFmtId="166" fontId="37" fillId="0" borderId="15" xfId="2" applyNumberFormat="1" applyFont="1" applyFill="1" applyBorder="1" applyAlignment="1"/>
    <xf numFmtId="170" fontId="37" fillId="0" borderId="38" xfId="2" applyNumberFormat="1" applyFont="1" applyFill="1" applyBorder="1" applyAlignment="1"/>
    <xf numFmtId="170" fontId="37" fillId="0" borderId="0" xfId="2" applyNumberFormat="1" applyFont="1" applyFill="1" applyBorder="1" applyAlignment="1"/>
    <xf numFmtId="170" fontId="37" fillId="0" borderId="28" xfId="2" applyNumberFormat="1" applyFont="1" applyFill="1" applyBorder="1" applyAlignment="1"/>
    <xf numFmtId="170" fontId="37" fillId="0" borderId="13" xfId="2" applyNumberFormat="1" applyFont="1" applyFill="1" applyBorder="1" applyAlignment="1"/>
    <xf numFmtId="170" fontId="37" fillId="0" borderId="0" xfId="2" quotePrefix="1" applyNumberFormat="1" applyFont="1" applyFill="1" applyBorder="1" applyAlignment="1">
      <alignment horizontal="center"/>
    </xf>
    <xf numFmtId="170" fontId="37" fillId="0" borderId="13" xfId="2" quotePrefix="1" applyNumberFormat="1" applyFont="1" applyFill="1" applyBorder="1" applyAlignment="1">
      <alignment horizontal="right"/>
    </xf>
    <xf numFmtId="170" fontId="37" fillId="0" borderId="28" xfId="2" applyNumberFormat="1" applyFont="1" applyFill="1" applyBorder="1" applyAlignment="1">
      <alignment horizontal="right"/>
    </xf>
    <xf numFmtId="170" fontId="37" fillId="0" borderId="13" xfId="2" applyNumberFormat="1" applyFont="1" applyFill="1" applyBorder="1" applyAlignment="1">
      <alignment horizontal="right"/>
    </xf>
    <xf numFmtId="170" fontId="37" fillId="0" borderId="0" xfId="2" applyNumberFormat="1" applyFont="1" applyFill="1" applyBorder="1" applyAlignment="1">
      <alignment horizontal="right"/>
    </xf>
    <xf numFmtId="170" fontId="37" fillId="0" borderId="0" xfId="2" quotePrefix="1" applyNumberFormat="1" applyFont="1" applyFill="1" applyBorder="1" applyAlignment="1">
      <alignment horizontal="right"/>
    </xf>
    <xf numFmtId="170" fontId="37" fillId="0" borderId="12" xfId="2" quotePrefix="1" applyNumberFormat="1" applyFont="1" applyFill="1" applyBorder="1" applyAlignment="1"/>
    <xf numFmtId="170" fontId="37" fillId="0" borderId="73" xfId="2" applyNumberFormat="1" applyFont="1" applyFill="1" applyBorder="1" applyAlignment="1">
      <alignment horizontal="right"/>
    </xf>
    <xf numFmtId="170" fontId="37" fillId="0" borderId="0" xfId="2" applyNumberFormat="1" applyFont="1" applyFill="1" applyBorder="1" applyAlignment="1">
      <alignment horizontal="center"/>
    </xf>
    <xf numFmtId="170" fontId="37" fillId="0" borderId="13" xfId="2" quotePrefix="1" applyNumberFormat="1" applyFont="1" applyFill="1" applyBorder="1" applyAlignment="1">
      <alignment horizontal="center"/>
    </xf>
    <xf numFmtId="170" fontId="37" fillId="0" borderId="28" xfId="2" quotePrefix="1" applyNumberFormat="1" applyFont="1" applyFill="1" applyBorder="1" applyAlignment="1">
      <alignment horizontal="right"/>
    </xf>
    <xf numFmtId="175" fontId="37" fillId="0" borderId="15" xfId="2" quotePrefix="1" applyNumberFormat="1" applyFont="1" applyFill="1" applyBorder="1" applyAlignment="1"/>
    <xf numFmtId="170" fontId="37" fillId="0" borderId="10" xfId="2" quotePrefix="1" applyNumberFormat="1" applyFont="1" applyFill="1" applyBorder="1" applyAlignment="1">
      <alignment horizontal="center"/>
    </xf>
    <xf numFmtId="170" fontId="37" fillId="0" borderId="73" xfId="2" quotePrefix="1" applyNumberFormat="1" applyFont="1" applyFill="1" applyBorder="1" applyAlignment="1">
      <alignment horizontal="right"/>
    </xf>
    <xf numFmtId="170" fontId="37" fillId="0" borderId="10" xfId="2" quotePrefix="1" applyNumberFormat="1" applyFont="1" applyFill="1" applyBorder="1" applyAlignment="1">
      <alignment horizontal="right"/>
    </xf>
    <xf numFmtId="175" fontId="37" fillId="0" borderId="15" xfId="2" quotePrefix="1" applyNumberFormat="1" applyFont="1" applyFill="1" applyBorder="1" applyAlignment="1">
      <alignment horizontal="center"/>
    </xf>
    <xf numFmtId="175" fontId="37" fillId="0" borderId="15" xfId="2" quotePrefix="1" applyNumberFormat="1" applyFont="1" applyFill="1" applyBorder="1" applyAlignment="1">
      <alignment horizontal="right"/>
    </xf>
    <xf numFmtId="170" fontId="37" fillId="0" borderId="20" xfId="2" applyNumberFormat="1" applyFont="1" applyFill="1" applyBorder="1" applyAlignment="1"/>
    <xf numFmtId="170" fontId="37" fillId="0" borderId="37" xfId="2" applyNumberFormat="1" applyFont="1" applyFill="1" applyBorder="1" applyAlignment="1"/>
    <xf numFmtId="170" fontId="37" fillId="0" borderId="0" xfId="2" applyNumberFormat="1" applyFont="1" applyFill="1" applyAlignment="1">
      <alignment horizontal="center"/>
    </xf>
    <xf numFmtId="165" fontId="44" fillId="0" borderId="0" xfId="2" applyNumberFormat="1" applyFont="1" applyFill="1" applyAlignment="1" applyProtection="1">
      <protection locked="0"/>
    </xf>
    <xf numFmtId="169" fontId="37" fillId="0" borderId="36" xfId="2" applyNumberFormat="1" applyFont="1" applyFill="1" applyBorder="1" applyAlignment="1"/>
    <xf numFmtId="168" fontId="37" fillId="0" borderId="0" xfId="2" applyNumberFormat="1" applyFont="1" applyFill="1" applyBorder="1" applyAlignment="1" applyProtection="1">
      <protection locked="0"/>
    </xf>
    <xf numFmtId="170" fontId="37" fillId="0" borderId="0" xfId="2" applyNumberFormat="1" applyFont="1" applyFill="1" applyAlignment="1" applyProtection="1">
      <protection locked="0"/>
    </xf>
    <xf numFmtId="170" fontId="44" fillId="0" borderId="16" xfId="2" applyNumberFormat="1" applyFont="1" applyFill="1" applyBorder="1" applyAlignment="1" applyProtection="1">
      <protection locked="0"/>
    </xf>
    <xf numFmtId="164" fontId="44" fillId="0" borderId="16" xfId="2" applyNumberFormat="1" applyFont="1" applyBorder="1" applyAlignment="1" applyProtection="1">
      <protection locked="0"/>
    </xf>
    <xf numFmtId="164" fontId="44" fillId="0" borderId="0" xfId="2" applyNumberFormat="1" applyFont="1" applyBorder="1" applyAlignment="1"/>
    <xf numFmtId="170" fontId="39" fillId="0" borderId="77" xfId="2" applyNumberFormat="1" applyFont="1" applyBorder="1" applyAlignment="1"/>
    <xf numFmtId="0" fontId="37" fillId="0" borderId="0" xfId="2" quotePrefix="1" applyNumberFormat="1" applyFont="1" applyAlignment="1">
      <alignment horizontal="left"/>
    </xf>
    <xf numFmtId="170" fontId="39" fillId="0" borderId="0" xfId="2" quotePrefix="1" applyNumberFormat="1" applyFont="1" applyAlignment="1">
      <alignment horizontal="left"/>
    </xf>
    <xf numFmtId="175" fontId="39" fillId="0" borderId="77" xfId="4" applyNumberFormat="1" applyFont="1" applyFill="1" applyBorder="1"/>
    <xf numFmtId="166" fontId="39" fillId="0" borderId="77" xfId="4" applyNumberFormat="1" applyFont="1" applyFill="1" applyBorder="1"/>
    <xf numFmtId="170" fontId="44" fillId="0" borderId="16" xfId="5" applyNumberFormat="1" applyFont="1" applyFill="1" applyBorder="1"/>
    <xf numFmtId="170" fontId="44" fillId="0" borderId="77" xfId="4" applyNumberFormat="1" applyFont="1" applyFill="1" applyBorder="1"/>
    <xf numFmtId="170" fontId="44" fillId="0" borderId="0" xfId="4" applyNumberFormat="1" applyFont="1" applyFill="1" applyBorder="1"/>
    <xf numFmtId="170" fontId="44" fillId="0" borderId="0" xfId="5" applyNumberFormat="1" applyFont="1" applyFill="1" applyBorder="1"/>
    <xf numFmtId="170" fontId="44" fillId="0" borderId="0" xfId="4" quotePrefix="1" applyNumberFormat="1" applyFont="1" applyFill="1" applyAlignment="1">
      <alignment horizontal="right"/>
    </xf>
    <xf numFmtId="170" fontId="39" fillId="0" borderId="67" xfId="4" quotePrefix="1" applyNumberFormat="1" applyFont="1" applyBorder="1" applyAlignment="1">
      <alignment horizontal="center"/>
    </xf>
    <xf numFmtId="0" fontId="44" fillId="0" borderId="67" xfId="2" applyNumberFormat="1" applyFont="1" applyBorder="1" applyAlignment="1">
      <alignment horizontal="center"/>
    </xf>
    <xf numFmtId="165" fontId="39" fillId="0" borderId="0" xfId="2" applyNumberFormat="1" applyFont="1" applyBorder="1"/>
    <xf numFmtId="165" fontId="39" fillId="0" borderId="28" xfId="2" applyNumberFormat="1" applyFont="1" applyBorder="1" applyAlignment="1"/>
    <xf numFmtId="165" fontId="42" fillId="0" borderId="0" xfId="2" applyNumberFormat="1" applyFont="1" applyBorder="1"/>
    <xf numFmtId="165" fontId="43" fillId="0" borderId="0" xfId="2" applyNumberFormat="1" applyFont="1" applyBorder="1" applyAlignment="1"/>
    <xf numFmtId="165" fontId="42" fillId="0" borderId="0" xfId="2" applyNumberFormat="1" applyFont="1" applyBorder="1" applyAlignment="1"/>
    <xf numFmtId="0" fontId="44" fillId="0" borderId="67" xfId="2" quotePrefix="1" applyNumberFormat="1" applyFont="1" applyBorder="1" applyAlignment="1">
      <alignment horizontal="center"/>
    </xf>
    <xf numFmtId="165" fontId="44" fillId="0" borderId="67" xfId="2" applyNumberFormat="1" applyFont="1" applyBorder="1" applyAlignment="1">
      <alignment horizontal="center"/>
    </xf>
    <xf numFmtId="170" fontId="60" fillId="0" borderId="0" xfId="2" quotePrefix="1" applyNumberFormat="1" applyFont="1" applyBorder="1" applyAlignment="1"/>
    <xf numFmtId="0" fontId="67" fillId="0" borderId="0" xfId="836" quotePrefix="1" applyNumberFormat="1" applyFont="1" applyAlignment="1">
      <alignment horizontal="left"/>
    </xf>
    <xf numFmtId="166" fontId="39" fillId="0" borderId="77" xfId="2" applyNumberFormat="1" applyFont="1" applyBorder="1" applyAlignment="1"/>
    <xf numFmtId="170" fontId="44" fillId="0" borderId="0" xfId="2" quotePrefix="1" applyNumberFormat="1" applyFont="1" applyAlignment="1"/>
    <xf numFmtId="166" fontId="44" fillId="0" borderId="0" xfId="2" applyNumberFormat="1" applyFont="1" applyBorder="1"/>
    <xf numFmtId="164" fontId="44" fillId="0" borderId="45" xfId="2" applyNumberFormat="1" applyFont="1" applyBorder="1"/>
    <xf numFmtId="0" fontId="47" fillId="0" borderId="0" xfId="2" applyNumberFormat="1" applyFont="1" applyAlignment="1"/>
    <xf numFmtId="170" fontId="85" fillId="0" borderId="0" xfId="2" applyNumberFormat="1" applyFont="1" applyAlignment="1"/>
    <xf numFmtId="164" fontId="44" fillId="0" borderId="45" xfId="2" applyNumberFormat="1" applyFont="1" applyBorder="1" applyAlignment="1"/>
    <xf numFmtId="0" fontId="40" fillId="0" borderId="0" xfId="2" applyNumberFormat="1" applyFont="1" applyFill="1" applyAlignment="1"/>
    <xf numFmtId="166" fontId="39" fillId="0" borderId="0" xfId="2" applyNumberFormat="1" applyFont="1" applyFill="1" applyAlignment="1">
      <alignment horizontal="right"/>
    </xf>
    <xf numFmtId="166" fontId="39" fillId="0" borderId="21" xfId="2" applyNumberFormat="1" applyFont="1" applyFill="1" applyBorder="1" applyAlignment="1"/>
    <xf numFmtId="170" fontId="39" fillId="0" borderId="18" xfId="2" applyNumberFormat="1" applyFont="1" applyFill="1" applyBorder="1" applyAlignment="1"/>
    <xf numFmtId="170" fontId="39" fillId="0" borderId="47" xfId="2" applyNumberFormat="1" applyFont="1" applyFill="1" applyBorder="1" applyAlignment="1"/>
    <xf numFmtId="170" fontId="44" fillId="0" borderId="45" xfId="2" applyNumberFormat="1" applyFont="1" applyFill="1" applyBorder="1" applyAlignment="1">
      <alignment horizontal="right"/>
    </xf>
    <xf numFmtId="170" fontId="59" fillId="0" borderId="0" xfId="2" applyNumberFormat="1" applyFont="1" applyBorder="1" applyAlignment="1"/>
    <xf numFmtId="170" fontId="76" fillId="0" borderId="0" xfId="2" applyNumberFormat="1" applyFont="1" applyBorder="1"/>
    <xf numFmtId="166" fontId="60" fillId="0" borderId="0" xfId="2" applyNumberFormat="1" applyFont="1" applyBorder="1" applyAlignment="1"/>
    <xf numFmtId="174" fontId="59" fillId="0" borderId="0" xfId="2" applyNumberFormat="1" applyFont="1" applyBorder="1" applyAlignment="1"/>
    <xf numFmtId="174" fontId="65" fillId="0" borderId="0" xfId="2" applyNumberFormat="1" applyFont="1" applyBorder="1" applyAlignment="1"/>
    <xf numFmtId="165" fontId="37" fillId="0" borderId="0" xfId="0" applyNumberFormat="1" applyFont="1" applyAlignment="1">
      <alignment horizontal="left"/>
    </xf>
    <xf numFmtId="0" fontId="37" fillId="0" borderId="0" xfId="0" applyNumberFormat="1" applyFont="1" applyAlignment="1">
      <alignment horizontal="left"/>
    </xf>
    <xf numFmtId="170" fontId="44" fillId="0" borderId="10" xfId="0" applyNumberFormat="1" applyFont="1" applyFill="1" applyBorder="1" applyAlignment="1"/>
    <xf numFmtId="43" fontId="39" fillId="0" borderId="0" xfId="2" applyNumberFormat="1" applyFont="1" applyAlignment="1"/>
    <xf numFmtId="165" fontId="0" fillId="0" borderId="0" xfId="2" applyNumberFormat="1" applyFont="1" applyFill="1" applyAlignment="1"/>
    <xf numFmtId="175" fontId="44" fillId="0" borderId="0" xfId="2" applyNumberFormat="1" applyFont="1" applyFill="1" applyAlignment="1"/>
    <xf numFmtId="0" fontId="0" fillId="0" borderId="0" xfId="2" applyNumberFormat="1" applyFont="1" applyFill="1" applyAlignment="1">
      <alignment horizontal="left"/>
    </xf>
    <xf numFmtId="170" fontId="0" fillId="0" borderId="0" xfId="2" applyNumberFormat="1" applyFont="1" applyAlignment="1" applyProtection="1">
      <alignment horizontal="right"/>
      <protection locked="0"/>
    </xf>
    <xf numFmtId="170" fontId="0" fillId="0" borderId="0" xfId="0" applyNumberFormat="1" applyFont="1" applyAlignment="1" applyProtection="1">
      <alignment horizontal="right"/>
      <protection locked="0"/>
    </xf>
    <xf numFmtId="170" fontId="0" fillId="0" borderId="21" xfId="0" applyNumberFormat="1" applyFont="1" applyBorder="1" applyAlignment="1" applyProtection="1">
      <alignment horizontal="right"/>
      <protection locked="0"/>
    </xf>
    <xf numFmtId="170" fontId="0" fillId="0" borderId="0" xfId="2" applyNumberFormat="1" applyFont="1" applyBorder="1" applyAlignment="1">
      <alignment horizontal="right"/>
    </xf>
    <xf numFmtId="170" fontId="0" fillId="0" borderId="0" xfId="0" applyNumberFormat="1" applyFont="1" applyAlignment="1">
      <alignment horizontal="right"/>
    </xf>
    <xf numFmtId="170" fontId="0" fillId="0" borderId="21" xfId="0" applyNumberFormat="1" applyFont="1" applyBorder="1" applyAlignment="1">
      <alignment horizontal="right"/>
    </xf>
    <xf numFmtId="164" fontId="44" fillId="0" borderId="45" xfId="2" applyNumberFormat="1" applyFont="1" applyBorder="1" applyAlignment="1" applyProtection="1">
      <protection locked="0"/>
    </xf>
    <xf numFmtId="170" fontId="39" fillId="33" borderId="0" xfId="2" applyNumberFormat="1" applyFont="1" applyFill="1" applyAlignment="1"/>
    <xf numFmtId="164" fontId="0" fillId="0" borderId="0" xfId="0" applyFont="1" applyAlignment="1">
      <alignment horizontal="right"/>
    </xf>
    <xf numFmtId="164" fontId="0" fillId="0" borderId="21" xfId="0" applyFont="1" applyBorder="1" applyAlignment="1">
      <alignment horizontal="right"/>
    </xf>
    <xf numFmtId="170" fontId="0" fillId="0" borderId="0" xfId="2" applyNumberFormat="1" applyFont="1" applyAlignment="1">
      <alignment horizontal="right"/>
    </xf>
    <xf numFmtId="165" fontId="44" fillId="0" borderId="0" xfId="2" applyNumberFormat="1" applyFont="1" applyFill="1" applyBorder="1" applyAlignment="1"/>
    <xf numFmtId="175" fontId="0" fillId="0" borderId="0" xfId="0" applyNumberFormat="1" applyAlignment="1"/>
    <xf numFmtId="174" fontId="0" fillId="0" borderId="0" xfId="0" applyNumberFormat="1" applyFont="1" applyAlignment="1"/>
    <xf numFmtId="170" fontId="39" fillId="0" borderId="0" xfId="2" quotePrefix="1" applyNumberFormat="1" applyFont="1" applyFill="1" applyAlignment="1"/>
    <xf numFmtId="195" fontId="39" fillId="0" borderId="0" xfId="2" applyNumberFormat="1" applyFont="1" applyFill="1" applyAlignment="1">
      <alignment horizontal="right"/>
    </xf>
    <xf numFmtId="170" fontId="39" fillId="0" borderId="13" xfId="2" applyNumberFormat="1" applyFont="1" applyFill="1" applyBorder="1" applyAlignment="1"/>
    <xf numFmtId="170" fontId="44"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39" fillId="0" borderId="77" xfId="2" applyNumberFormat="1" applyFont="1" applyFill="1" applyBorder="1" applyAlignment="1"/>
    <xf numFmtId="170" fontId="44" fillId="0" borderId="13" xfId="2" applyNumberFormat="1" applyFont="1" applyFill="1" applyBorder="1" applyAlignment="1"/>
    <xf numFmtId="170" fontId="66" fillId="0" borderId="0" xfId="2" applyNumberFormat="1" applyFont="1" applyFill="1" applyAlignment="1"/>
    <xf numFmtId="170" fontId="42" fillId="0" borderId="0" xfId="2" applyNumberFormat="1" applyFont="1" applyFill="1" applyAlignment="1"/>
    <xf numFmtId="170" fontId="44" fillId="0" borderId="0" xfId="2" applyNumberFormat="1" applyFont="1" applyFill="1" applyAlignment="1">
      <alignment horizontal="center"/>
    </xf>
    <xf numFmtId="170" fontId="39" fillId="0" borderId="0" xfId="2" quotePrefix="1" applyNumberFormat="1" applyFont="1" applyFill="1" applyBorder="1" applyAlignment="1">
      <alignment horizontal="right"/>
    </xf>
    <xf numFmtId="170" fontId="39" fillId="0" borderId="0" xfId="2" quotePrefix="1" applyNumberFormat="1" applyFont="1" applyFill="1" applyBorder="1" applyAlignment="1" applyProtection="1">
      <alignment horizontal="center"/>
      <protection locked="0"/>
    </xf>
    <xf numFmtId="165" fontId="66" fillId="0" borderId="0" xfId="2" applyNumberFormat="1" applyFont="1" applyFill="1" applyAlignment="1"/>
    <xf numFmtId="165" fontId="67" fillId="0" borderId="0" xfId="2" applyNumberFormat="1" applyFont="1" applyFill="1" applyBorder="1" applyAlignment="1">
      <alignment horizontal="right"/>
    </xf>
    <xf numFmtId="1" fontId="44" fillId="0" borderId="10" xfId="2" quotePrefix="1" applyNumberFormat="1" applyFont="1" applyFill="1" applyBorder="1" applyAlignment="1">
      <alignment horizontal="center"/>
    </xf>
    <xf numFmtId="165" fontId="39" fillId="0" borderId="0" xfId="2" applyNumberFormat="1" applyFont="1" applyFill="1" applyBorder="1" applyAlignment="1"/>
    <xf numFmtId="0" fontId="0" fillId="0" borderId="0" xfId="2" applyFont="1" applyFill="1"/>
    <xf numFmtId="165" fontId="89" fillId="0" borderId="0" xfId="2" applyNumberFormat="1" applyFont="1" applyFill="1" applyAlignment="1"/>
    <xf numFmtId="165" fontId="90" fillId="0" borderId="0" xfId="2" applyNumberFormat="1" applyFont="1" applyFill="1" applyAlignment="1"/>
    <xf numFmtId="165" fontId="88" fillId="0" borderId="0" xfId="2" applyNumberFormat="1" applyFont="1" applyFill="1" applyAlignment="1"/>
    <xf numFmtId="165" fontId="158" fillId="0" borderId="0" xfId="2" applyNumberFormat="1" applyFont="1" applyFill="1" applyAlignment="1"/>
    <xf numFmtId="165" fontId="159" fillId="0" borderId="0" xfId="2" applyNumberFormat="1" applyFont="1" applyFill="1" applyAlignment="1"/>
    <xf numFmtId="165" fontId="162" fillId="0" borderId="0" xfId="2" applyNumberFormat="1" applyFont="1" applyFill="1" applyAlignment="1"/>
    <xf numFmtId="169" fontId="39" fillId="0" borderId="0" xfId="2" quotePrefix="1" applyNumberFormat="1" applyFont="1" applyFill="1" applyAlignment="1">
      <alignment horizontal="right"/>
    </xf>
    <xf numFmtId="170" fontId="44" fillId="0" borderId="0" xfId="2" quotePrefix="1" applyNumberFormat="1" applyFont="1" applyFill="1" applyAlignment="1"/>
    <xf numFmtId="170" fontId="39" fillId="0" borderId="20" xfId="2" quotePrefix="1" applyNumberFormat="1" applyFont="1" applyFill="1" applyBorder="1" applyAlignment="1"/>
    <xf numFmtId="170" fontId="39" fillId="0" borderId="10" xfId="2" quotePrefix="1" applyNumberFormat="1" applyFont="1" applyFill="1" applyBorder="1" applyAlignment="1"/>
    <xf numFmtId="170" fontId="44" fillId="0" borderId="40" xfId="2" applyNumberFormat="1" applyFont="1" applyFill="1" applyBorder="1" applyAlignment="1"/>
    <xf numFmtId="174" fontId="44" fillId="0" borderId="0" xfId="6" applyNumberFormat="1" applyFont="1" applyFill="1" applyAlignment="1"/>
    <xf numFmtId="174" fontId="44" fillId="0" borderId="17" xfId="6" applyNumberFormat="1" applyFont="1" applyFill="1" applyBorder="1" applyAlignment="1"/>
    <xf numFmtId="0" fontId="83" fillId="0" borderId="0" xfId="2" applyFont="1" applyFill="1"/>
    <xf numFmtId="165" fontId="91" fillId="0" borderId="0" xfId="2" applyNumberFormat="1" applyFont="1" applyFill="1" applyAlignment="1">
      <alignment horizontal="centerContinuous"/>
    </xf>
    <xf numFmtId="0" fontId="81" fillId="0" borderId="0" xfId="2" applyNumberFormat="1" applyFont="1" applyFill="1" applyAlignment="1"/>
    <xf numFmtId="165" fontId="88" fillId="0" borderId="0" xfId="2" applyNumberFormat="1" applyFont="1" applyFill="1" applyAlignment="1">
      <alignment horizontal="centerContinuous"/>
    </xf>
    <xf numFmtId="165" fontId="160" fillId="0" borderId="0" xfId="2" applyNumberFormat="1" applyFont="1" applyFill="1" applyAlignment="1">
      <alignment horizontal="centerContinuous"/>
    </xf>
    <xf numFmtId="0" fontId="44" fillId="0" borderId="0" xfId="2" quotePrefix="1" applyNumberFormat="1" applyFont="1" applyFill="1" applyBorder="1" applyAlignment="1">
      <alignment horizontal="center"/>
    </xf>
    <xf numFmtId="0" fontId="161" fillId="0" borderId="0" xfId="2" applyFont="1" applyFill="1" applyBorder="1" applyAlignment="1"/>
    <xf numFmtId="165" fontId="162" fillId="0" borderId="0" xfId="2" applyNumberFormat="1" applyFont="1" applyFill="1" applyBorder="1" applyAlignment="1"/>
    <xf numFmtId="165" fontId="44" fillId="0" borderId="0" xfId="2" applyNumberFormat="1" applyFont="1" applyFill="1" applyAlignment="1">
      <alignment horizontal="center"/>
    </xf>
    <xf numFmtId="165" fontId="44" fillId="0" borderId="10" xfId="2" applyNumberFormat="1" applyFont="1" applyFill="1" applyBorder="1" applyAlignment="1">
      <alignment horizontal="center"/>
    </xf>
    <xf numFmtId="0" fontId="37" fillId="0" borderId="0" xfId="2" applyFont="1" applyFill="1" applyBorder="1"/>
    <xf numFmtId="166" fontId="39" fillId="0" borderId="13" xfId="2" applyNumberFormat="1" applyFont="1" applyFill="1" applyBorder="1" applyAlignment="1"/>
    <xf numFmtId="0" fontId="0" fillId="0" borderId="0" xfId="2" applyFont="1" applyFill="1" applyBorder="1"/>
    <xf numFmtId="166" fontId="39" fillId="0" borderId="77" xfId="2" applyNumberFormat="1" applyFont="1" applyFill="1" applyBorder="1" applyAlignment="1"/>
    <xf numFmtId="166" fontId="0" fillId="0" borderId="0" xfId="2" applyNumberFormat="1" applyFont="1" applyFill="1"/>
    <xf numFmtId="170" fontId="44" fillId="0" borderId="15" xfId="2" applyNumberFormat="1" applyFont="1" applyFill="1" applyBorder="1" applyAlignment="1"/>
    <xf numFmtId="170" fontId="39" fillId="0" borderId="13" xfId="2" applyNumberFormat="1" applyFont="1" applyFill="1" applyBorder="1" applyAlignment="1">
      <alignment horizontal="center"/>
    </xf>
    <xf numFmtId="170" fontId="44" fillId="0" borderId="77" xfId="2" applyNumberFormat="1" applyFont="1" applyFill="1" applyBorder="1" applyAlignment="1">
      <alignment horizontal="center"/>
    </xf>
    <xf numFmtId="170" fontId="44" fillId="0" borderId="0" xfId="2" applyNumberFormat="1" applyFont="1" applyFill="1" applyBorder="1" applyAlignment="1">
      <alignment horizontal="center"/>
    </xf>
    <xf numFmtId="170" fontId="44" fillId="0" borderId="0" xfId="2" applyNumberFormat="1" applyFont="1" applyFill="1" applyAlignment="1">
      <alignment horizontal="right"/>
    </xf>
    <xf numFmtId="170" fontId="39" fillId="0" borderId="77" xfId="2" applyNumberFormat="1" applyFont="1" applyFill="1" applyBorder="1" applyAlignment="1">
      <alignment horizontal="center"/>
    </xf>
    <xf numFmtId="170" fontId="44" fillId="0" borderId="77" xfId="2" applyNumberFormat="1" applyFont="1" applyFill="1" applyBorder="1" applyAlignment="1"/>
    <xf numFmtId="170" fontId="44" fillId="0" borderId="67" xfId="2" applyNumberFormat="1" applyFont="1" applyFill="1" applyBorder="1" applyAlignment="1"/>
    <xf numFmtId="170" fontId="44" fillId="0" borderId="15" xfId="2" applyNumberFormat="1" applyFont="1" applyFill="1" applyBorder="1" applyAlignment="1">
      <alignment horizontal="center"/>
    </xf>
    <xf numFmtId="170" fontId="39" fillId="0" borderId="0" xfId="2" applyNumberFormat="1" applyFont="1" applyFill="1" applyAlignment="1">
      <alignment horizontal="right" vertical="center"/>
    </xf>
    <xf numFmtId="170" fontId="39" fillId="0" borderId="21" xfId="2" applyNumberFormat="1" applyFont="1" applyFill="1" applyBorder="1" applyAlignment="1">
      <alignment horizontal="right" vertical="center"/>
    </xf>
    <xf numFmtId="170" fontId="39" fillId="0" borderId="67" xfId="2" applyNumberFormat="1" applyFont="1" applyFill="1" applyBorder="1" applyAlignment="1">
      <alignment horizontal="right"/>
    </xf>
    <xf numFmtId="170" fontId="44" fillId="0" borderId="15" xfId="2" applyNumberFormat="1" applyFont="1" applyFill="1" applyBorder="1"/>
    <xf numFmtId="170" fontId="44" fillId="0" borderId="0" xfId="6" applyNumberFormat="1" applyFont="1" applyFill="1" applyBorder="1" applyAlignment="1"/>
    <xf numFmtId="174" fontId="44" fillId="0" borderId="21" xfId="6" applyNumberFormat="1" applyFont="1" applyFill="1" applyBorder="1" applyAlignment="1"/>
    <xf numFmtId="174" fontId="44" fillId="0" borderId="13" xfId="6" applyNumberFormat="1" applyFont="1" applyFill="1" applyBorder="1" applyAlignment="1"/>
    <xf numFmtId="174" fontId="44" fillId="0" borderId="0" xfId="2" applyNumberFormat="1" applyFont="1" applyFill="1" applyBorder="1"/>
    <xf numFmtId="174" fontId="44" fillId="0" borderId="15" xfId="2" applyNumberFormat="1" applyFont="1" applyFill="1" applyBorder="1"/>
    <xf numFmtId="165" fontId="93" fillId="0" borderId="0" xfId="2" applyNumberFormat="1" applyFont="1" applyFill="1" applyAlignment="1"/>
    <xf numFmtId="170" fontId="39" fillId="0" borderId="0" xfId="1" quotePrefix="1" applyNumberFormat="1" applyFont="1" applyFill="1" applyAlignment="1"/>
    <xf numFmtId="170" fontId="44" fillId="0" borderId="0" xfId="2" quotePrefix="1" applyNumberFormat="1" applyFont="1" applyFill="1" applyAlignment="1">
      <alignment horizontal="center"/>
    </xf>
    <xf numFmtId="0" fontId="161" fillId="0" borderId="0" xfId="2" applyFont="1" applyFill="1"/>
    <xf numFmtId="166" fontId="39" fillId="0" borderId="18" xfId="2" applyNumberFormat="1" applyFont="1" applyFill="1" applyBorder="1" applyAlignment="1"/>
    <xf numFmtId="170" fontId="0" fillId="0" borderId="10" xfId="2" applyNumberFormat="1" applyFont="1" applyFill="1" applyBorder="1"/>
    <xf numFmtId="170" fontId="39" fillId="0" borderId="0" xfId="1" applyNumberFormat="1" applyFont="1" applyFill="1" applyAlignment="1">
      <alignment horizontal="center"/>
    </xf>
    <xf numFmtId="170" fontId="37" fillId="0" borderId="0" xfId="1" applyNumberFormat="1" applyFont="1" applyFill="1" applyAlignment="1">
      <alignment horizontal="center"/>
    </xf>
    <xf numFmtId="170" fontId="39" fillId="0" borderId="67" xfId="1" applyNumberFormat="1" applyFont="1" applyFill="1" applyBorder="1" applyAlignment="1">
      <alignment horizontal="center"/>
    </xf>
    <xf numFmtId="170" fontId="0" fillId="0" borderId="19" xfId="2" applyNumberFormat="1" applyFont="1" applyFill="1" applyBorder="1" applyAlignment="1">
      <alignment horizontal="center"/>
    </xf>
    <xf numFmtId="166" fontId="44" fillId="0" borderId="0" xfId="2" applyNumberFormat="1" applyFont="1" applyFill="1" applyBorder="1" applyAlignment="1"/>
    <xf numFmtId="166" fontId="43" fillId="0" borderId="0" xfId="0" applyNumberFormat="1" applyFont="1" applyFill="1" applyAlignment="1"/>
    <xf numFmtId="166" fontId="56" fillId="0" borderId="0" xfId="0" applyNumberFormat="1" applyFont="1" applyFill="1" applyBorder="1" applyAlignment="1"/>
    <xf numFmtId="166" fontId="45" fillId="0" borderId="0" xfId="0" applyNumberFormat="1" applyFont="1" applyFill="1" applyBorder="1" applyAlignment="1">
      <alignment horizontal="center"/>
    </xf>
    <xf numFmtId="166" fontId="44" fillId="0" borderId="10" xfId="0" quotePrefix="1" applyNumberFormat="1" applyFont="1" applyFill="1" applyBorder="1" applyAlignment="1">
      <alignment horizontal="center"/>
    </xf>
    <xf numFmtId="166" fontId="44" fillId="0" borderId="10" xfId="0" applyNumberFormat="1" applyFont="1" applyFill="1" applyBorder="1" applyAlignment="1" applyProtection="1">
      <alignment horizontal="center"/>
      <protection locked="0"/>
    </xf>
    <xf numFmtId="166" fontId="39" fillId="0" borderId="14" xfId="0" applyNumberFormat="1" applyFont="1" applyFill="1" applyBorder="1" applyAlignment="1"/>
    <xf numFmtId="174" fontId="39" fillId="0" borderId="14" xfId="0" applyNumberFormat="1" applyFont="1" applyFill="1" applyBorder="1" applyAlignment="1"/>
    <xf numFmtId="174" fontId="39" fillId="0" borderId="0" xfId="0" applyNumberFormat="1" applyFont="1" applyFill="1" applyAlignment="1" applyProtection="1">
      <protection locked="0"/>
    </xf>
    <xf numFmtId="170" fontId="39" fillId="0" borderId="14" xfId="0" applyNumberFormat="1" applyFont="1" applyFill="1" applyBorder="1" applyAlignment="1">
      <alignment horizontal="center"/>
    </xf>
    <xf numFmtId="170" fontId="39" fillId="0" borderId="0" xfId="0" applyNumberFormat="1" applyFont="1" applyFill="1" applyBorder="1" applyAlignment="1">
      <alignment horizontal="center"/>
    </xf>
    <xf numFmtId="170" fontId="44" fillId="0" borderId="14" xfId="0" applyNumberFormat="1" applyFont="1" applyFill="1" applyBorder="1" applyAlignment="1"/>
    <xf numFmtId="170" fontId="44" fillId="0" borderId="16" xfId="0" applyNumberFormat="1" applyFont="1" applyFill="1" applyBorder="1" applyAlignment="1"/>
    <xf numFmtId="170" fontId="44" fillId="0" borderId="16" xfId="0" applyNumberFormat="1" applyFont="1" applyFill="1" applyBorder="1" applyAlignment="1" applyProtection="1">
      <protection locked="0"/>
    </xf>
    <xf numFmtId="170" fontId="39" fillId="0" borderId="0" xfId="0" quotePrefix="1" applyNumberFormat="1" applyFont="1" applyFill="1" applyAlignment="1" applyProtection="1">
      <alignment horizontal="center"/>
      <protection locked="0"/>
    </xf>
    <xf numFmtId="170" fontId="44" fillId="0" borderId="14" xfId="0" applyNumberFormat="1" applyFont="1" applyFill="1" applyBorder="1" applyAlignment="1">
      <alignment horizontal="center"/>
    </xf>
    <xf numFmtId="170" fontId="44" fillId="0" borderId="0" xfId="0" applyNumberFormat="1" applyFont="1" applyFill="1" applyBorder="1" applyAlignment="1">
      <alignment horizontal="center"/>
    </xf>
    <xf numFmtId="170" fontId="44" fillId="0" borderId="16" xfId="0" quotePrefix="1" applyNumberFormat="1" applyFont="1" applyFill="1" applyBorder="1" applyAlignment="1">
      <alignment horizontal="right"/>
    </xf>
    <xf numFmtId="181" fontId="37" fillId="0" borderId="0" xfId="1767" applyNumberFormat="1" applyFont="1" applyBorder="1" applyAlignment="1">
      <alignment horizontal="right"/>
    </xf>
    <xf numFmtId="178" fontId="37" fillId="0" borderId="0" xfId="1767" applyNumberFormat="1" applyFont="1" applyAlignment="1">
      <alignment horizontal="right"/>
    </xf>
    <xf numFmtId="178" fontId="37" fillId="0" borderId="0" xfId="1767" applyNumberFormat="1" applyFont="1" applyFill="1" applyAlignment="1">
      <alignment horizontal="right"/>
    </xf>
    <xf numFmtId="178" fontId="37" fillId="0" borderId="0" xfId="1767" applyNumberFormat="1" applyFont="1" applyFill="1" applyAlignment="1"/>
    <xf numFmtId="178" fontId="37" fillId="0" borderId="0" xfId="1767" quotePrefix="1" applyNumberFormat="1" applyFont="1" applyAlignment="1">
      <alignment horizontal="center"/>
    </xf>
    <xf numFmtId="178" fontId="37" fillId="0" borderId="0" xfId="1767" applyNumberFormat="1" applyFont="1" applyAlignment="1">
      <alignment horizontal="center"/>
    </xf>
    <xf numFmtId="178" fontId="37" fillId="0" borderId="0" xfId="1767" applyNumberFormat="1" applyFont="1" applyBorder="1" applyAlignment="1">
      <alignment horizontal="center"/>
    </xf>
    <xf numFmtId="178" fontId="100" fillId="0" borderId="0" xfId="1767" applyNumberFormat="1" applyFont="1" applyFill="1" applyAlignment="1"/>
    <xf numFmtId="178" fontId="42" fillId="0" borderId="0" xfId="1767" applyNumberFormat="1" applyFont="1" applyAlignment="1"/>
    <xf numFmtId="178" fontId="37" fillId="0" borderId="0" xfId="1767" quotePrefix="1" applyNumberFormat="1" applyFont="1" applyAlignment="1"/>
    <xf numFmtId="178" fontId="37" fillId="0" borderId="0" xfId="1767" applyNumberFormat="1" applyFont="1" applyFill="1" applyAlignment="1">
      <alignment horizontal="center"/>
    </xf>
    <xf numFmtId="178" fontId="37" fillId="0" borderId="0" xfId="1767" applyNumberFormat="1" applyFont="1" applyFill="1" applyBorder="1" applyAlignment="1">
      <alignment horizontal="right"/>
    </xf>
    <xf numFmtId="178" fontId="37" fillId="0" borderId="0" xfId="1767" quotePrefix="1" applyNumberFormat="1" applyFont="1" applyFill="1" applyAlignment="1">
      <alignment horizontal="center"/>
    </xf>
    <xf numFmtId="0" fontId="44" fillId="0" borderId="10" xfId="2" applyNumberFormat="1" applyFont="1" applyBorder="1" applyAlignment="1">
      <alignment horizontal="center"/>
    </xf>
    <xf numFmtId="164" fontId="39" fillId="0" borderId="16" xfId="0" applyNumberFormat="1" applyFont="1" applyBorder="1" applyAlignment="1" applyProtection="1">
      <protection locked="0"/>
    </xf>
    <xf numFmtId="170" fontId="44" fillId="0" borderId="16" xfId="4" applyNumberFormat="1" applyFont="1" applyFill="1" applyBorder="1"/>
    <xf numFmtId="0" fontId="161" fillId="0" borderId="0" xfId="2" applyFont="1" applyBorder="1"/>
    <xf numFmtId="0" fontId="44" fillId="0" borderId="0" xfId="2" applyNumberFormat="1" applyFont="1" applyAlignment="1">
      <alignment horizontal="left"/>
    </xf>
    <xf numFmtId="166" fontId="39" fillId="0" borderId="28" xfId="2" applyNumberFormat="1" applyFont="1" applyFill="1" applyBorder="1" applyAlignment="1"/>
    <xf numFmtId="174" fontId="0" fillId="0" borderId="0" xfId="2" applyNumberFormat="1" applyFont="1" applyFill="1"/>
    <xf numFmtId="170" fontId="37" fillId="0" borderId="0" xfId="2" quotePrefix="1" applyNumberFormat="1" applyFont="1" applyFill="1" applyAlignment="1">
      <alignment horizontal="center"/>
    </xf>
    <xf numFmtId="174" fontId="37" fillId="0" borderId="0" xfId="2" applyNumberFormat="1" applyFont="1" applyFill="1" applyAlignment="1" applyProtection="1">
      <protection locked="0"/>
    </xf>
    <xf numFmtId="0" fontId="170" fillId="0" borderId="0" xfId="2" applyNumberFormat="1" applyFont="1" applyBorder="1" applyAlignment="1"/>
    <xf numFmtId="169" fontId="170" fillId="0" borderId="0" xfId="2" applyNumberFormat="1" applyFont="1" applyBorder="1" applyAlignment="1" applyProtection="1">
      <alignment horizontal="right"/>
      <protection locked="0"/>
    </xf>
    <xf numFmtId="175" fontId="171" fillId="0" borderId="0" xfId="2" applyNumberFormat="1" applyFont="1" applyBorder="1" applyAlignment="1" applyProtection="1">
      <protection locked="0"/>
    </xf>
    <xf numFmtId="166" fontId="171" fillId="0" borderId="15" xfId="2" applyNumberFormat="1" applyFont="1" applyBorder="1" applyAlignment="1" applyProtection="1">
      <protection locked="0"/>
    </xf>
    <xf numFmtId="0" fontId="171" fillId="0" borderId="15" xfId="2" applyNumberFormat="1" applyFont="1" applyBorder="1" applyAlignment="1"/>
    <xf numFmtId="166" fontId="171" fillId="0" borderId="15" xfId="2" applyNumberFormat="1" applyFont="1" applyBorder="1" applyAlignment="1" applyProtection="1">
      <alignment horizontal="center"/>
      <protection locked="0"/>
    </xf>
    <xf numFmtId="166" fontId="171" fillId="0" borderId="15" xfId="2" quotePrefix="1" applyNumberFormat="1" applyFont="1" applyBorder="1" applyAlignment="1" applyProtection="1">
      <alignment horizontal="right"/>
      <protection locked="0"/>
    </xf>
    <xf numFmtId="166" fontId="171" fillId="0" borderId="15" xfId="2" applyNumberFormat="1" applyFont="1" applyBorder="1" applyAlignment="1"/>
    <xf numFmtId="166" fontId="170" fillId="0" borderId="15" xfId="2" applyNumberFormat="1" applyFont="1" applyBorder="1" applyAlignment="1"/>
    <xf numFmtId="169" fontId="171" fillId="0" borderId="15" xfId="2" applyNumberFormat="1" applyFont="1" applyBorder="1" applyAlignment="1"/>
    <xf numFmtId="0" fontId="171" fillId="0" borderId="0" xfId="2" applyNumberFormat="1" applyFont="1" applyAlignment="1"/>
    <xf numFmtId="0" fontId="171" fillId="0" borderId="0" xfId="2" applyNumberFormat="1" applyFont="1" applyBorder="1" applyAlignment="1"/>
    <xf numFmtId="165" fontId="171" fillId="0" borderId="0" xfId="2" applyNumberFormat="1" applyFont="1" applyAlignment="1"/>
    <xf numFmtId="166" fontId="171" fillId="0" borderId="0" xfId="2" applyNumberFormat="1" applyFont="1" applyAlignment="1"/>
    <xf numFmtId="165" fontId="170" fillId="0" borderId="0" xfId="2" applyNumberFormat="1" applyFont="1" applyAlignment="1">
      <alignment horizontal="center"/>
    </xf>
    <xf numFmtId="165" fontId="170" fillId="0" borderId="0" xfId="2" quotePrefix="1" applyNumberFormat="1" applyFont="1" applyAlignment="1">
      <alignment horizontal="center"/>
    </xf>
    <xf numFmtId="165" fontId="170" fillId="0" borderId="10" xfId="2" applyNumberFormat="1" applyFont="1" applyBorder="1" applyAlignment="1">
      <alignment horizontal="center"/>
    </xf>
    <xf numFmtId="165" fontId="170" fillId="0" borderId="0" xfId="2" applyNumberFormat="1" applyFont="1" applyBorder="1" applyAlignment="1">
      <alignment horizontal="center"/>
    </xf>
    <xf numFmtId="174" fontId="170" fillId="0" borderId="0" xfId="2" applyNumberFormat="1" applyFont="1" applyBorder="1" applyAlignment="1"/>
    <xf numFmtId="164" fontId="170" fillId="0" borderId="0" xfId="1940" applyNumberFormat="1" applyFont="1" applyAlignment="1"/>
    <xf numFmtId="175" fontId="171" fillId="0" borderId="0" xfId="2" applyNumberFormat="1" applyFont="1" applyBorder="1" applyAlignment="1"/>
    <xf numFmtId="170" fontId="171" fillId="0" borderId="0" xfId="1" applyNumberFormat="1" applyFont="1" applyAlignment="1">
      <alignment horizontal="center"/>
    </xf>
    <xf numFmtId="166" fontId="171" fillId="0" borderId="0" xfId="2" applyNumberFormat="1" applyFont="1" applyBorder="1"/>
    <xf numFmtId="170" fontId="171" fillId="0" borderId="67" xfId="1" applyNumberFormat="1" applyFont="1" applyBorder="1" applyAlignment="1">
      <alignment horizontal="center"/>
    </xf>
    <xf numFmtId="170" fontId="171" fillId="0" borderId="0" xfId="2" applyNumberFormat="1" applyFont="1" applyBorder="1" applyAlignment="1"/>
    <xf numFmtId="170" fontId="170" fillId="0" borderId="67" xfId="2" applyNumberFormat="1" applyFont="1" applyBorder="1" applyAlignment="1"/>
    <xf numFmtId="166" fontId="170" fillId="0" borderId="0" xfId="2" applyNumberFormat="1" applyFont="1" applyBorder="1" applyAlignment="1"/>
    <xf numFmtId="164" fontId="170" fillId="0" borderId="67" xfId="1940" applyNumberFormat="1" applyFont="1" applyBorder="1" applyAlignment="1"/>
    <xf numFmtId="164" fontId="171" fillId="0" borderId="0" xfId="1940" applyNumberFormat="1" applyFont="1" applyBorder="1" applyAlignment="1"/>
    <xf numFmtId="0" fontId="171" fillId="0" borderId="0" xfId="2" applyNumberFormat="1" applyFont="1" applyBorder="1" applyAlignment="1">
      <alignment horizontal="center"/>
    </xf>
    <xf numFmtId="164" fontId="171" fillId="0" borderId="0" xfId="1940" applyNumberFormat="1" applyFont="1" applyAlignment="1"/>
    <xf numFmtId="170" fontId="171" fillId="0" borderId="67" xfId="2" applyNumberFormat="1" applyFont="1" applyBorder="1" applyAlignment="1"/>
    <xf numFmtId="164" fontId="171" fillId="0" borderId="67" xfId="1940" applyNumberFormat="1" applyFont="1" applyBorder="1" applyAlignment="1"/>
    <xf numFmtId="166" fontId="171" fillId="0" borderId="0" xfId="2" applyNumberFormat="1" applyFont="1" applyBorder="1" applyAlignment="1"/>
    <xf numFmtId="174" fontId="171" fillId="0" borderId="0" xfId="2" applyNumberFormat="1" applyFont="1" applyBorder="1" applyAlignment="1"/>
    <xf numFmtId="169" fontId="171" fillId="0" borderId="0" xfId="2" applyNumberFormat="1" applyFont="1" applyBorder="1" applyAlignment="1"/>
    <xf numFmtId="0" fontId="170" fillId="0" borderId="0" xfId="2" applyNumberFormat="1" applyFont="1" applyBorder="1" applyAlignment="1">
      <alignment horizontal="center"/>
    </xf>
    <xf numFmtId="174" fontId="170" fillId="0" borderId="17" xfId="2" applyNumberFormat="1" applyFont="1" applyBorder="1" applyAlignment="1"/>
    <xf numFmtId="164" fontId="170" fillId="0" borderId="17" xfId="1940" applyNumberFormat="1" applyFont="1" applyBorder="1" applyAlignment="1"/>
    <xf numFmtId="169" fontId="170" fillId="0" borderId="15" xfId="2" applyNumberFormat="1" applyFont="1" applyBorder="1" applyAlignment="1" applyProtection="1">
      <alignment horizontal="right"/>
      <protection locked="0"/>
    </xf>
    <xf numFmtId="175" fontId="171" fillId="0" borderId="15" xfId="2" applyNumberFormat="1" applyFont="1" applyBorder="1" applyAlignment="1" applyProtection="1">
      <protection locked="0"/>
    </xf>
    <xf numFmtId="0" fontId="170" fillId="0" borderId="0" xfId="2" applyNumberFormat="1" applyFont="1" applyAlignment="1">
      <alignment horizontal="right"/>
    </xf>
    <xf numFmtId="0" fontId="170" fillId="0" borderId="0" xfId="2" quotePrefix="1" applyNumberFormat="1" applyFont="1" applyBorder="1" applyAlignment="1">
      <alignment horizontal="left"/>
    </xf>
    <xf numFmtId="174" fontId="170" fillId="0" borderId="0" xfId="2" quotePrefix="1" applyNumberFormat="1" applyFont="1" applyBorder="1" applyAlignment="1">
      <alignment horizontal="right"/>
    </xf>
    <xf numFmtId="175" fontId="171" fillId="0" borderId="0" xfId="2" applyNumberFormat="1" applyFont="1" applyAlignment="1"/>
    <xf numFmtId="170" fontId="171" fillId="0" borderId="0" xfId="2" quotePrefix="1" applyNumberFormat="1" applyFont="1" applyBorder="1" applyAlignment="1">
      <alignment horizontal="right"/>
    </xf>
    <xf numFmtId="170" fontId="170" fillId="0" borderId="0" xfId="2" quotePrefix="1" applyNumberFormat="1" applyFont="1" applyAlignment="1">
      <alignment horizontal="right"/>
    </xf>
    <xf numFmtId="170" fontId="171" fillId="0" borderId="0" xfId="2" applyNumberFormat="1" applyFont="1" applyAlignment="1"/>
    <xf numFmtId="170" fontId="171" fillId="0" borderId="0" xfId="2" quotePrefix="1" applyNumberFormat="1" applyFont="1" applyAlignment="1">
      <alignment horizontal="center"/>
    </xf>
    <xf numFmtId="170" fontId="171" fillId="0" borderId="0" xfId="2" quotePrefix="1" applyNumberFormat="1" applyFont="1" applyAlignment="1"/>
    <xf numFmtId="170" fontId="171" fillId="0" borderId="0" xfId="2" quotePrefix="1" applyNumberFormat="1" applyFont="1" applyBorder="1" applyAlignment="1"/>
    <xf numFmtId="170" fontId="170" fillId="0" borderId="0" xfId="2" quotePrefix="1" applyNumberFormat="1" applyFont="1" applyAlignment="1">
      <alignment horizontal="center"/>
    </xf>
    <xf numFmtId="170" fontId="170" fillId="0" borderId="0" xfId="2" quotePrefix="1" applyNumberFormat="1" applyFont="1" applyBorder="1" applyAlignment="1">
      <alignment horizontal="right"/>
    </xf>
    <xf numFmtId="170" fontId="170" fillId="0" borderId="0" xfId="2" quotePrefix="1" applyNumberFormat="1" applyFont="1" applyBorder="1" applyAlignment="1">
      <alignment horizontal="center"/>
    </xf>
    <xf numFmtId="170" fontId="170" fillId="0" borderId="0" xfId="2" applyNumberFormat="1" applyFont="1" applyAlignment="1">
      <alignment horizontal="right"/>
    </xf>
    <xf numFmtId="170" fontId="170" fillId="0" borderId="72" xfId="2" applyNumberFormat="1" applyFont="1" applyBorder="1" applyAlignment="1"/>
    <xf numFmtId="166" fontId="170" fillId="0" borderId="0" xfId="2" applyNumberFormat="1" applyFont="1" applyBorder="1" applyAlignment="1">
      <alignment horizontal="right"/>
    </xf>
    <xf numFmtId="164" fontId="170" fillId="0" borderId="72" xfId="1940" applyNumberFormat="1" applyFont="1" applyBorder="1" applyAlignment="1"/>
    <xf numFmtId="170" fontId="170" fillId="0" borderId="0" xfId="2" applyNumberFormat="1" applyFont="1" applyBorder="1" applyAlignment="1"/>
    <xf numFmtId="174" fontId="170" fillId="0" borderId="35" xfId="2" applyNumberFormat="1" applyFont="1" applyBorder="1" applyAlignment="1"/>
    <xf numFmtId="164" fontId="170" fillId="0" borderId="35" xfId="1940" applyNumberFormat="1" applyFont="1" applyBorder="1" applyAlignment="1"/>
    <xf numFmtId="166" fontId="172" fillId="0" borderId="0" xfId="2" applyNumberFormat="1" applyFont="1" applyAlignment="1">
      <alignment horizontal="center"/>
    </xf>
    <xf numFmtId="0" fontId="173" fillId="0" borderId="0" xfId="2" applyNumberFormat="1" applyFont="1" applyAlignment="1">
      <alignment horizontal="right"/>
    </xf>
    <xf numFmtId="0" fontId="170" fillId="0" borderId="0" xfId="2" applyNumberFormat="1" applyFont="1" applyAlignment="1">
      <alignment horizontal="center"/>
    </xf>
    <xf numFmtId="0" fontId="170" fillId="0" borderId="10" xfId="2" applyNumberFormat="1" applyFont="1" applyBorder="1" applyAlignment="1">
      <alignment horizontal="center"/>
    </xf>
    <xf numFmtId="174" fontId="170" fillId="0" borderId="20" xfId="2" quotePrefix="1" applyNumberFormat="1" applyFont="1" applyBorder="1" applyAlignment="1">
      <alignment horizontal="right"/>
    </xf>
    <xf numFmtId="174" fontId="170" fillId="0" borderId="24" xfId="2" applyNumberFormat="1" applyFont="1" applyBorder="1" applyAlignment="1" applyProtection="1">
      <protection locked="0"/>
    </xf>
    <xf numFmtId="174" fontId="170" fillId="0" borderId="0" xfId="2" applyNumberFormat="1" applyFont="1" applyBorder="1" applyAlignment="1" applyProtection="1">
      <protection locked="0"/>
    </xf>
    <xf numFmtId="175" fontId="171" fillId="0" borderId="24" xfId="2" applyNumberFormat="1" applyFont="1" applyBorder="1" applyAlignment="1" applyProtection="1">
      <protection locked="0"/>
    </xf>
    <xf numFmtId="175" fontId="171" fillId="0" borderId="0" xfId="2" applyNumberFormat="1" applyFont="1" applyAlignment="1" applyProtection="1">
      <protection locked="0"/>
    </xf>
    <xf numFmtId="170" fontId="171" fillId="0" borderId="67" xfId="2" quotePrefix="1" applyNumberFormat="1" applyFont="1" applyBorder="1" applyAlignment="1"/>
    <xf numFmtId="170" fontId="171" fillId="0" borderId="24" xfId="2" applyNumberFormat="1" applyFont="1" applyBorder="1" applyAlignment="1" applyProtection="1">
      <protection locked="0"/>
    </xf>
    <xf numFmtId="170" fontId="171" fillId="0" borderId="0" xfId="2" applyNumberFormat="1" applyFont="1" applyAlignment="1" applyProtection="1">
      <protection locked="0"/>
    </xf>
    <xf numFmtId="170" fontId="171" fillId="0" borderId="10" xfId="2" quotePrefix="1" applyNumberFormat="1" applyFont="1" applyBorder="1" applyAlignment="1">
      <alignment horizontal="right"/>
    </xf>
    <xf numFmtId="170" fontId="170" fillId="0" borderId="24" xfId="2" applyNumberFormat="1" applyFont="1" applyBorder="1" applyAlignment="1" applyProtection="1">
      <protection locked="0"/>
    </xf>
    <xf numFmtId="170" fontId="170" fillId="0" borderId="21" xfId="2" applyNumberFormat="1" applyFont="1" applyBorder="1" applyAlignment="1" applyProtection="1">
      <protection locked="0"/>
    </xf>
    <xf numFmtId="170" fontId="171" fillId="0" borderId="20" xfId="2" applyNumberFormat="1" applyFont="1" applyBorder="1" applyAlignment="1"/>
    <xf numFmtId="170" fontId="171" fillId="0" borderId="0" xfId="2" applyNumberFormat="1" applyFont="1" applyBorder="1" applyAlignment="1" applyProtection="1">
      <protection locked="0"/>
    </xf>
    <xf numFmtId="170" fontId="171" fillId="0" borderId="24" xfId="2" applyNumberFormat="1" applyFont="1" applyBorder="1" applyAlignment="1" applyProtection="1">
      <alignment horizontal="center"/>
      <protection locked="0"/>
    </xf>
    <xf numFmtId="170" fontId="171" fillId="0" borderId="0" xfId="2" applyNumberFormat="1" applyFont="1" applyAlignment="1" applyProtection="1">
      <alignment horizontal="center"/>
      <protection locked="0"/>
    </xf>
    <xf numFmtId="170" fontId="170" fillId="0" borderId="10" xfId="2" quotePrefix="1" applyNumberFormat="1" applyFont="1" applyBorder="1" applyAlignment="1">
      <alignment horizontal="right"/>
    </xf>
    <xf numFmtId="170" fontId="170" fillId="0" borderId="0" xfId="2" applyNumberFormat="1" applyFont="1" applyBorder="1" applyAlignment="1" applyProtection="1">
      <protection locked="0"/>
    </xf>
    <xf numFmtId="170" fontId="171" fillId="0" borderId="24" xfId="2" applyNumberFormat="1" applyFont="1" applyBorder="1" applyAlignment="1">
      <alignment horizontal="center"/>
    </xf>
    <xf numFmtId="170" fontId="171" fillId="0" borderId="0" xfId="2" applyNumberFormat="1" applyFont="1" applyBorder="1" applyAlignment="1">
      <alignment horizontal="center"/>
    </xf>
    <xf numFmtId="170" fontId="170" fillId="0" borderId="20" xfId="2" quotePrefix="1" applyNumberFormat="1" applyFont="1" applyBorder="1" applyAlignment="1">
      <alignment horizontal="center"/>
    </xf>
    <xf numFmtId="170" fontId="170" fillId="0" borderId="24" xfId="2" applyNumberFormat="1" applyFont="1" applyBorder="1" applyAlignment="1" applyProtection="1">
      <alignment horizontal="right"/>
      <protection locked="0"/>
    </xf>
    <xf numFmtId="170" fontId="170" fillId="0" borderId="0" xfId="2" applyNumberFormat="1" applyFont="1" applyBorder="1" applyAlignment="1" applyProtection="1">
      <alignment horizontal="right"/>
      <protection locked="0"/>
    </xf>
    <xf numFmtId="170" fontId="170" fillId="0" borderId="18" xfId="2" applyNumberFormat="1" applyFont="1" applyBorder="1" applyAlignment="1"/>
    <xf numFmtId="174" fontId="170" fillId="0" borderId="20" xfId="2" applyNumberFormat="1" applyFont="1" applyBorder="1" applyAlignment="1"/>
    <xf numFmtId="174" fontId="170" fillId="0" borderId="18" xfId="2" applyNumberFormat="1" applyFont="1" applyBorder="1" applyAlignment="1"/>
    <xf numFmtId="166" fontId="171" fillId="0" borderId="36" xfId="2" applyNumberFormat="1" applyFont="1" applyBorder="1" applyAlignment="1"/>
    <xf numFmtId="0" fontId="39" fillId="33" borderId="10" xfId="2" applyFont="1" applyFill="1" applyBorder="1" applyAlignment="1">
      <alignment horizontal="center"/>
    </xf>
    <xf numFmtId="0" fontId="0" fillId="0" borderId="10" xfId="2" applyFont="1" applyBorder="1"/>
    <xf numFmtId="174" fontId="0" fillId="0" borderId="0" xfId="2" applyNumberFormat="1" applyFont="1"/>
    <xf numFmtId="164" fontId="41" fillId="0" borderId="0" xfId="0" applyFont="1" applyFill="1" applyBorder="1" applyAlignment="1">
      <alignment horizontal="left"/>
    </xf>
    <xf numFmtId="166" fontId="38" fillId="0" borderId="0" xfId="0" applyNumberFormat="1" applyFont="1" applyFill="1" applyBorder="1" applyAlignment="1">
      <alignment horizontal="left"/>
    </xf>
    <xf numFmtId="37" fontId="44" fillId="0" borderId="10" xfId="2" applyNumberFormat="1" applyFont="1" applyBorder="1" applyAlignment="1">
      <alignment horizontal="centerContinuous"/>
    </xf>
    <xf numFmtId="37" fontId="37" fillId="0" borderId="10" xfId="2" applyNumberFormat="1" applyFont="1" applyBorder="1"/>
    <xf numFmtId="0" fontId="37" fillId="33" borderId="10" xfId="2" applyFont="1" applyFill="1" applyBorder="1" applyAlignment="1">
      <alignment horizontal="center"/>
    </xf>
    <xf numFmtId="170" fontId="0" fillId="0" borderId="0" xfId="2" applyNumberFormat="1" applyFont="1" applyFill="1"/>
    <xf numFmtId="166" fontId="60" fillId="0" borderId="0" xfId="2" applyNumberFormat="1" applyFont="1" applyBorder="1" applyAlignment="1">
      <alignment horizontal="right"/>
    </xf>
    <xf numFmtId="170" fontId="44" fillId="0" borderId="46" xfId="2" applyNumberFormat="1" applyFont="1" applyBorder="1" applyAlignment="1"/>
    <xf numFmtId="170" fontId="169" fillId="0" borderId="10" xfId="2" applyNumberFormat="1" applyFont="1" applyBorder="1" applyAlignment="1"/>
    <xf numFmtId="170" fontId="44" fillId="0" borderId="45" xfId="4" applyNumberFormat="1" applyFont="1" applyFill="1" applyBorder="1"/>
    <xf numFmtId="0" fontId="44" fillId="0" borderId="10" xfId="2" applyFont="1" applyFill="1" applyBorder="1" applyAlignment="1">
      <alignment horizontal="center"/>
    </xf>
    <xf numFmtId="37" fontId="131" fillId="0" borderId="10" xfId="2" applyNumberFormat="1" applyFont="1" applyFill="1" applyBorder="1"/>
    <xf numFmtId="37" fontId="44" fillId="0" borderId="10" xfId="2" applyNumberFormat="1" applyFont="1" applyBorder="1" applyAlignment="1">
      <alignment horizontal="center"/>
    </xf>
    <xf numFmtId="37" fontId="44" fillId="0" borderId="10" xfId="2" applyNumberFormat="1" applyFont="1" applyBorder="1" applyAlignment="1"/>
    <xf numFmtId="37" fontId="133" fillId="0" borderId="0" xfId="2" applyNumberFormat="1" applyFont="1" applyBorder="1"/>
    <xf numFmtId="37" fontId="66" fillId="0" borderId="0" xfId="2" applyNumberFormat="1" applyFont="1" applyBorder="1" applyAlignment="1"/>
    <xf numFmtId="37" fontId="134" fillId="0" borderId="0" xfId="2" applyNumberFormat="1" applyFont="1" applyBorder="1" applyAlignment="1"/>
    <xf numFmtId="37" fontId="67" fillId="0" borderId="0" xfId="2" applyNumberFormat="1" applyFont="1" applyFill="1" applyBorder="1" applyAlignment="1">
      <alignment horizontal="center"/>
    </xf>
    <xf numFmtId="37" fontId="67" fillId="0" borderId="0" xfId="2" quotePrefix="1" applyNumberFormat="1" applyFont="1" applyFill="1" applyBorder="1" applyAlignment="1">
      <alignment horizontal="center"/>
    </xf>
    <xf numFmtId="37" fontId="44" fillId="0" borderId="10" xfId="2" applyNumberFormat="1" applyFont="1" applyBorder="1" applyAlignment="1" applyProtection="1">
      <alignment horizontal="centerContinuous"/>
      <protection locked="0"/>
    </xf>
    <xf numFmtId="0" fontId="37" fillId="0" borderId="10" xfId="2" applyFont="1" applyFill="1" applyBorder="1" applyAlignment="1">
      <alignment horizontal="center"/>
    </xf>
    <xf numFmtId="170" fontId="37" fillId="0" borderId="0" xfId="2" applyNumberFormat="1" applyFont="1" applyBorder="1" applyAlignment="1">
      <alignment horizontal="center"/>
    </xf>
    <xf numFmtId="37" fontId="44" fillId="0" borderId="10" xfId="2" applyNumberFormat="1" applyFont="1" applyFill="1" applyBorder="1" applyAlignment="1">
      <alignment horizontal="centerContinuous"/>
    </xf>
    <xf numFmtId="37" fontId="37" fillId="0" borderId="10" xfId="2" applyNumberFormat="1" applyFont="1" applyFill="1" applyBorder="1"/>
    <xf numFmtId="174" fontId="37" fillId="0" borderId="0" xfId="2" quotePrefix="1" applyNumberFormat="1" applyFont="1" applyBorder="1" applyAlignment="1"/>
    <xf numFmtId="174" fontId="37" fillId="0" borderId="0" xfId="2" quotePrefix="1" applyNumberFormat="1" applyFont="1" applyBorder="1" applyAlignment="1">
      <alignment horizontal="center"/>
    </xf>
    <xf numFmtId="37" fontId="44" fillId="0" borderId="67" xfId="2" applyNumberFormat="1" applyFont="1" applyBorder="1" applyAlignment="1"/>
    <xf numFmtId="37" fontId="44" fillId="0" borderId="67" xfId="2" applyNumberFormat="1" applyFont="1" applyBorder="1" applyAlignment="1">
      <alignment horizontal="centerContinuous"/>
    </xf>
    <xf numFmtId="166" fontId="56" fillId="0" borderId="67" xfId="0" applyNumberFormat="1" applyFont="1" applyFill="1" applyBorder="1" applyAlignment="1"/>
    <xf numFmtId="165" fontId="40" fillId="0" borderId="67" xfId="0" applyNumberFormat="1" applyFont="1" applyFill="1" applyBorder="1" applyAlignment="1"/>
    <xf numFmtId="174" fontId="59" fillId="0" borderId="28" xfId="0" applyNumberFormat="1" applyFont="1" applyFill="1" applyBorder="1" applyAlignment="1"/>
    <xf numFmtId="166" fontId="61" fillId="0" borderId="0" xfId="0" applyNumberFormat="1" applyFont="1" applyFill="1" applyBorder="1" applyAlignment="1"/>
    <xf numFmtId="166" fontId="37" fillId="0" borderId="0" xfId="0" applyNumberFormat="1" applyFont="1" applyBorder="1" applyAlignment="1">
      <alignment horizontal="left"/>
    </xf>
    <xf numFmtId="169" fontId="37" fillId="0" borderId="0" xfId="2" applyNumberFormat="1" applyFont="1" applyBorder="1" applyAlignment="1"/>
    <xf numFmtId="174" fontId="0" fillId="0" borderId="0" xfId="2" applyNumberFormat="1" applyFont="1" applyBorder="1"/>
    <xf numFmtId="174" fontId="44" fillId="0" borderId="42" xfId="2" applyNumberFormat="1" applyFont="1" applyBorder="1" applyAlignment="1"/>
    <xf numFmtId="0" fontId="44" fillId="0" borderId="10" xfId="2" applyFont="1" applyFill="1" applyBorder="1" applyAlignment="1">
      <alignment horizontal="center"/>
    </xf>
    <xf numFmtId="166" fontId="37" fillId="0" borderId="0" xfId="2" applyNumberFormat="1" applyFont="1" applyAlignment="1">
      <alignment horizontal="left"/>
    </xf>
    <xf numFmtId="39" fontId="38" fillId="0" borderId="0" xfId="0" applyNumberFormat="1" applyFont="1" applyBorder="1" applyAlignment="1" applyProtection="1">
      <alignment horizontal="left"/>
      <protection locked="0"/>
    </xf>
    <xf numFmtId="164" fontId="39" fillId="0" borderId="0" xfId="0" applyFont="1" applyBorder="1" applyAlignment="1" applyProtection="1">
      <alignment horizontal="left"/>
      <protection locked="0"/>
    </xf>
    <xf numFmtId="0" fontId="37" fillId="0" borderId="0" xfId="2" quotePrefix="1" applyNumberFormat="1" applyFont="1" applyFill="1" applyAlignment="1">
      <alignment horizontal="left"/>
    </xf>
    <xf numFmtId="175" fontId="37" fillId="0" borderId="0" xfId="4" quotePrefix="1" applyNumberFormat="1" applyFont="1" applyFill="1" applyAlignment="1">
      <alignment horizontal="left"/>
    </xf>
    <xf numFmtId="175" fontId="37" fillId="0" borderId="0" xfId="4" applyNumberFormat="1" applyFont="1" applyFill="1" applyAlignment="1">
      <alignment horizontal="left"/>
    </xf>
    <xf numFmtId="175" fontId="67" fillId="0" borderId="0" xfId="4" applyNumberFormat="1" applyFont="1" applyFill="1" applyAlignment="1">
      <alignment horizontal="right"/>
    </xf>
    <xf numFmtId="0" fontId="44" fillId="0" borderId="0" xfId="17" applyNumberFormat="1" applyFont="1" applyAlignment="1" applyProtection="1">
      <alignment horizontal="right"/>
      <protection locked="0"/>
    </xf>
    <xf numFmtId="37" fontId="44" fillId="0" borderId="78" xfId="2" applyNumberFormat="1" applyFont="1" applyBorder="1" applyAlignment="1">
      <alignment horizontal="centerContinuous"/>
    </xf>
    <xf numFmtId="37" fontId="44" fillId="0" borderId="28" xfId="2" applyNumberFormat="1" applyFont="1" applyBorder="1" applyAlignment="1">
      <alignment horizontal="center"/>
    </xf>
    <xf numFmtId="37" fontId="42" fillId="0" borderId="28" xfId="2" applyNumberFormat="1" applyFont="1" applyBorder="1" applyAlignment="1"/>
    <xf numFmtId="37" fontId="37" fillId="0" borderId="28" xfId="2" applyNumberFormat="1" applyFont="1" applyBorder="1" applyAlignment="1"/>
    <xf numFmtId="37" fontId="37" fillId="0" borderId="28" xfId="2" applyNumberFormat="1" applyFont="1" applyBorder="1" applyAlignment="1">
      <alignment horizontal="center"/>
    </xf>
    <xf numFmtId="37" fontId="44" fillId="0" borderId="28" xfId="2" applyNumberFormat="1" applyFont="1" applyBorder="1" applyAlignment="1"/>
    <xf numFmtId="37" fontId="44" fillId="0" borderId="79" xfId="2" applyNumberFormat="1" applyFont="1" applyBorder="1" applyAlignment="1"/>
    <xf numFmtId="37" fontId="44" fillId="0" borderId="27" xfId="2" applyNumberFormat="1" applyFont="1" applyBorder="1" applyAlignment="1"/>
    <xf numFmtId="37" fontId="44" fillId="0" borderId="80" xfId="2" applyNumberFormat="1" applyFont="1" applyBorder="1" applyAlignment="1">
      <alignment horizontal="center"/>
    </xf>
    <xf numFmtId="37" fontId="44" fillId="0" borderId="67" xfId="2" applyNumberFormat="1" applyFont="1" applyBorder="1" applyAlignment="1">
      <alignment horizontal="center"/>
    </xf>
    <xf numFmtId="174" fontId="44" fillId="0" borderId="0" xfId="2" applyNumberFormat="1" applyFont="1" applyAlignment="1">
      <alignment horizontal="center"/>
    </xf>
    <xf numFmtId="174" fontId="37" fillId="0" borderId="0" xfId="2" applyNumberFormat="1" applyFont="1" applyAlignment="1">
      <alignment horizontal="center"/>
    </xf>
    <xf numFmtId="174" fontId="37" fillId="0" borderId="28" xfId="2" applyNumberFormat="1" applyFont="1" applyBorder="1" applyAlignment="1">
      <alignment horizontal="right"/>
    </xf>
    <xf numFmtId="174" fontId="37" fillId="0" borderId="47" xfId="2" applyNumberFormat="1" applyFont="1" applyBorder="1" applyAlignment="1">
      <alignment horizontal="center"/>
    </xf>
    <xf numFmtId="174" fontId="37" fillId="0" borderId="21" xfId="2" applyNumberFormat="1" applyFont="1" applyBorder="1" applyAlignment="1"/>
    <xf numFmtId="174" fontId="37" fillId="0" borderId="47" xfId="2" applyNumberFormat="1" applyFont="1" applyBorder="1" applyAlignment="1"/>
    <xf numFmtId="0" fontId="98" fillId="0" borderId="0" xfId="1767" applyFont="1" applyBorder="1"/>
    <xf numFmtId="0" fontId="37" fillId="0" borderId="0" xfId="1767" applyFont="1" applyBorder="1"/>
    <xf numFmtId="0" fontId="14" fillId="0" borderId="0" xfId="841" applyFont="1"/>
    <xf numFmtId="187" fontId="44" fillId="0" borderId="51" xfId="1767" applyNumberFormat="1" applyFont="1" applyBorder="1" applyAlignment="1" applyProtection="1">
      <alignment horizontal="center"/>
      <protection locked="0"/>
    </xf>
    <xf numFmtId="44" fontId="44" fillId="0" borderId="0" xfId="1767" applyNumberFormat="1" applyFont="1" applyFill="1" applyAlignment="1" applyProtection="1">
      <alignment horizontal="right"/>
      <protection locked="0"/>
    </xf>
    <xf numFmtId="43" fontId="37" fillId="0" borderId="0" xfId="1767" applyNumberFormat="1" applyFont="1" applyFill="1" applyAlignment="1" applyProtection="1">
      <alignment horizontal="right"/>
    </xf>
    <xf numFmtId="43" fontId="44" fillId="0" borderId="0" xfId="1767" applyNumberFormat="1" applyFont="1" applyFill="1" applyAlignment="1" applyProtection="1">
      <alignment horizontal="right"/>
    </xf>
    <xf numFmtId="43" fontId="44" fillId="0" borderId="35" xfId="1767" applyNumberFormat="1" applyFont="1" applyFill="1" applyBorder="1" applyAlignment="1" applyProtection="1">
      <alignment horizontal="right"/>
    </xf>
    <xf numFmtId="43" fontId="37" fillId="0" borderId="0" xfId="1767" applyNumberFormat="1" applyFont="1" applyFill="1" applyAlignment="1" applyProtection="1"/>
    <xf numFmtId="0" fontId="98" fillId="0" borderId="0" xfId="1767" applyNumberFormat="1" applyFont="1" applyFill="1" applyAlignment="1" applyProtection="1"/>
    <xf numFmtId="164" fontId="37" fillId="0" borderId="0" xfId="1767" applyNumberFormat="1" applyFont="1" applyFill="1" applyAlignment="1" applyProtection="1"/>
    <xf numFmtId="164" fontId="98" fillId="0" borderId="0" xfId="1767" applyNumberFormat="1" applyFont="1" applyFill="1" applyAlignment="1" applyProtection="1"/>
    <xf numFmtId="7" fontId="44" fillId="0" borderId="0" xfId="1767" applyNumberFormat="1" applyFont="1" applyFill="1" applyAlignment="1" applyProtection="1">
      <alignment horizontal="right"/>
      <protection locked="0"/>
    </xf>
    <xf numFmtId="0" fontId="14" fillId="0" borderId="0" xfId="841" applyFont="1" applyBorder="1"/>
    <xf numFmtId="4" fontId="42" fillId="0" borderId="0" xfId="1767" applyNumberFormat="1" applyFont="1" applyFill="1" applyAlignment="1">
      <alignment horizontal="right"/>
    </xf>
    <xf numFmtId="4" fontId="42" fillId="0" borderId="0" xfId="1767" applyNumberFormat="1" applyFont="1" applyFill="1" applyBorder="1" applyAlignment="1">
      <alignment horizontal="right"/>
    </xf>
    <xf numFmtId="0" fontId="37" fillId="0" borderId="0" xfId="739" applyNumberFormat="1" applyFont="1" applyAlignment="1"/>
    <xf numFmtId="37" fontId="37" fillId="0" borderId="0" xfId="739" applyNumberFormat="1" applyFont="1" applyAlignment="1"/>
    <xf numFmtId="164" fontId="38" fillId="0" borderId="0" xfId="0" applyFont="1" applyAlignment="1">
      <alignment horizontal="right"/>
    </xf>
    <xf numFmtId="0" fontId="37" fillId="0" borderId="0" xfId="739" applyNumberFormat="1" applyFont="1" applyBorder="1" applyAlignment="1">
      <alignment horizontal="centerContinuous"/>
    </xf>
    <xf numFmtId="175" fontId="37" fillId="0" borderId="0" xfId="739" applyNumberFormat="1" applyFont="1" applyBorder="1" applyAlignment="1" applyProtection="1">
      <protection locked="0"/>
    </xf>
    <xf numFmtId="175" fontId="37" fillId="0" borderId="0" xfId="739" applyNumberFormat="1" applyFont="1" applyAlignment="1"/>
    <xf numFmtId="166" fontId="37" fillId="0" borderId="0" xfId="739" applyNumberFormat="1" applyFont="1" applyBorder="1" applyAlignment="1" applyProtection="1">
      <protection locked="0"/>
    </xf>
    <xf numFmtId="166" fontId="37" fillId="0" borderId="0" xfId="739" applyNumberFormat="1" applyFont="1" applyAlignment="1"/>
    <xf numFmtId="0" fontId="37" fillId="0" borderId="0" xfId="739" applyNumberFormat="1" applyFont="1" applyBorder="1" applyAlignment="1">
      <alignment horizontal="left"/>
    </xf>
    <xf numFmtId="0" fontId="37" fillId="0" borderId="0" xfId="1776" applyFont="1" applyFill="1"/>
    <xf numFmtId="39" fontId="37" fillId="0" borderId="0" xfId="1776" applyNumberFormat="1" applyFont="1" applyFill="1"/>
    <xf numFmtId="39" fontId="37" fillId="0" borderId="0" xfId="1776" applyNumberFormat="1" applyFont="1" applyFill="1" applyBorder="1"/>
    <xf numFmtId="165" fontId="62" fillId="0" borderId="0" xfId="1776" applyNumberFormat="1" applyFont="1" applyFill="1" applyAlignment="1">
      <alignment horizontal="left"/>
    </xf>
    <xf numFmtId="39" fontId="62" fillId="0" borderId="0" xfId="1776" applyNumberFormat="1" applyFont="1" applyFill="1"/>
    <xf numFmtId="0" fontId="62" fillId="0" borderId="0" xfId="1776" applyFont="1" applyFill="1"/>
    <xf numFmtId="0" fontId="67" fillId="0" borderId="0" xfId="1776" applyNumberFormat="1" applyFont="1" applyFill="1" applyAlignment="1">
      <alignment horizontal="left"/>
    </xf>
    <xf numFmtId="0" fontId="37" fillId="0" borderId="0" xfId="1776" applyFont="1" applyFill="1" applyBorder="1" applyAlignment="1">
      <alignment horizontal="left"/>
    </xf>
    <xf numFmtId="39" fontId="62" fillId="0" borderId="0" xfId="1776" applyNumberFormat="1" applyFont="1" applyFill="1" applyBorder="1"/>
    <xf numFmtId="0" fontId="44" fillId="0" borderId="0" xfId="1776" quotePrefix="1" applyNumberFormat="1" applyFont="1" applyFill="1" applyAlignment="1">
      <alignment horizontal="center"/>
    </xf>
    <xf numFmtId="39" fontId="37" fillId="0" borderId="0" xfId="1776" applyNumberFormat="1" applyFont="1" applyFill="1" applyBorder="1" applyAlignment="1">
      <alignment horizontal="center"/>
    </xf>
    <xf numFmtId="165" fontId="44" fillId="0" borderId="0" xfId="1776" applyNumberFormat="1" applyFont="1" applyFill="1" applyAlignment="1"/>
    <xf numFmtId="39" fontId="44" fillId="0" borderId="0" xfId="1776" applyNumberFormat="1" applyFont="1" applyFill="1" applyAlignment="1"/>
    <xf numFmtId="0" fontId="44" fillId="0" borderId="0" xfId="1776" applyNumberFormat="1" applyFont="1" applyFill="1" applyAlignment="1">
      <alignment horizontal="center"/>
    </xf>
    <xf numFmtId="39" fontId="44" fillId="0" borderId="0" xfId="1776" applyNumberFormat="1" applyFont="1" applyFill="1" applyBorder="1" applyAlignment="1"/>
    <xf numFmtId="39" fontId="44" fillId="0" borderId="0" xfId="1776" applyNumberFormat="1" applyFont="1" applyFill="1"/>
    <xf numFmtId="0" fontId="44" fillId="0" borderId="0" xfId="1776" applyFont="1" applyFill="1"/>
    <xf numFmtId="0" fontId="37" fillId="0" borderId="0" xfId="1776" applyNumberFormat="1" applyFont="1" applyFill="1" applyAlignment="1"/>
    <xf numFmtId="39" fontId="37" fillId="0" borderId="0" xfId="1776" applyNumberFormat="1" applyFont="1" applyFill="1" applyAlignment="1"/>
    <xf numFmtId="39" fontId="44" fillId="0" borderId="67" xfId="1776" applyNumberFormat="1" applyFont="1" applyFill="1" applyBorder="1" applyAlignment="1">
      <alignment horizontal="center"/>
    </xf>
    <xf numFmtId="39" fontId="44" fillId="0" borderId="0" xfId="1776" applyNumberFormat="1" applyFont="1" applyFill="1" applyAlignment="1">
      <alignment horizontal="center"/>
    </xf>
    <xf numFmtId="39" fontId="37" fillId="0" borderId="0" xfId="1776" applyNumberFormat="1" applyFont="1" applyFill="1" applyBorder="1" applyAlignment="1"/>
    <xf numFmtId="39" fontId="37" fillId="0" borderId="20" xfId="1776" applyNumberFormat="1" applyFont="1" applyFill="1" applyBorder="1" applyAlignment="1"/>
    <xf numFmtId="0" fontId="44" fillId="0" borderId="0" xfId="1776" applyNumberFormat="1" applyFont="1" applyFill="1" applyAlignment="1"/>
    <xf numFmtId="44" fontId="44" fillId="0" borderId="0" xfId="1776" applyNumberFormat="1" applyFont="1" applyFill="1" applyAlignment="1"/>
    <xf numFmtId="44" fontId="44" fillId="0" borderId="0" xfId="1776" applyNumberFormat="1" applyFont="1" applyFill="1" applyBorder="1" applyAlignment="1"/>
    <xf numFmtId="8" fontId="44" fillId="0" borderId="0" xfId="1776" applyNumberFormat="1" applyFont="1" applyFill="1"/>
    <xf numFmtId="40" fontId="44" fillId="0" borderId="0" xfId="1776" applyNumberFormat="1" applyFont="1" applyFill="1"/>
    <xf numFmtId="0" fontId="37" fillId="0" borderId="0" xfId="1776" applyNumberFormat="1" applyFont="1" applyFill="1" applyAlignment="1">
      <alignment horizontal="left"/>
    </xf>
    <xf numFmtId="43" fontId="37" fillId="0" borderId="0" xfId="1776" applyNumberFormat="1" applyFont="1" applyFill="1" applyAlignment="1"/>
    <xf numFmtId="43" fontId="37" fillId="0" borderId="0" xfId="1776" applyNumberFormat="1" applyFont="1" applyFill="1" applyBorder="1" applyAlignment="1"/>
    <xf numFmtId="43" fontId="44" fillId="0" borderId="68" xfId="1776" applyNumberFormat="1" applyFont="1" applyFill="1" applyBorder="1" applyAlignment="1"/>
    <xf numFmtId="43" fontId="44" fillId="0" borderId="0" xfId="1776" applyNumberFormat="1" applyFont="1" applyFill="1" applyBorder="1" applyAlignment="1"/>
    <xf numFmtId="43" fontId="37" fillId="0" borderId="20" xfId="1776" applyNumberFormat="1" applyFont="1" applyFill="1" applyBorder="1" applyAlignment="1"/>
    <xf numFmtId="0" fontId="44" fillId="0" borderId="0" xfId="1776" applyNumberFormat="1" applyFont="1" applyFill="1" applyAlignment="1">
      <alignment horizontal="left"/>
    </xf>
    <xf numFmtId="43" fontId="44" fillId="0" borderId="20" xfId="1776" applyNumberFormat="1" applyFont="1" applyFill="1" applyBorder="1" applyAlignment="1"/>
    <xf numFmtId="0" fontId="37" fillId="0" borderId="0" xfId="1776" quotePrefix="1" applyNumberFormat="1" applyFont="1" applyFill="1" applyAlignment="1">
      <alignment horizontal="left"/>
    </xf>
    <xf numFmtId="43" fontId="44" fillId="0" borderId="0" xfId="1776" applyNumberFormat="1" applyFont="1" applyFill="1" applyBorder="1" applyAlignment="1">
      <alignment horizontal="right"/>
    </xf>
    <xf numFmtId="0" fontId="37" fillId="0" borderId="0" xfId="1776" applyFont="1" applyFill="1" applyBorder="1"/>
    <xf numFmtId="43" fontId="37" fillId="0" borderId="0" xfId="1776" applyNumberFormat="1" applyFont="1" applyFill="1" applyBorder="1" applyAlignment="1" applyProtection="1"/>
    <xf numFmtId="43" fontId="37" fillId="0" borderId="67" xfId="1776" applyNumberFormat="1" applyFont="1" applyFill="1" applyBorder="1" applyAlignment="1" applyProtection="1"/>
    <xf numFmtId="43" fontId="44" fillId="0" borderId="16" xfId="1776" applyNumberFormat="1" applyFont="1" applyFill="1" applyBorder="1" applyAlignment="1"/>
    <xf numFmtId="39" fontId="44" fillId="0" borderId="0" xfId="1776" applyNumberFormat="1" applyFont="1" applyFill="1" applyBorder="1"/>
    <xf numFmtId="0" fontId="44" fillId="0" borderId="0" xfId="1776" applyFont="1" applyFill="1" applyBorder="1"/>
    <xf numFmtId="43" fontId="37" fillId="0" borderId="0" xfId="1776" applyNumberFormat="1" applyFont="1" applyFill="1" applyBorder="1" applyAlignment="1" applyProtection="1">
      <alignment horizontal="right"/>
    </xf>
    <xf numFmtId="43" fontId="37" fillId="0" borderId="0" xfId="1776" applyNumberFormat="1" applyFont="1" applyFill="1" applyBorder="1" applyAlignment="1">
      <alignment horizontal="right"/>
    </xf>
    <xf numFmtId="43" fontId="37" fillId="0" borderId="67" xfId="1776" applyNumberFormat="1" applyFont="1" applyFill="1" applyBorder="1" applyAlignment="1"/>
    <xf numFmtId="43" fontId="44" fillId="0" borderId="67" xfId="1776" applyNumberFormat="1" applyFont="1" applyFill="1" applyBorder="1" applyAlignment="1">
      <alignment horizontal="right"/>
    </xf>
    <xf numFmtId="39" fontId="37" fillId="0" borderId="46" xfId="1776" applyNumberFormat="1" applyFont="1" applyFill="1" applyBorder="1" applyAlignment="1"/>
    <xf numFmtId="39" fontId="44" fillId="0" borderId="0" xfId="1776" quotePrefix="1" applyNumberFormat="1" applyFont="1" applyFill="1" applyAlignment="1">
      <alignment horizontal="left"/>
    </xf>
    <xf numFmtId="44" fontId="44" fillId="0" borderId="17" xfId="1776" applyNumberFormat="1" applyFont="1" applyFill="1" applyBorder="1" applyAlignment="1">
      <alignment horizontal="right"/>
    </xf>
    <xf numFmtId="44" fontId="44" fillId="0" borderId="0" xfId="1776" applyNumberFormat="1" applyFont="1" applyFill="1" applyBorder="1" applyAlignment="1">
      <alignment horizontal="right"/>
    </xf>
    <xf numFmtId="4" fontId="44" fillId="0" borderId="0" xfId="1776" applyNumberFormat="1" applyFont="1" applyFill="1"/>
    <xf numFmtId="0" fontId="37" fillId="0" borderId="0" xfId="1776" applyNumberFormat="1" applyFont="1" applyFill="1" applyBorder="1" applyAlignment="1">
      <alignment horizontal="left"/>
    </xf>
    <xf numFmtId="0" fontId="37" fillId="0" borderId="0" xfId="1776" quotePrefix="1" applyFont="1" applyFill="1" applyAlignment="1">
      <alignment horizontal="left"/>
    </xf>
    <xf numFmtId="0" fontId="83" fillId="0" borderId="0" xfId="1776" applyFont="1"/>
    <xf numFmtId="39" fontId="44" fillId="0" borderId="0" xfId="1776" applyNumberFormat="1" applyFont="1"/>
    <xf numFmtId="0" fontId="37" fillId="0" borderId="0" xfId="1776" applyFont="1"/>
    <xf numFmtId="39" fontId="37" fillId="0" borderId="0" xfId="1776" applyNumberFormat="1" applyFont="1"/>
    <xf numFmtId="39" fontId="37" fillId="0" borderId="0" xfId="1776" applyNumberFormat="1" applyFont="1" applyBorder="1"/>
    <xf numFmtId="165" fontId="37" fillId="0" borderId="0" xfId="1776" applyNumberFormat="1" applyFont="1" applyProtection="1">
      <protection locked="0"/>
    </xf>
    <xf numFmtId="0" fontId="67" fillId="0" borderId="0" xfId="1776" applyNumberFormat="1" applyFont="1" applyAlignment="1">
      <alignment horizontal="left"/>
    </xf>
    <xf numFmtId="0" fontId="44" fillId="0" borderId="0" xfId="1776" applyNumberFormat="1" applyFont="1" applyAlignment="1">
      <alignment horizontal="left"/>
    </xf>
    <xf numFmtId="39" fontId="91" fillId="0" borderId="0" xfId="1776" applyNumberFormat="1" applyFont="1" applyAlignment="1"/>
    <xf numFmtId="39" fontId="37" fillId="0" borderId="0" xfId="1776" applyNumberFormat="1" applyFont="1" applyBorder="1" applyAlignment="1"/>
    <xf numFmtId="0" fontId="52" fillId="0" borderId="0" xfId="1776" applyNumberFormat="1" applyFont="1" applyAlignment="1">
      <alignment horizontal="left"/>
    </xf>
    <xf numFmtId="165" fontId="89" fillId="0" borderId="0" xfId="1776" applyNumberFormat="1" applyFont="1" applyAlignment="1"/>
    <xf numFmtId="39" fontId="89" fillId="0" borderId="0" xfId="1776" applyNumberFormat="1" applyFont="1" applyAlignment="1"/>
    <xf numFmtId="39" fontId="44" fillId="0" borderId="0" xfId="1776" applyNumberFormat="1" applyFont="1" applyBorder="1" applyAlignment="1">
      <alignment horizontal="center"/>
    </xf>
    <xf numFmtId="165" fontId="44" fillId="0" borderId="0" xfId="1776" applyNumberFormat="1" applyFont="1" applyAlignment="1"/>
    <xf numFmtId="39" fontId="44" fillId="0" borderId="0" xfId="1776" applyNumberFormat="1" applyFont="1" applyBorder="1" applyAlignment="1"/>
    <xf numFmtId="0" fontId="44" fillId="0" borderId="0" xfId="1776" applyFont="1"/>
    <xf numFmtId="0" fontId="37" fillId="0" borderId="0" xfId="1776" applyNumberFormat="1" applyFont="1" applyAlignment="1"/>
    <xf numFmtId="39" fontId="44" fillId="0" borderId="0" xfId="1776" applyNumberFormat="1" applyFont="1" applyAlignment="1">
      <alignment horizontal="center"/>
    </xf>
    <xf numFmtId="39" fontId="37" fillId="0" borderId="0" xfId="1776" applyNumberFormat="1" applyFont="1" applyAlignment="1"/>
    <xf numFmtId="39" fontId="37" fillId="0" borderId="20" xfId="1776" applyNumberFormat="1" applyFont="1" applyBorder="1" applyAlignment="1"/>
    <xf numFmtId="0" fontId="44" fillId="0" borderId="0" xfId="1776" applyNumberFormat="1" applyFont="1" applyAlignment="1"/>
    <xf numFmtId="44" fontId="44" fillId="0" borderId="0" xfId="1776" applyNumberFormat="1" applyFont="1" applyAlignment="1"/>
    <xf numFmtId="44" fontId="44" fillId="0" borderId="21" xfId="1776" applyNumberFormat="1" applyFont="1" applyBorder="1" applyAlignment="1"/>
    <xf numFmtId="39" fontId="37" fillId="0" borderId="21" xfId="1776" applyNumberFormat="1" applyFont="1" applyBorder="1" applyAlignment="1"/>
    <xf numFmtId="43" fontId="37" fillId="0" borderId="0" xfId="1776" applyNumberFormat="1" applyFont="1" applyAlignment="1"/>
    <xf numFmtId="43" fontId="37" fillId="0" borderId="21" xfId="1776" applyNumberFormat="1" applyFont="1" applyBorder="1" applyAlignment="1"/>
    <xf numFmtId="43" fontId="37" fillId="0" borderId="0" xfId="1776" applyNumberFormat="1" applyFont="1" applyBorder="1" applyAlignment="1"/>
    <xf numFmtId="43" fontId="37" fillId="0" borderId="67" xfId="1776" applyNumberFormat="1" applyFont="1" applyFill="1" applyBorder="1" applyAlignment="1" applyProtection="1">
      <alignment horizontal="right"/>
    </xf>
    <xf numFmtId="43" fontId="37" fillId="0" borderId="18" xfId="1776" applyNumberFormat="1" applyFont="1" applyBorder="1" applyAlignment="1"/>
    <xf numFmtId="43" fontId="44" fillId="0" borderId="67" xfId="1776" applyNumberFormat="1" applyFont="1" applyBorder="1" applyAlignment="1"/>
    <xf numFmtId="43" fontId="44" fillId="0" borderId="0" xfId="1776" applyNumberFormat="1" applyFont="1" applyAlignment="1"/>
    <xf numFmtId="43" fontId="44" fillId="0" borderId="21" xfId="1776" applyNumberFormat="1" applyFont="1" applyBorder="1" applyAlignment="1"/>
    <xf numFmtId="43" fontId="44" fillId="0" borderId="16" xfId="1776" applyNumberFormat="1" applyFont="1" applyBorder="1" applyAlignment="1"/>
    <xf numFmtId="43" fontId="44" fillId="0" borderId="0" xfId="1776" applyNumberFormat="1" applyFont="1" applyBorder="1" applyAlignment="1"/>
    <xf numFmtId="39" fontId="44" fillId="0" borderId="0" xfId="1776" applyNumberFormat="1" applyFont="1" applyBorder="1"/>
    <xf numFmtId="43" fontId="93" fillId="0" borderId="0" xfId="1776" applyNumberFormat="1" applyFont="1" applyAlignment="1"/>
    <xf numFmtId="0" fontId="37" fillId="0" borderId="0" xfId="1776" applyNumberFormat="1" applyFont="1" applyAlignment="1">
      <alignment horizontal="left"/>
    </xf>
    <xf numFmtId="43" fontId="44" fillId="0" borderId="18" xfId="1776" applyNumberFormat="1" applyFont="1" applyBorder="1" applyAlignment="1"/>
    <xf numFmtId="43" fontId="37" fillId="0" borderId="20" xfId="1776" applyNumberFormat="1" applyFont="1" applyBorder="1" applyAlignment="1"/>
    <xf numFmtId="0" fontId="37" fillId="0" borderId="0" xfId="1776" applyFont="1" applyBorder="1"/>
    <xf numFmtId="43" fontId="37" fillId="0" borderId="0" xfId="1776" applyNumberFormat="1" applyFont="1"/>
    <xf numFmtId="0" fontId="44" fillId="0" borderId="0" xfId="1776" applyFont="1" applyBorder="1"/>
    <xf numFmtId="43" fontId="37" fillId="0" borderId="67" xfId="1776" applyNumberFormat="1" applyFont="1" applyBorder="1" applyAlignment="1"/>
    <xf numFmtId="39" fontId="37" fillId="0" borderId="18" xfId="1776" applyNumberFormat="1" applyFont="1" applyBorder="1" applyAlignment="1"/>
    <xf numFmtId="44" fontId="44" fillId="0" borderId="18" xfId="1776" applyNumberFormat="1" applyFont="1" applyBorder="1" applyAlignment="1"/>
    <xf numFmtId="39" fontId="37" fillId="0" borderId="36" xfId="1776" applyNumberFormat="1" applyFont="1" applyBorder="1" applyAlignment="1"/>
    <xf numFmtId="0" fontId="37" fillId="0" borderId="0" xfId="1776" quotePrefix="1" applyFont="1" applyAlignment="1">
      <alignment horizontal="left"/>
    </xf>
    <xf numFmtId="165" fontId="40" fillId="0" borderId="0" xfId="840" applyNumberFormat="1" applyFont="1" applyAlignment="1" applyProtection="1">
      <protection locked="0"/>
    </xf>
    <xf numFmtId="40" fontId="37" fillId="0" borderId="0" xfId="840" applyNumberFormat="1" applyFont="1" applyAlignment="1">
      <alignment horizontal="center"/>
    </xf>
    <xf numFmtId="191" fontId="37" fillId="0" borderId="0" xfId="11" applyNumberFormat="1" applyFont="1" applyAlignment="1">
      <alignment horizontal="center"/>
    </xf>
    <xf numFmtId="40" fontId="37" fillId="0" borderId="0" xfId="840" quotePrefix="1" applyNumberFormat="1" applyFont="1" applyAlignment="1">
      <alignment horizontal="center"/>
    </xf>
    <xf numFmtId="165" fontId="37" fillId="0" borderId="0" xfId="840" applyNumberFormat="1" applyFont="1" applyAlignment="1"/>
    <xf numFmtId="39" fontId="37" fillId="0" borderId="20" xfId="840" applyNumberFormat="1" applyFont="1" applyBorder="1" applyAlignment="1"/>
    <xf numFmtId="39" fontId="37" fillId="0" borderId="0" xfId="840" applyNumberFormat="1" applyFont="1" applyBorder="1" applyAlignment="1"/>
    <xf numFmtId="40" fontId="37" fillId="0" borderId="0" xfId="840" applyNumberFormat="1" applyFont="1" applyAlignment="1"/>
    <xf numFmtId="191" fontId="37" fillId="0" borderId="20" xfId="11" applyNumberFormat="1" applyFont="1" applyBorder="1" applyAlignment="1"/>
    <xf numFmtId="42" fontId="37" fillId="0" borderId="0" xfId="840" applyNumberFormat="1" applyFont="1" applyAlignment="1"/>
    <xf numFmtId="0" fontId="37" fillId="0" borderId="0" xfId="840" applyNumberFormat="1" applyFont="1" applyAlignment="1"/>
    <xf numFmtId="37" fontId="37" fillId="0" borderId="0" xfId="840" applyNumberFormat="1" applyFont="1" applyAlignment="1"/>
    <xf numFmtId="37" fontId="37" fillId="0" borderId="0" xfId="840" applyNumberFormat="1" applyFont="1" applyBorder="1" applyAlignment="1"/>
    <xf numFmtId="191" fontId="37" fillId="0" borderId="0" xfId="11" applyNumberFormat="1" applyFont="1" applyAlignment="1"/>
    <xf numFmtId="41" fontId="37" fillId="0" borderId="0" xfId="840" applyNumberFormat="1" applyFont="1" applyAlignment="1"/>
    <xf numFmtId="41" fontId="37" fillId="0" borderId="0" xfId="840" applyNumberFormat="1" applyFont="1" applyBorder="1" applyAlignment="1"/>
    <xf numFmtId="41" fontId="37" fillId="0" borderId="0" xfId="11" applyNumberFormat="1" applyFont="1" applyFill="1" applyAlignment="1"/>
    <xf numFmtId="41" fontId="37" fillId="0" borderId="0" xfId="840" quotePrefix="1" applyNumberFormat="1" applyFont="1" applyAlignment="1">
      <alignment horizontal="center"/>
    </xf>
    <xf numFmtId="41" fontId="37" fillId="0" borderId="0" xfId="840" quotePrefix="1" applyNumberFormat="1" applyFont="1" applyBorder="1" applyAlignment="1">
      <alignment horizontal="center"/>
    </xf>
    <xf numFmtId="41" fontId="37" fillId="0" borderId="0" xfId="840" applyNumberFormat="1" applyFont="1" applyAlignment="1">
      <alignment horizontal="center"/>
    </xf>
    <xf numFmtId="41" fontId="37" fillId="0" borderId="0" xfId="840" quotePrefix="1" applyNumberFormat="1" applyFont="1" applyAlignment="1"/>
    <xf numFmtId="41" fontId="37" fillId="0" borderId="0" xfId="840" applyNumberFormat="1" applyFont="1" applyAlignment="1">
      <alignment horizontal="right"/>
    </xf>
    <xf numFmtId="41" fontId="37" fillId="0" borderId="0" xfId="840" quotePrefix="1" applyNumberFormat="1" applyFont="1" applyAlignment="1">
      <alignment horizontal="right"/>
    </xf>
    <xf numFmtId="41" fontId="37" fillId="0" borderId="0" xfId="840" applyNumberFormat="1" applyFont="1" applyBorder="1" applyAlignment="1">
      <alignment horizontal="right"/>
    </xf>
    <xf numFmtId="41" fontId="37" fillId="0" borderId="0" xfId="11" applyNumberFormat="1" applyFont="1" applyAlignment="1"/>
    <xf numFmtId="41" fontId="37" fillId="0" borderId="0" xfId="840" applyNumberFormat="1" applyFont="1" applyFill="1" applyAlignment="1"/>
    <xf numFmtId="41" fontId="37" fillId="0" borderId="0" xfId="840" applyNumberFormat="1" applyFont="1" applyFill="1" applyBorder="1" applyAlignment="1"/>
    <xf numFmtId="37" fontId="37" fillId="0" borderId="0" xfId="840" applyNumberFormat="1" applyFont="1" applyFill="1" applyAlignment="1"/>
    <xf numFmtId="41" fontId="37" fillId="0" borderId="0" xfId="840" applyNumberFormat="1" applyFont="1" applyFill="1" applyAlignment="1">
      <alignment horizontal="right"/>
    </xf>
    <xf numFmtId="41" fontId="37" fillId="0" borderId="0" xfId="840" applyNumberFormat="1" applyFont="1" applyFill="1"/>
    <xf numFmtId="41" fontId="37" fillId="0" borderId="0" xfId="840" quotePrefix="1" applyNumberFormat="1" applyFont="1" applyFill="1" applyAlignment="1">
      <alignment horizontal="right"/>
    </xf>
    <xf numFmtId="41" fontId="37" fillId="0" borderId="0" xfId="840" quotePrefix="1" applyNumberFormat="1" applyFont="1" applyFill="1" applyAlignment="1">
      <alignment horizontal="center"/>
    </xf>
    <xf numFmtId="41" fontId="37" fillId="0" borderId="0" xfId="840" quotePrefix="1" applyNumberFormat="1" applyFont="1" applyFill="1" applyAlignment="1"/>
    <xf numFmtId="41" fontId="37" fillId="0" borderId="0" xfId="840" quotePrefix="1" applyNumberFormat="1" applyFont="1" applyFill="1" applyBorder="1" applyAlignment="1">
      <alignment horizontal="center"/>
    </xf>
    <xf numFmtId="41" fontId="37" fillId="0" borderId="19" xfId="840" quotePrefix="1" applyNumberFormat="1" applyFont="1" applyBorder="1" applyAlignment="1">
      <alignment horizontal="center"/>
    </xf>
    <xf numFmtId="41" fontId="37" fillId="0" borderId="19" xfId="840" quotePrefix="1" applyNumberFormat="1" applyFont="1" applyBorder="1" applyAlignment="1">
      <alignment horizontal="right"/>
    </xf>
    <xf numFmtId="41" fontId="37" fillId="0" borderId="19" xfId="840" applyNumberFormat="1" applyFont="1" applyBorder="1"/>
    <xf numFmtId="41" fontId="37" fillId="0" borderId="0" xfId="840" quotePrefix="1" applyNumberFormat="1" applyFont="1" applyBorder="1" applyAlignment="1">
      <alignment horizontal="right"/>
    </xf>
    <xf numFmtId="41" fontId="37" fillId="0" borderId="19" xfId="11" applyNumberFormat="1" applyFont="1" applyBorder="1" applyAlignment="1"/>
    <xf numFmtId="41" fontId="44" fillId="0" borderId="67" xfId="840" applyNumberFormat="1" applyFont="1" applyBorder="1" applyAlignment="1"/>
    <xf numFmtId="37" fontId="37" fillId="0" borderId="19" xfId="840" applyNumberFormat="1" applyFont="1" applyBorder="1" applyAlignment="1"/>
    <xf numFmtId="191" fontId="37" fillId="0" borderId="0" xfId="11" applyNumberFormat="1" applyFont="1" applyBorder="1" applyAlignment="1"/>
    <xf numFmtId="40" fontId="37" fillId="0" borderId="0" xfId="840" applyNumberFormat="1" applyFont="1" applyBorder="1" applyAlignment="1"/>
    <xf numFmtId="39" fontId="37" fillId="0" borderId="0" xfId="840" applyNumberFormat="1" applyFont="1" applyAlignment="1"/>
    <xf numFmtId="0" fontId="37" fillId="0" borderId="0" xfId="17" applyNumberFormat="1" applyFont="1" applyAlignment="1" applyProtection="1">
      <protection locked="0"/>
    </xf>
    <xf numFmtId="174" fontId="37" fillId="0" borderId="0" xfId="17" applyNumberFormat="1" applyFont="1" applyAlignment="1"/>
    <xf numFmtId="174" fontId="37" fillId="0" borderId="0" xfId="17" applyNumberFormat="1" applyFont="1" applyAlignment="1">
      <alignment horizontal="right"/>
    </xf>
    <xf numFmtId="174" fontId="37" fillId="0" borderId="0" xfId="17" applyNumberFormat="1" applyFont="1" applyFill="1" applyAlignment="1"/>
    <xf numFmtId="181" fontId="37" fillId="0" borderId="0" xfId="17" applyNumberFormat="1" applyFont="1" applyAlignment="1"/>
    <xf numFmtId="181" fontId="37" fillId="0" borderId="0" xfId="17" applyNumberFormat="1" applyFont="1" applyAlignment="1">
      <alignment horizontal="right"/>
    </xf>
    <xf numFmtId="181" fontId="37" fillId="0" borderId="0" xfId="17" applyNumberFormat="1" applyFont="1" applyFill="1" applyAlignment="1"/>
    <xf numFmtId="0" fontId="37" fillId="0" borderId="0" xfId="17" applyNumberFormat="1" applyFont="1" applyBorder="1" applyAlignment="1" applyProtection="1">
      <protection locked="0"/>
    </xf>
    <xf numFmtId="0" fontId="37" fillId="0" borderId="0" xfId="17" applyNumberFormat="1" applyFont="1" applyBorder="1" applyAlignment="1"/>
    <xf numFmtId="0" fontId="37" fillId="0" borderId="67" xfId="17" applyNumberFormat="1" applyFont="1" applyBorder="1" applyAlignment="1">
      <alignment horizontal="center"/>
    </xf>
    <xf numFmtId="170" fontId="37" fillId="0" borderId="0" xfId="17" applyNumberFormat="1" applyFont="1" applyBorder="1" applyAlignment="1"/>
    <xf numFmtId="174" fontId="37" fillId="0" borderId="0" xfId="1049" applyNumberFormat="1" applyFont="1" applyBorder="1" applyAlignment="1">
      <alignment horizontal="center"/>
    </xf>
    <xf numFmtId="170" fontId="37" fillId="0" borderId="0" xfId="17" applyNumberFormat="1" applyFont="1" applyBorder="1" applyAlignment="1" applyProtection="1">
      <protection locked="0"/>
    </xf>
    <xf numFmtId="170" fontId="37" fillId="0" borderId="0" xfId="17" applyNumberFormat="1" applyFont="1" applyBorder="1" applyAlignment="1">
      <alignment horizontal="right"/>
    </xf>
    <xf numFmtId="170" fontId="37" fillId="0" borderId="0" xfId="17" applyNumberFormat="1" applyFont="1" applyBorder="1" applyAlignment="1" applyProtection="1">
      <alignment horizontal="right"/>
      <protection locked="0"/>
    </xf>
    <xf numFmtId="170" fontId="37" fillId="0" borderId="0" xfId="17" applyNumberFormat="1" applyFont="1" applyBorder="1" applyAlignment="1" applyProtection="1">
      <alignment horizontal="right"/>
    </xf>
    <xf numFmtId="188" fontId="37" fillId="0" borderId="0" xfId="17" applyNumberFormat="1" applyFont="1" applyAlignment="1"/>
    <xf numFmtId="0" fontId="42" fillId="0" borderId="0" xfId="1045" applyFont="1" applyFill="1" applyBorder="1"/>
    <xf numFmtId="191" fontId="0" fillId="0" borderId="0" xfId="0" applyNumberFormat="1"/>
    <xf numFmtId="164" fontId="0" fillId="0" borderId="0" xfId="0" applyNumberFormat="1"/>
    <xf numFmtId="0" fontId="0" fillId="0" borderId="0" xfId="0" applyNumberFormat="1" applyAlignment="1"/>
    <xf numFmtId="0" fontId="49" fillId="0" borderId="0" xfId="1798" applyFont="1" applyAlignment="1">
      <alignment horizontal="left"/>
    </xf>
    <xf numFmtId="0" fontId="98" fillId="0" borderId="0" xfId="1798" applyFont="1"/>
    <xf numFmtId="0" fontId="49" fillId="0" borderId="0" xfId="1798" applyFont="1"/>
    <xf numFmtId="189" fontId="49" fillId="0" borderId="0" xfId="1798" applyNumberFormat="1" applyFont="1" applyBorder="1" applyAlignment="1"/>
    <xf numFmtId="189" fontId="49" fillId="0" borderId="0" xfId="1798" quotePrefix="1" applyNumberFormat="1" applyFont="1" applyAlignment="1">
      <alignment horizontal="right"/>
    </xf>
    <xf numFmtId="3" fontId="49" fillId="0" borderId="0" xfId="1798" quotePrefix="1" applyNumberFormat="1" applyFont="1" applyAlignment="1"/>
    <xf numFmtId="3" fontId="49" fillId="0" borderId="0" xfId="1798" quotePrefix="1" applyNumberFormat="1" applyFont="1" applyAlignment="1">
      <alignment horizontal="right"/>
    </xf>
    <xf numFmtId="3" fontId="49" fillId="0" borderId="0" xfId="1798" quotePrefix="1" applyNumberFormat="1" applyFont="1" applyAlignment="1">
      <alignment horizontal="center"/>
    </xf>
    <xf numFmtId="3" fontId="49" fillId="0" borderId="0" xfId="1798" quotePrefix="1" applyNumberFormat="1" applyFont="1" applyBorder="1" applyAlignment="1"/>
    <xf numFmtId="0" fontId="98" fillId="0" borderId="0" xfId="1798" applyFont="1" applyBorder="1"/>
    <xf numFmtId="3" fontId="49" fillId="0" borderId="0" xfId="1798" quotePrefix="1" applyNumberFormat="1" applyFont="1" applyBorder="1" applyAlignment="1">
      <alignment horizontal="center"/>
    </xf>
    <xf numFmtId="189" fontId="49" fillId="0" borderId="0" xfId="1798" applyNumberFormat="1" applyFont="1" applyBorder="1"/>
    <xf numFmtId="164" fontId="37" fillId="0" borderId="67" xfId="0" applyNumberFormat="1" applyFont="1" applyBorder="1" applyAlignment="1" applyProtection="1">
      <protection locked="0"/>
    </xf>
    <xf numFmtId="0" fontId="0" fillId="0" borderId="0" xfId="2" applyFont="1" applyBorder="1" applyAlignment="1">
      <alignment horizontal="right"/>
    </xf>
    <xf numFmtId="0" fontId="44" fillId="0" borderId="0" xfId="2" applyNumberFormat="1" applyFont="1" applyAlignment="1">
      <alignment horizontal="left"/>
    </xf>
    <xf numFmtId="0" fontId="67" fillId="0" borderId="0" xfId="1776" applyNumberFormat="1" applyFont="1" applyAlignment="1">
      <alignment horizontal="left"/>
    </xf>
    <xf numFmtId="170" fontId="39" fillId="0" borderId="67" xfId="2" quotePrefix="1" applyNumberFormat="1" applyFont="1" applyFill="1" applyBorder="1" applyAlignment="1">
      <alignment horizontal="center"/>
    </xf>
    <xf numFmtId="170" fontId="39" fillId="0" borderId="67" xfId="2" applyNumberFormat="1" applyFont="1" applyFill="1" applyBorder="1" applyAlignment="1"/>
    <xf numFmtId="174" fontId="42" fillId="0" borderId="0" xfId="4" applyNumberFormat="1" applyFont="1" applyFill="1"/>
    <xf numFmtId="0" fontId="114" fillId="0" borderId="0" xfId="1798" applyFont="1" applyAlignment="1">
      <alignment horizontal="center"/>
    </xf>
    <xf numFmtId="0" fontId="114" fillId="0" borderId="0" xfId="1798" applyFont="1" applyAlignment="1">
      <alignment horizontal="right"/>
    </xf>
    <xf numFmtId="170" fontId="37" fillId="0" borderId="0" xfId="2" quotePrefix="1" applyNumberFormat="1" applyFont="1" applyBorder="1" applyAlignment="1" applyProtection="1">
      <alignment horizontal="center"/>
      <protection locked="0"/>
    </xf>
    <xf numFmtId="170" fontId="48" fillId="0" borderId="0" xfId="0" quotePrefix="1" applyNumberFormat="1" applyFont="1" applyBorder="1" applyAlignment="1" applyProtection="1">
      <alignment horizontal="right"/>
      <protection locked="0"/>
    </xf>
    <xf numFmtId="170" fontId="48" fillId="0" borderId="0" xfId="0" quotePrefix="1" applyNumberFormat="1" applyFont="1" applyAlignment="1" applyProtection="1">
      <alignment horizontal="right"/>
      <protection locked="0"/>
    </xf>
    <xf numFmtId="170" fontId="48" fillId="0" borderId="0" xfId="0" quotePrefix="1" applyNumberFormat="1" applyFont="1" applyBorder="1" applyAlignment="1" applyProtection="1">
      <alignment horizontal="center"/>
      <protection locked="0"/>
    </xf>
    <xf numFmtId="170" fontId="48" fillId="0" borderId="0" xfId="0" quotePrefix="1" applyNumberFormat="1" applyFont="1" applyAlignment="1" applyProtection="1">
      <alignment horizontal="center"/>
      <protection locked="0"/>
    </xf>
    <xf numFmtId="170" fontId="48" fillId="0" borderId="0" xfId="0" quotePrefix="1" applyNumberFormat="1" applyFont="1" applyBorder="1" applyAlignment="1" applyProtection="1">
      <protection locked="0"/>
    </xf>
    <xf numFmtId="166" fontId="37" fillId="0" borderId="0" xfId="2" applyNumberFormat="1" applyFont="1" applyAlignment="1">
      <alignment horizontal="right"/>
    </xf>
    <xf numFmtId="170" fontId="48" fillId="0" borderId="0" xfId="0" applyNumberFormat="1" applyFont="1" applyAlignment="1" applyProtection="1">
      <alignment horizontal="right"/>
      <protection locked="0"/>
    </xf>
    <xf numFmtId="172" fontId="171" fillId="0" borderId="67" xfId="1940" applyNumberFormat="1" applyFont="1" applyBorder="1" applyAlignment="1"/>
    <xf numFmtId="165" fontId="64" fillId="0" borderId="0" xfId="2" applyNumberFormat="1" applyFont="1" applyAlignment="1">
      <alignment horizontal="center"/>
    </xf>
    <xf numFmtId="196" fontId="37" fillId="0" borderId="0" xfId="2" applyNumberFormat="1" applyFont="1" applyFill="1" applyAlignment="1" applyProtection="1">
      <protection locked="0"/>
    </xf>
    <xf numFmtId="39" fontId="67" fillId="0" borderId="0" xfId="1776" applyNumberFormat="1" applyFont="1" applyBorder="1" applyAlignment="1">
      <alignment horizontal="right" vertical="top"/>
    </xf>
    <xf numFmtId="0" fontId="67" fillId="0" borderId="0" xfId="1776" applyNumberFormat="1" applyFont="1" applyBorder="1" applyAlignment="1">
      <alignment horizontal="left"/>
    </xf>
    <xf numFmtId="0" fontId="44" fillId="0" borderId="0" xfId="1776" applyNumberFormat="1" applyFont="1" applyBorder="1" applyAlignment="1">
      <alignment horizontal="left" vertical="top"/>
    </xf>
    <xf numFmtId="0" fontId="67" fillId="0" borderId="0" xfId="1776" applyNumberFormat="1" applyFont="1" applyBorder="1" applyAlignment="1">
      <alignment horizontal="center"/>
    </xf>
    <xf numFmtId="39" fontId="40" fillId="0" borderId="0" xfId="1776" applyNumberFormat="1" applyFont="1" applyBorder="1" applyAlignment="1">
      <alignment horizontal="centerContinuous"/>
    </xf>
    <xf numFmtId="44" fontId="44" fillId="0" borderId="0" xfId="1776" applyNumberFormat="1" applyFont="1" applyBorder="1" applyAlignment="1"/>
    <xf numFmtId="39" fontId="67" fillId="0" borderId="0" xfId="1776" applyNumberFormat="1" applyFont="1" applyFill="1" applyBorder="1" applyAlignment="1">
      <alignment horizontal="right" vertical="top"/>
    </xf>
    <xf numFmtId="39" fontId="44" fillId="0" borderId="0" xfId="1776" applyNumberFormat="1" applyFont="1" applyFill="1" applyBorder="1" applyAlignment="1">
      <alignment horizontal="right" vertical="top"/>
    </xf>
    <xf numFmtId="0" fontId="62" fillId="0" borderId="0" xfId="1776" applyNumberFormat="1" applyFont="1" applyFill="1" applyAlignment="1">
      <alignment horizontal="left"/>
    </xf>
    <xf numFmtId="0" fontId="37" fillId="0" borderId="0" xfId="1776" applyNumberFormat="1" applyFont="1" applyFill="1" applyBorder="1" applyAlignment="1">
      <alignment horizontal="center"/>
    </xf>
    <xf numFmtId="0" fontId="85" fillId="0" borderId="0" xfId="841" applyFont="1" applyAlignment="1">
      <alignment horizontal="right"/>
    </xf>
    <xf numFmtId="39" fontId="43" fillId="0" borderId="0" xfId="1028" applyNumberFormat="1" applyFont="1" applyAlignment="1"/>
    <xf numFmtId="170" fontId="49" fillId="0" borderId="0" xfId="2" applyNumberFormat="1" applyFont="1" applyAlignment="1"/>
    <xf numFmtId="0" fontId="66" fillId="0" borderId="0" xfId="0" applyNumberFormat="1" applyFont="1" applyAlignment="1"/>
    <xf numFmtId="165" fontId="64" fillId="0" borderId="0" xfId="0" applyNumberFormat="1" applyFont="1" applyAlignment="1"/>
    <xf numFmtId="165" fontId="66" fillId="0" borderId="0" xfId="0" applyNumberFormat="1" applyFont="1" applyAlignment="1"/>
    <xf numFmtId="165" fontId="64" fillId="0" borderId="0" xfId="0" quotePrefix="1" applyNumberFormat="1" applyFont="1" applyBorder="1" applyAlignment="1">
      <alignment horizontal="center"/>
    </xf>
    <xf numFmtId="165" fontId="64" fillId="0" borderId="0" xfId="0" applyNumberFormat="1" applyFont="1" applyBorder="1" applyAlignment="1"/>
    <xf numFmtId="174" fontId="37" fillId="0" borderId="0" xfId="0" applyNumberFormat="1" applyFont="1" applyAlignment="1" applyProtection="1"/>
    <xf numFmtId="164" fontId="64" fillId="0" borderId="0" xfId="0" applyNumberFormat="1" applyFont="1" applyAlignment="1"/>
    <xf numFmtId="0" fontId="37" fillId="0" borderId="0" xfId="0" quotePrefix="1" applyNumberFormat="1" applyFont="1" applyAlignment="1">
      <alignment horizontal="center"/>
    </xf>
    <xf numFmtId="170" fontId="37" fillId="0" borderId="0" xfId="0" quotePrefix="1" applyNumberFormat="1" applyFont="1" applyBorder="1" applyAlignment="1" applyProtection="1">
      <alignment horizontal="center"/>
    </xf>
    <xf numFmtId="170" fontId="44" fillId="0" borderId="0" xfId="0" applyNumberFormat="1" applyFont="1" applyBorder="1" applyAlignment="1" applyProtection="1"/>
    <xf numFmtId="170" fontId="44" fillId="0" borderId="0" xfId="0" applyNumberFormat="1" applyFont="1" applyAlignment="1" applyProtection="1"/>
    <xf numFmtId="164" fontId="65" fillId="0" borderId="0" xfId="0" applyNumberFormat="1" applyFont="1" applyAlignment="1"/>
    <xf numFmtId="165" fontId="65" fillId="0" borderId="0" xfId="0" applyNumberFormat="1" applyFont="1" applyAlignment="1"/>
    <xf numFmtId="165" fontId="76" fillId="0" borderId="0" xfId="0" applyNumberFormat="1" applyFont="1" applyAlignment="1"/>
    <xf numFmtId="170" fontId="37" fillId="0" borderId="0" xfId="0" quotePrefix="1" applyNumberFormat="1" applyFont="1" applyAlignment="1" applyProtection="1">
      <alignment horizontal="right"/>
    </xf>
    <xf numFmtId="170" fontId="37" fillId="0" borderId="20" xfId="0" quotePrefix="1" applyNumberFormat="1" applyFont="1" applyBorder="1" applyAlignment="1" applyProtection="1">
      <alignment horizontal="center"/>
    </xf>
    <xf numFmtId="166" fontId="64" fillId="0" borderId="0" xfId="0" applyNumberFormat="1" applyFont="1" applyAlignment="1"/>
    <xf numFmtId="170" fontId="37" fillId="0" borderId="0" xfId="0" quotePrefix="1" applyNumberFormat="1" applyFont="1" applyAlignment="1" applyProtection="1"/>
    <xf numFmtId="9" fontId="42" fillId="0" borderId="0" xfId="2" applyNumberFormat="1" applyFont="1" applyAlignment="1"/>
    <xf numFmtId="172" fontId="39" fillId="0" borderId="0" xfId="0" applyNumberFormat="1" applyFont="1" applyBorder="1" applyAlignment="1" applyProtection="1">
      <protection locked="0"/>
    </xf>
    <xf numFmtId="166" fontId="44" fillId="0" borderId="67" xfId="0" applyNumberFormat="1" applyFont="1" applyFill="1" applyBorder="1" applyAlignment="1">
      <alignment horizontal="center"/>
    </xf>
    <xf numFmtId="170" fontId="44" fillId="0" borderId="0" xfId="2" applyNumberFormat="1" applyFont="1" applyFill="1" applyBorder="1" applyAlignment="1">
      <alignment horizontal="right"/>
    </xf>
    <xf numFmtId="174" fontId="44" fillId="0" borderId="0" xfId="6" applyNumberFormat="1" applyFont="1" applyFill="1" applyBorder="1" applyAlignment="1"/>
    <xf numFmtId="172" fontId="170" fillId="0" borderId="0" xfId="1940" applyNumberFormat="1" applyFont="1" applyAlignment="1"/>
    <xf numFmtId="174" fontId="44" fillId="0" borderId="35" xfId="2" quotePrefix="1" applyNumberFormat="1" applyFont="1" applyBorder="1" applyAlignment="1"/>
    <xf numFmtId="10" fontId="42" fillId="0" borderId="0" xfId="2" applyNumberFormat="1" applyFont="1" applyAlignment="1"/>
    <xf numFmtId="0" fontId="174" fillId="0" borderId="0" xfId="861" applyNumberFormat="1" applyFont="1" applyAlignment="1" applyProtection="1"/>
    <xf numFmtId="0" fontId="174" fillId="0" borderId="0" xfId="860" applyNumberFormat="1" applyFont="1" applyAlignment="1"/>
    <xf numFmtId="0" fontId="175" fillId="0" borderId="0" xfId="860" applyNumberFormat="1" applyFont="1" applyAlignment="1"/>
    <xf numFmtId="0" fontId="174" fillId="0" borderId="0" xfId="861" quotePrefix="1" applyNumberFormat="1" applyFont="1" applyBorder="1" applyAlignment="1" applyProtection="1">
      <alignment horizontal="left"/>
    </xf>
    <xf numFmtId="0" fontId="174" fillId="0" borderId="0" xfId="861" applyNumberFormat="1" applyFont="1" applyBorder="1" applyAlignment="1" applyProtection="1"/>
    <xf numFmtId="0" fontId="148" fillId="0" borderId="0" xfId="861" applyNumberFormat="1" applyAlignment="1" applyProtection="1"/>
    <xf numFmtId="170" fontId="0" fillId="0" borderId="0" xfId="2" applyNumberFormat="1" applyFont="1" applyFill="1" applyAlignment="1"/>
    <xf numFmtId="165" fontId="42" fillId="0" borderId="10" xfId="2" applyNumberFormat="1" applyFont="1" applyBorder="1" applyAlignment="1">
      <alignment horizontal="centerContinuous"/>
    </xf>
    <xf numFmtId="0" fontId="44" fillId="0" borderId="10" xfId="2" applyNumberFormat="1" applyFont="1" applyBorder="1" applyAlignment="1">
      <alignment horizontal="centerContinuous"/>
    </xf>
    <xf numFmtId="178" fontId="44" fillId="0" borderId="67" xfId="740" quotePrefix="1" applyNumberFormat="1" applyFont="1" applyBorder="1" applyAlignment="1">
      <alignment horizontal="center"/>
    </xf>
    <xf numFmtId="178" fontId="0" fillId="0" borderId="0" xfId="0" applyNumberFormat="1"/>
    <xf numFmtId="195" fontId="37" fillId="0" borderId="0" xfId="2" applyNumberFormat="1" applyFont="1" applyAlignment="1"/>
    <xf numFmtId="166" fontId="37" fillId="0" borderId="21" xfId="2" applyNumberFormat="1" applyFont="1" applyBorder="1" applyAlignment="1"/>
    <xf numFmtId="170" fontId="37" fillId="0" borderId="47" xfId="2" applyNumberFormat="1" applyFont="1" applyBorder="1" applyAlignment="1"/>
    <xf numFmtId="170" fontId="39" fillId="0" borderId="81" xfId="4" applyNumberFormat="1" applyFont="1" applyFill="1" applyBorder="1"/>
    <xf numFmtId="164" fontId="44" fillId="0" borderId="0" xfId="2" applyNumberFormat="1" applyFont="1" applyAlignment="1" applyProtection="1">
      <protection locked="0"/>
    </xf>
    <xf numFmtId="175" fontId="39" fillId="0" borderId="81" xfId="4" applyNumberFormat="1" applyFont="1" applyFill="1" applyBorder="1"/>
    <xf numFmtId="0" fontId="44" fillId="0" borderId="0" xfId="2" applyNumberFormat="1" applyFont="1" applyAlignment="1">
      <alignment horizontal="left"/>
    </xf>
    <xf numFmtId="174" fontId="37" fillId="0" borderId="18" xfId="2" applyNumberFormat="1" applyFont="1" applyBorder="1" applyAlignment="1">
      <alignment horizontal="right"/>
    </xf>
    <xf numFmtId="166" fontId="39" fillId="0" borderId="81" xfId="4" applyNumberFormat="1" applyFont="1" applyFill="1" applyBorder="1"/>
    <xf numFmtId="170" fontId="44" fillId="0" borderId="45" xfId="5" applyNumberFormat="1" applyFont="1" applyFill="1" applyBorder="1"/>
    <xf numFmtId="0" fontId="44" fillId="0" borderId="0" xfId="2" applyNumberFormat="1" applyFont="1" applyAlignment="1">
      <alignment horizontal="left"/>
    </xf>
    <xf numFmtId="174" fontId="166" fillId="0" borderId="13" xfId="2" applyNumberFormat="1" applyFont="1" applyFill="1" applyBorder="1" applyAlignment="1"/>
    <xf numFmtId="174" fontId="166" fillId="0" borderId="21" xfId="2" applyNumberFormat="1" applyFont="1" applyFill="1" applyBorder="1" applyAlignment="1"/>
    <xf numFmtId="174" fontId="166" fillId="0" borderId="0" xfId="2" applyNumberFormat="1" applyFont="1" applyFill="1" applyBorder="1"/>
    <xf numFmtId="174" fontId="167" fillId="0" borderId="15" xfId="2" applyNumberFormat="1" applyFont="1" applyFill="1" applyBorder="1"/>
    <xf numFmtId="178" fontId="37" fillId="0" borderId="0" xfId="740" applyNumberFormat="1" applyFont="1" applyFill="1" applyBorder="1" applyAlignment="1" applyProtection="1">
      <alignment horizontal="center"/>
    </xf>
    <xf numFmtId="178" fontId="37" fillId="0" borderId="0" xfId="0" applyNumberFormat="1" applyFont="1" applyFill="1" applyBorder="1" applyAlignment="1" applyProtection="1">
      <alignment horizontal="center"/>
    </xf>
    <xf numFmtId="178" fontId="42" fillId="0" borderId="0" xfId="0" applyNumberFormat="1" applyFont="1" applyFill="1" applyBorder="1" applyAlignment="1" applyProtection="1">
      <alignment horizontal="center"/>
    </xf>
    <xf numFmtId="178" fontId="37" fillId="0" borderId="0" xfId="0" applyNumberFormat="1" applyFont="1" applyFill="1" applyBorder="1" applyAlignment="1" applyProtection="1">
      <alignment horizontal="center" vertical="top"/>
    </xf>
    <xf numFmtId="170" fontId="37" fillId="0" borderId="10" xfId="0" applyNumberFormat="1" applyFont="1" applyFill="1" applyBorder="1" applyAlignment="1"/>
    <xf numFmtId="164" fontId="37" fillId="0" borderId="0" xfId="1940" applyNumberFormat="1" applyFont="1" applyAlignment="1"/>
    <xf numFmtId="164" fontId="44" fillId="0" borderId="67" xfId="1940" applyNumberFormat="1" applyFont="1" applyBorder="1" applyAlignment="1"/>
    <xf numFmtId="174" fontId="37" fillId="0" borderId="24" xfId="2" applyNumberFormat="1" applyFont="1" applyBorder="1" applyAlignment="1"/>
    <xf numFmtId="174" fontId="37" fillId="0" borderId="15" xfId="2" applyNumberFormat="1" applyFont="1" applyBorder="1" applyAlignment="1"/>
    <xf numFmtId="164" fontId="37" fillId="0" borderId="0" xfId="2" applyNumberFormat="1" applyFont="1" applyAlignment="1" applyProtection="1">
      <protection locked="0"/>
    </xf>
    <xf numFmtId="170" fontId="37" fillId="0" borderId="14" xfId="2" applyNumberFormat="1" applyFont="1" applyBorder="1" applyAlignment="1"/>
    <xf numFmtId="170" fontId="37" fillId="0" borderId="21" xfId="2" applyNumberFormat="1" applyFont="1" applyBorder="1" applyAlignment="1"/>
    <xf numFmtId="170" fontId="37" fillId="0" borderId="18" xfId="2" applyNumberFormat="1" applyFont="1" applyBorder="1"/>
    <xf numFmtId="170" fontId="37" fillId="0" borderId="15" xfId="2" applyNumberFormat="1" applyFont="1" applyBorder="1" applyAlignment="1"/>
    <xf numFmtId="43" fontId="37" fillId="0" borderId="0" xfId="2" applyNumberFormat="1" applyFont="1" applyBorder="1" applyAlignment="1"/>
    <xf numFmtId="170" fontId="37" fillId="0" borderId="25" xfId="2" applyNumberFormat="1" applyFont="1" applyBorder="1" applyAlignment="1"/>
    <xf numFmtId="175" fontId="37" fillId="0" borderId="0" xfId="2" applyNumberFormat="1" applyFont="1" applyBorder="1" applyAlignment="1"/>
    <xf numFmtId="170" fontId="37" fillId="0" borderId="13" xfId="2" applyNumberFormat="1" applyFont="1" applyBorder="1" applyAlignment="1"/>
    <xf numFmtId="170" fontId="37" fillId="0" borderId="0" xfId="2" quotePrefix="1" applyNumberFormat="1" applyFont="1" applyBorder="1" applyAlignment="1"/>
    <xf numFmtId="170" fontId="37" fillId="0" borderId="12" xfId="2" quotePrefix="1" applyNumberFormat="1" applyFont="1" applyBorder="1" applyAlignment="1">
      <alignment horizontal="center"/>
    </xf>
    <xf numFmtId="170" fontId="37" fillId="0" borderId="18" xfId="2" applyNumberFormat="1" applyFont="1" applyBorder="1" applyAlignment="1"/>
    <xf numFmtId="170" fontId="37" fillId="0" borderId="15" xfId="2" quotePrefix="1" applyNumberFormat="1" applyFont="1" applyBorder="1" applyAlignment="1">
      <alignment horizontal="right"/>
    </xf>
    <xf numFmtId="170" fontId="37" fillId="0" borderId="13" xfId="2" quotePrefix="1" applyNumberFormat="1" applyFont="1" applyBorder="1" applyAlignment="1">
      <alignment horizontal="right"/>
    </xf>
    <xf numFmtId="170" fontId="37" fillId="0" borderId="15" xfId="2" quotePrefix="1" applyNumberFormat="1" applyFont="1" applyBorder="1" applyAlignment="1"/>
    <xf numFmtId="170" fontId="37" fillId="0" borderId="67" xfId="2" quotePrefix="1" applyNumberFormat="1" applyFont="1" applyBorder="1" applyAlignment="1">
      <alignment horizontal="center"/>
    </xf>
    <xf numFmtId="170" fontId="37" fillId="0" borderId="10" xfId="2" quotePrefix="1" applyNumberFormat="1" applyFont="1" applyBorder="1" applyAlignment="1">
      <alignment horizontal="center"/>
    </xf>
    <xf numFmtId="170" fontId="37" fillId="0" borderId="31" xfId="2" applyNumberFormat="1" applyFont="1" applyBorder="1" applyAlignment="1"/>
    <xf numFmtId="175" fontId="37" fillId="0" borderId="0" xfId="2" quotePrefix="1" applyNumberFormat="1" applyFont="1" applyBorder="1" applyAlignment="1">
      <alignment horizontal="right"/>
    </xf>
    <xf numFmtId="169" fontId="37" fillId="0" borderId="36" xfId="2" applyNumberFormat="1" applyFont="1" applyBorder="1" applyAlignment="1"/>
    <xf numFmtId="168" fontId="37" fillId="0" borderId="0" xfId="2" applyNumberFormat="1" applyFont="1" applyBorder="1" applyAlignment="1" applyProtection="1">
      <protection locked="0"/>
    </xf>
    <xf numFmtId="168" fontId="37" fillId="0" borderId="0" xfId="2" applyNumberFormat="1" applyFont="1" applyAlignment="1" applyProtection="1">
      <protection locked="0"/>
    </xf>
    <xf numFmtId="170" fontId="37" fillId="0" borderId="19" xfId="2" applyNumberFormat="1" applyFont="1" applyBorder="1" applyAlignment="1"/>
    <xf numFmtId="168" fontId="37" fillId="0" borderId="0" xfId="2" applyNumberFormat="1" applyFont="1" applyAlignment="1"/>
    <xf numFmtId="165" fontId="37" fillId="0" borderId="0" xfId="2" applyNumberFormat="1" applyFont="1" applyBorder="1" applyAlignment="1"/>
    <xf numFmtId="168" fontId="37" fillId="0" borderId="0" xfId="2" applyNumberFormat="1" applyFont="1" applyFill="1" applyBorder="1" applyAlignment="1"/>
    <xf numFmtId="164" fontId="44" fillId="0" borderId="16" xfId="2" applyNumberFormat="1" applyFont="1" applyFill="1" applyBorder="1" applyAlignment="1"/>
    <xf numFmtId="164" fontId="37" fillId="0" borderId="19" xfId="2" applyNumberFormat="1" applyFont="1" applyBorder="1" applyAlignment="1"/>
    <xf numFmtId="169" fontId="43" fillId="0" borderId="0" xfId="2" applyNumberFormat="1" applyFont="1" applyBorder="1" applyAlignment="1"/>
    <xf numFmtId="170" fontId="37" fillId="0" borderId="10" xfId="2" applyNumberFormat="1" applyFont="1" applyBorder="1" applyAlignment="1"/>
    <xf numFmtId="164" fontId="44" fillId="0" borderId="45" xfId="2" quotePrefix="1" applyNumberFormat="1" applyFont="1" applyBorder="1" applyAlignment="1"/>
    <xf numFmtId="164" fontId="44" fillId="0" borderId="10" xfId="2" quotePrefix="1" applyNumberFormat="1" applyFont="1" applyBorder="1" applyAlignment="1">
      <alignment horizontal="right"/>
    </xf>
    <xf numFmtId="170" fontId="43" fillId="0" borderId="0" xfId="2" applyNumberFormat="1" applyFont="1" applyBorder="1" applyAlignment="1"/>
    <xf numFmtId="164" fontId="37" fillId="0" borderId="20" xfId="2" applyNumberFormat="1" applyFont="1" applyBorder="1" applyAlignment="1"/>
    <xf numFmtId="164" fontId="37" fillId="0" borderId="0" xfId="0" applyNumberFormat="1" applyFont="1" applyProtection="1">
      <protection locked="0"/>
    </xf>
    <xf numFmtId="164" fontId="37" fillId="0" borderId="16" xfId="0" applyNumberFormat="1" applyFont="1" applyBorder="1" applyProtection="1">
      <protection locked="0"/>
    </xf>
    <xf numFmtId="172" fontId="37" fillId="0" borderId="0" xfId="2" applyNumberFormat="1" applyFont="1" applyAlignment="1"/>
    <xf numFmtId="170" fontId="37" fillId="0" borderId="19" xfId="2" applyNumberFormat="1" applyFont="1" applyBorder="1" applyAlignment="1">
      <alignment horizontal="right"/>
    </xf>
    <xf numFmtId="165" fontId="37" fillId="0" borderId="0" xfId="2" applyNumberFormat="1" applyFont="1" applyAlignment="1">
      <alignment horizontal="right"/>
    </xf>
    <xf numFmtId="165" fontId="37" fillId="0" borderId="0" xfId="2" applyNumberFormat="1" applyFont="1" applyBorder="1" applyAlignment="1">
      <alignment horizontal="right"/>
    </xf>
    <xf numFmtId="178" fontId="37" fillId="0" borderId="0" xfId="0" applyNumberFormat="1" applyFont="1" applyAlignment="1">
      <alignment horizontal="center"/>
    </xf>
    <xf numFmtId="172" fontId="44" fillId="0" borderId="67" xfId="0" applyNumberFormat="1" applyFont="1" applyBorder="1" applyAlignment="1" applyProtection="1">
      <protection locked="0"/>
    </xf>
    <xf numFmtId="164" fontId="62" fillId="0" borderId="0" xfId="1940" applyNumberFormat="1" applyFont="1" applyAlignment="1"/>
    <xf numFmtId="170" fontId="67" fillId="0" borderId="67" xfId="2" applyNumberFormat="1" applyFont="1" applyBorder="1" applyAlignment="1"/>
    <xf numFmtId="170" fontId="62" fillId="0" borderId="67" xfId="2" applyNumberFormat="1" applyFont="1" applyBorder="1" applyAlignment="1"/>
    <xf numFmtId="164" fontId="37" fillId="0" borderId="67" xfId="1940" applyNumberFormat="1" applyFont="1" applyBorder="1" applyAlignment="1"/>
    <xf numFmtId="39" fontId="37" fillId="0" borderId="0" xfId="2" applyNumberFormat="1" applyFont="1" applyBorder="1"/>
    <xf numFmtId="174" fontId="37" fillId="0" borderId="0" xfId="2" quotePrefix="1" applyNumberFormat="1" applyFont="1" applyFill="1" applyAlignment="1"/>
    <xf numFmtId="170" fontId="37" fillId="0" borderId="21" xfId="2" applyNumberFormat="1" applyFont="1" applyFill="1" applyBorder="1" applyAlignment="1"/>
    <xf numFmtId="174" fontId="37" fillId="0" borderId="77" xfId="2" applyNumberFormat="1" applyFont="1" applyFill="1" applyBorder="1" applyAlignment="1"/>
    <xf numFmtId="174" fontId="37" fillId="0" borderId="15" xfId="2" applyNumberFormat="1" applyFont="1" applyFill="1" applyBorder="1" applyAlignment="1">
      <alignment horizontal="right"/>
    </xf>
    <xf numFmtId="170" fontId="37" fillId="0" borderId="13" xfId="1" applyNumberFormat="1" applyFont="1" applyFill="1" applyBorder="1" applyAlignment="1"/>
    <xf numFmtId="170" fontId="37" fillId="0" borderId="0" xfId="1" applyNumberFormat="1" applyFont="1" applyFill="1" applyBorder="1" applyAlignment="1"/>
    <xf numFmtId="170" fontId="37" fillId="0" borderId="0" xfId="1" applyNumberFormat="1" applyFont="1" applyFill="1" applyAlignment="1">
      <alignment horizontal="right"/>
    </xf>
    <xf numFmtId="170" fontId="37" fillId="0" borderId="15" xfId="1" applyNumberFormat="1" applyFont="1" applyFill="1" applyBorder="1" applyAlignment="1">
      <alignment horizontal="right"/>
    </xf>
    <xf numFmtId="172" fontId="37" fillId="0" borderId="0" xfId="0" applyNumberFormat="1" applyFont="1" applyBorder="1" applyAlignment="1" applyProtection="1">
      <protection locked="0"/>
    </xf>
    <xf numFmtId="174" fontId="37" fillId="0" borderId="18" xfId="2" applyNumberFormat="1" applyFont="1" applyBorder="1" applyAlignment="1"/>
    <xf numFmtId="174" fontId="37" fillId="0" borderId="0" xfId="2" quotePrefix="1" applyNumberFormat="1" applyFont="1" applyFill="1" applyAlignment="1">
      <alignment horizontal="center"/>
    </xf>
    <xf numFmtId="170" fontId="39" fillId="0" borderId="10" xfId="2" applyNumberFormat="1" applyFont="1" applyFill="1" applyBorder="1" applyAlignment="1">
      <alignment horizontal="right"/>
    </xf>
    <xf numFmtId="0" fontId="67" fillId="0" borderId="0" xfId="2" applyNumberFormat="1" applyFont="1" applyFill="1" applyAlignment="1" applyProtection="1">
      <alignment horizontal="left" vertical="justify"/>
      <protection locked="0"/>
    </xf>
    <xf numFmtId="0" fontId="44" fillId="0" borderId="10" xfId="2" applyFont="1" applyFill="1" applyBorder="1" applyAlignment="1" applyProtection="1">
      <alignment horizontal="center"/>
      <protection locked="0"/>
    </xf>
    <xf numFmtId="0" fontId="44" fillId="0" borderId="10" xfId="2" applyFont="1" applyFill="1" applyBorder="1" applyAlignment="1">
      <alignment horizontal="center"/>
    </xf>
    <xf numFmtId="174" fontId="37" fillId="0" borderId="0" xfId="0" quotePrefix="1" applyNumberFormat="1" applyFont="1" applyAlignment="1" applyProtection="1">
      <alignment horizontal="right"/>
      <protection locked="0"/>
    </xf>
    <xf numFmtId="170" fontId="37" fillId="0" borderId="0" xfId="0" applyNumberFormat="1" applyFont="1" applyBorder="1" applyAlignment="1" applyProtection="1">
      <alignment horizontal="center"/>
    </xf>
    <xf numFmtId="170" fontId="37" fillId="0" borderId="0" xfId="0" applyNumberFormat="1" applyFont="1" applyFill="1" applyAlignment="1" applyProtection="1">
      <alignment horizontal="center"/>
    </xf>
    <xf numFmtId="170" fontId="37" fillId="0" borderId="0" xfId="0" applyNumberFormat="1" applyFont="1" applyFill="1" applyBorder="1" applyAlignment="1" applyProtection="1"/>
    <xf numFmtId="170" fontId="37" fillId="0" borderId="0" xfId="0" applyNumberFormat="1" applyFont="1" applyAlignment="1" applyProtection="1">
      <alignment horizontal="right"/>
    </xf>
    <xf numFmtId="174" fontId="37" fillId="0" borderId="0" xfId="0" applyNumberFormat="1" applyFont="1" applyAlignment="1" applyProtection="1">
      <alignment horizontal="right"/>
    </xf>
    <xf numFmtId="170" fontId="44" fillId="0" borderId="16" xfId="0" applyNumberFormat="1" applyFont="1" applyBorder="1" applyAlignment="1" applyProtection="1">
      <alignment horizontal="center"/>
    </xf>
    <xf numFmtId="170" fontId="37" fillId="0" borderId="0" xfId="0" applyNumberFormat="1" applyFont="1" applyBorder="1" applyAlignment="1" applyProtection="1">
      <alignment horizontal="right"/>
    </xf>
    <xf numFmtId="170" fontId="39" fillId="0" borderId="0" xfId="0" applyNumberFormat="1" applyFont="1" applyFill="1" applyBorder="1" applyAlignment="1" applyProtection="1"/>
    <xf numFmtId="167" fontId="39" fillId="0" borderId="0" xfId="0" applyNumberFormat="1" applyFont="1" applyFill="1" applyBorder="1" applyAlignment="1" applyProtection="1"/>
    <xf numFmtId="164" fontId="39" fillId="0" borderId="0" xfId="0" applyNumberFormat="1" applyFont="1" applyBorder="1" applyAlignment="1" applyProtection="1"/>
    <xf numFmtId="164" fontId="39" fillId="0" borderId="67" xfId="0" applyNumberFormat="1" applyFont="1" applyBorder="1" applyAlignment="1" applyProtection="1"/>
    <xf numFmtId="172" fontId="44" fillId="0" borderId="10" xfId="0" applyNumberFormat="1" applyFont="1" applyBorder="1" applyAlignment="1" applyProtection="1"/>
    <xf numFmtId="165" fontId="39" fillId="0" borderId="0" xfId="0" applyNumberFormat="1" applyFont="1" applyBorder="1" applyAlignment="1" applyProtection="1"/>
    <xf numFmtId="173" fontId="39" fillId="0" borderId="0" xfId="0" applyNumberFormat="1" applyFont="1" applyBorder="1" applyAlignment="1" applyProtection="1"/>
    <xf numFmtId="164" fontId="44" fillId="0" borderId="0" xfId="0" applyNumberFormat="1" applyFont="1" applyBorder="1" applyAlignment="1" applyProtection="1"/>
    <xf numFmtId="164" fontId="37" fillId="0" borderId="0" xfId="2" applyNumberFormat="1" applyFont="1" applyAlignment="1" applyProtection="1"/>
    <xf numFmtId="164" fontId="44" fillId="0" borderId="72" xfId="2" applyNumberFormat="1" applyFont="1" applyBorder="1" applyAlignment="1" applyProtection="1"/>
    <xf numFmtId="165" fontId="37" fillId="0" borderId="0" xfId="2" applyNumberFormat="1" applyFont="1" applyAlignment="1" applyProtection="1"/>
    <xf numFmtId="164" fontId="44" fillId="0" borderId="16" xfId="2" applyNumberFormat="1" applyFont="1" applyBorder="1" applyAlignment="1" applyProtection="1"/>
    <xf numFmtId="164" fontId="44" fillId="0" borderId="10" xfId="2" applyNumberFormat="1" applyFont="1" applyBorder="1" applyAlignment="1" applyProtection="1"/>
    <xf numFmtId="170" fontId="37" fillId="0" borderId="10" xfId="0" applyNumberFormat="1" applyFont="1" applyBorder="1" applyProtection="1"/>
    <xf numFmtId="164" fontId="44" fillId="0" borderId="67" xfId="2" applyNumberFormat="1" applyFont="1" applyBorder="1" applyAlignment="1" applyProtection="1"/>
    <xf numFmtId="164" fontId="44" fillId="0" borderId="82" xfId="2" applyNumberFormat="1" applyFont="1" applyBorder="1" applyAlignment="1" applyProtection="1"/>
    <xf numFmtId="0" fontId="44" fillId="0" borderId="0" xfId="2" applyFont="1" applyFill="1" applyBorder="1" applyAlignment="1" applyProtection="1">
      <alignment horizontal="center"/>
      <protection locked="0"/>
    </xf>
    <xf numFmtId="164" fontId="37" fillId="0" borderId="0" xfId="0" applyNumberFormat="1" applyFont="1" applyBorder="1" applyAlignment="1" applyProtection="1"/>
    <xf numFmtId="170" fontId="60" fillId="0" borderId="0" xfId="2" applyNumberFormat="1" applyFont="1" applyAlignment="1" applyProtection="1"/>
    <xf numFmtId="166" fontId="60" fillId="0" borderId="0" xfId="2" applyNumberFormat="1" applyFont="1" applyAlignment="1" applyProtection="1"/>
    <xf numFmtId="164" fontId="37" fillId="0" borderId="67" xfId="0" applyNumberFormat="1" applyFont="1" applyBorder="1" applyAlignment="1" applyProtection="1"/>
    <xf numFmtId="164" fontId="44" fillId="0" borderId="16" xfId="0" applyNumberFormat="1" applyFont="1" applyBorder="1" applyAlignment="1" applyProtection="1"/>
    <xf numFmtId="170" fontId="37" fillId="0" borderId="0" xfId="2" applyNumberFormat="1" applyFont="1" applyAlignment="1" applyProtection="1"/>
    <xf numFmtId="170" fontId="44" fillId="0" borderId="0" xfId="2" applyNumberFormat="1" applyFont="1" applyBorder="1" applyAlignment="1" applyProtection="1"/>
    <xf numFmtId="164" fontId="44" fillId="0" borderId="45" xfId="2" applyNumberFormat="1" applyFont="1" applyBorder="1" applyAlignment="1" applyProtection="1"/>
    <xf numFmtId="172" fontId="37" fillId="0" borderId="0" xfId="2" applyNumberFormat="1" applyFont="1" applyAlignment="1" applyProtection="1"/>
    <xf numFmtId="164" fontId="44" fillId="0" borderId="0" xfId="2" applyNumberFormat="1" applyFont="1" applyBorder="1" applyAlignment="1" applyProtection="1"/>
    <xf numFmtId="164" fontId="37" fillId="0" borderId="19" xfId="2" applyNumberFormat="1" applyFont="1" applyBorder="1" applyAlignment="1" applyProtection="1"/>
    <xf numFmtId="164" fontId="37" fillId="0" borderId="0" xfId="2" applyNumberFormat="1" applyFont="1" applyBorder="1" applyAlignment="1" applyProtection="1"/>
    <xf numFmtId="164" fontId="44" fillId="0" borderId="17" xfId="2" applyNumberFormat="1" applyFont="1" applyBorder="1" applyAlignment="1" applyProtection="1"/>
    <xf numFmtId="164" fontId="37" fillId="0" borderId="0" xfId="2" applyNumberFormat="1" applyFont="1" applyFill="1" applyBorder="1" applyAlignment="1" applyProtection="1"/>
    <xf numFmtId="164" fontId="42" fillId="0" borderId="0" xfId="2" applyNumberFormat="1" applyFont="1" applyAlignment="1" applyProtection="1"/>
    <xf numFmtId="164" fontId="44" fillId="0" borderId="16" xfId="2" applyNumberFormat="1" applyFont="1" applyBorder="1" applyAlignment="1" applyProtection="1">
      <alignment horizontal="right"/>
    </xf>
    <xf numFmtId="164" fontId="37" fillId="0" borderId="67" xfId="2" applyNumberFormat="1" applyFont="1" applyBorder="1" applyAlignment="1" applyProtection="1">
      <alignment horizontal="right"/>
    </xf>
    <xf numFmtId="164" fontId="37" fillId="0" borderId="0" xfId="2" applyNumberFormat="1" applyFont="1" applyBorder="1" applyAlignment="1" applyProtection="1">
      <alignment horizontal="right"/>
    </xf>
    <xf numFmtId="164" fontId="44" fillId="0" borderId="67" xfId="2" applyNumberFormat="1" applyFont="1" applyBorder="1" applyAlignment="1" applyProtection="1">
      <alignment horizontal="right"/>
    </xf>
    <xf numFmtId="164" fontId="37" fillId="0" borderId="0" xfId="2" applyNumberFormat="1" applyFont="1" applyAlignment="1" applyProtection="1">
      <alignment horizontal="right"/>
    </xf>
    <xf numFmtId="164" fontId="44" fillId="0" borderId="10" xfId="2" applyNumberFormat="1" applyFont="1" applyBorder="1" applyAlignment="1" applyProtection="1">
      <alignment horizontal="right"/>
    </xf>
    <xf numFmtId="164" fontId="37" fillId="0" borderId="19" xfId="2" applyNumberFormat="1" applyFont="1" applyBorder="1" applyAlignment="1" applyProtection="1">
      <alignment horizontal="right"/>
    </xf>
    <xf numFmtId="0" fontId="39" fillId="0" borderId="0" xfId="4" applyFont="1" applyFill="1" applyProtection="1"/>
    <xf numFmtId="164" fontId="44" fillId="0" borderId="45" xfId="0" applyNumberFormat="1" applyFont="1" applyBorder="1" applyAlignment="1" applyProtection="1"/>
    <xf numFmtId="0" fontId="39" fillId="0" borderId="0" xfId="4" applyFont="1" applyFill="1" applyBorder="1" applyProtection="1"/>
    <xf numFmtId="164" fontId="44" fillId="0" borderId="67" xfId="0" applyNumberFormat="1" applyFont="1" applyBorder="1" applyAlignment="1" applyProtection="1"/>
    <xf numFmtId="164" fontId="39" fillId="0" borderId="0" xfId="4" applyNumberFormat="1" applyFont="1" applyFill="1" applyProtection="1"/>
    <xf numFmtId="170" fontId="39" fillId="0" borderId="0" xfId="2" applyNumberFormat="1" applyFont="1" applyAlignment="1" applyProtection="1"/>
    <xf numFmtId="175" fontId="39" fillId="0" borderId="0" xfId="4" applyNumberFormat="1" applyFont="1" applyFill="1" applyProtection="1"/>
    <xf numFmtId="170" fontId="44" fillId="0" borderId="45" xfId="2" applyNumberFormat="1" applyFont="1" applyFill="1" applyBorder="1" applyAlignment="1" applyProtection="1"/>
    <xf numFmtId="170" fontId="44" fillId="0" borderId="0" xfId="2" applyNumberFormat="1" applyFont="1" applyAlignment="1" applyProtection="1"/>
    <xf numFmtId="170" fontId="44" fillId="0" borderId="0" xfId="2" applyNumberFormat="1" applyFont="1" applyFill="1" applyBorder="1" applyAlignment="1" applyProtection="1"/>
    <xf numFmtId="166" fontId="39" fillId="0" borderId="0" xfId="2" applyNumberFormat="1" applyFont="1" applyAlignment="1" applyProtection="1"/>
    <xf numFmtId="0" fontId="0" fillId="0" borderId="0" xfId="2" applyFont="1" applyBorder="1" applyProtection="1"/>
    <xf numFmtId="172" fontId="39" fillId="0" borderId="0" xfId="0" applyNumberFormat="1" applyFont="1" applyBorder="1" applyAlignment="1" applyProtection="1"/>
    <xf numFmtId="164" fontId="0" fillId="0" borderId="0" xfId="2" applyNumberFormat="1" applyFont="1" applyBorder="1" applyProtection="1"/>
    <xf numFmtId="172" fontId="44" fillId="0" borderId="67" xfId="0" applyNumberFormat="1" applyFont="1" applyBorder="1" applyAlignment="1" applyProtection="1"/>
    <xf numFmtId="164" fontId="0" fillId="0" borderId="19" xfId="2" applyNumberFormat="1" applyFont="1" applyBorder="1" applyAlignment="1" applyProtection="1">
      <alignment horizontal="center"/>
    </xf>
    <xf numFmtId="166" fontId="39" fillId="0" borderId="20" xfId="2" applyNumberFormat="1" applyFont="1" applyBorder="1" applyAlignment="1" applyProtection="1"/>
    <xf numFmtId="0" fontId="171" fillId="0" borderId="0" xfId="2" applyNumberFormat="1" applyFont="1" applyAlignment="1" applyProtection="1"/>
    <xf numFmtId="0" fontId="37" fillId="0" borderId="0" xfId="1028" quotePrefix="1" applyNumberFormat="1" applyFont="1" applyAlignment="1">
      <alignment horizontal="center"/>
    </xf>
    <xf numFmtId="0" fontId="37" fillId="0" borderId="0" xfId="1028" quotePrefix="1" applyNumberFormat="1" applyFont="1" applyFill="1" applyBorder="1" applyAlignment="1">
      <alignment horizontal="center"/>
    </xf>
    <xf numFmtId="0" fontId="37" fillId="0" borderId="0" xfId="1028" quotePrefix="1" applyNumberFormat="1" applyFont="1" applyFill="1" applyAlignment="1">
      <alignment horizontal="center"/>
    </xf>
    <xf numFmtId="43" fontId="44" fillId="0" borderId="35" xfId="1028" applyNumberFormat="1" applyFont="1" applyBorder="1" applyAlignment="1" applyProtection="1">
      <alignment horizontal="right"/>
    </xf>
    <xf numFmtId="43" fontId="44" fillId="0" borderId="0" xfId="1028" applyNumberFormat="1" applyFont="1" applyBorder="1" applyAlignment="1" applyProtection="1">
      <alignment horizontal="right"/>
    </xf>
    <xf numFmtId="43" fontId="44" fillId="0" borderId="0" xfId="0" applyNumberFormat="1" applyFont="1" applyBorder="1" applyAlignment="1" applyProtection="1">
      <alignment horizontal="right"/>
    </xf>
    <xf numFmtId="44" fontId="44" fillId="0" borderId="35" xfId="1767" applyNumberFormat="1" applyFont="1" applyFill="1" applyBorder="1" applyAlignment="1" applyProtection="1">
      <alignment horizontal="right"/>
    </xf>
    <xf numFmtId="0" fontId="102" fillId="0" borderId="0" xfId="0" applyNumberFormat="1" applyFont="1" applyProtection="1"/>
    <xf numFmtId="0" fontId="67" fillId="0" borderId="0" xfId="2" applyNumberFormat="1" applyFont="1" applyFill="1" applyAlignment="1" applyProtection="1">
      <alignment horizontal="left"/>
    </xf>
    <xf numFmtId="0" fontId="67" fillId="0" borderId="0" xfId="2" quotePrefix="1" applyNumberFormat="1" applyFont="1" applyFill="1" applyAlignment="1" applyProtection="1">
      <alignment horizontal="left"/>
    </xf>
    <xf numFmtId="41" fontId="37" fillId="0" borderId="0" xfId="739" applyNumberFormat="1" applyFont="1" applyBorder="1" applyAlignment="1" applyProtection="1"/>
    <xf numFmtId="172" fontId="44" fillId="0" borderId="35" xfId="2" applyNumberFormat="1" applyFont="1" applyBorder="1" applyAlignment="1"/>
    <xf numFmtId="165" fontId="0" fillId="0" borderId="0" xfId="2" quotePrefix="1" applyNumberFormat="1" applyFont="1" applyAlignment="1">
      <alignment horizontal="left"/>
    </xf>
    <xf numFmtId="170" fontId="0" fillId="0" borderId="0" xfId="0" applyNumberFormat="1" applyAlignment="1" applyProtection="1">
      <alignment horizontal="right"/>
      <protection locked="0"/>
    </xf>
    <xf numFmtId="172" fontId="170" fillId="0" borderId="35" xfId="1940" applyNumberFormat="1" applyFont="1" applyBorder="1" applyAlignment="1"/>
    <xf numFmtId="166" fontId="49" fillId="0" borderId="0" xfId="8" applyNumberFormat="1" applyFont="1" applyFill="1" applyAlignment="1">
      <alignment horizontal="right"/>
    </xf>
    <xf numFmtId="197" fontId="39" fillId="0" borderId="0" xfId="2" applyNumberFormat="1" applyFont="1" applyAlignment="1"/>
    <xf numFmtId="170" fontId="44" fillId="0" borderId="0" xfId="0" applyNumberFormat="1" applyFont="1" applyFill="1" applyBorder="1" applyAlignment="1" applyProtection="1"/>
    <xf numFmtId="172" fontId="37" fillId="0" borderId="0" xfId="0" applyNumberFormat="1" applyFont="1" applyBorder="1" applyAlignment="1" applyProtection="1"/>
    <xf numFmtId="165" fontId="37" fillId="0" borderId="0" xfId="2" quotePrefix="1" applyNumberFormat="1" applyFont="1" applyAlignment="1">
      <alignment horizontal="left"/>
    </xf>
    <xf numFmtId="170" fontId="39" fillId="0" borderId="85" xfId="2" applyNumberFormat="1" applyFont="1" applyFill="1" applyBorder="1" applyAlignment="1"/>
    <xf numFmtId="170" fontId="39" fillId="0" borderId="85" xfId="2" applyNumberFormat="1" applyFont="1" applyBorder="1" applyAlignment="1">
      <alignment horizontal="center"/>
    </xf>
    <xf numFmtId="195" fontId="0" fillId="0" borderId="0" xfId="2" applyNumberFormat="1" applyFont="1" applyAlignment="1"/>
    <xf numFmtId="0" fontId="166" fillId="0" borderId="0" xfId="2" applyNumberFormat="1" applyFont="1" applyAlignment="1"/>
    <xf numFmtId="0" fontId="37" fillId="0" borderId="0" xfId="1776" applyFont="1" applyAlignment="1"/>
    <xf numFmtId="0" fontId="37" fillId="0" borderId="0" xfId="1776" applyFill="1" applyAlignment="1"/>
    <xf numFmtId="170" fontId="37" fillId="0" borderId="85" xfId="2" applyNumberFormat="1" applyFont="1" applyFill="1" applyBorder="1" applyAlignment="1"/>
    <xf numFmtId="170" fontId="39" fillId="0" borderId="85" xfId="4" applyNumberFormat="1" applyFont="1" applyFill="1" applyBorder="1"/>
    <xf numFmtId="170" fontId="44" fillId="0" borderId="43" xfId="2" applyNumberFormat="1" applyFont="1" applyFill="1" applyBorder="1" applyAlignment="1"/>
    <xf numFmtId="170" fontId="44" fillId="0" borderId="43" xfId="2" applyNumberFormat="1" applyFont="1" applyBorder="1" applyAlignment="1"/>
    <xf numFmtId="170" fontId="37" fillId="0" borderId="67" xfId="2" applyNumberFormat="1" applyFont="1" applyFill="1" applyBorder="1" applyAlignment="1">
      <alignment horizontal="right"/>
    </xf>
    <xf numFmtId="170" fontId="44" fillId="0" borderId="20" xfId="2" applyNumberFormat="1" applyFont="1" applyFill="1" applyBorder="1" applyAlignment="1"/>
    <xf numFmtId="170" fontId="37" fillId="0" borderId="0" xfId="2" applyNumberFormat="1" applyFont="1" applyFill="1" applyBorder="1"/>
    <xf numFmtId="174" fontId="44" fillId="0" borderId="35" xfId="2" applyNumberFormat="1" applyFont="1" applyFill="1" applyBorder="1" applyAlignment="1"/>
    <xf numFmtId="172" fontId="37" fillId="0" borderId="67" xfId="0" applyNumberFormat="1" applyFont="1" applyBorder="1" applyAlignment="1" applyProtection="1">
      <protection locked="0"/>
    </xf>
    <xf numFmtId="170" fontId="37" fillId="0" borderId="0" xfId="4" applyNumberFormat="1" applyFont="1" applyFill="1" applyAlignment="1">
      <alignment horizontal="right" vertical="top"/>
    </xf>
    <xf numFmtId="170" fontId="0" fillId="0" borderId="0" xfId="2" applyNumberFormat="1" applyFont="1" applyAlignment="1">
      <alignment vertical="top"/>
    </xf>
    <xf numFmtId="170" fontId="0" fillId="0" borderId="84" xfId="2" applyNumberFormat="1" applyFont="1" applyBorder="1" applyAlignment="1">
      <alignment horizontal="center"/>
    </xf>
    <xf numFmtId="170" fontId="0" fillId="0" borderId="0" xfId="2" applyNumberFormat="1" applyFont="1" applyAlignment="1">
      <alignment horizontal="center"/>
    </xf>
    <xf numFmtId="170" fontId="180" fillId="0" borderId="0" xfId="2" applyNumberFormat="1" applyFont="1" applyAlignment="1"/>
    <xf numFmtId="170" fontId="180" fillId="0" borderId="67" xfId="2" applyNumberFormat="1" applyFont="1" applyBorder="1" applyAlignment="1"/>
    <xf numFmtId="170" fontId="180" fillId="0" borderId="0" xfId="2" applyNumberFormat="1" applyFont="1" applyAlignment="1">
      <alignment horizontal="center"/>
    </xf>
    <xf numFmtId="170" fontId="180" fillId="0" borderId="67" xfId="2" applyNumberFormat="1" applyFont="1" applyBorder="1" applyAlignment="1">
      <alignment horizontal="center"/>
    </xf>
    <xf numFmtId="198" fontId="64" fillId="0" borderId="0" xfId="2" applyNumberFormat="1" applyFont="1" applyAlignment="1"/>
    <xf numFmtId="43" fontId="44" fillId="0" borderId="0" xfId="0" applyNumberFormat="1" applyFont="1" applyAlignment="1" applyProtection="1">
      <alignment horizontal="right"/>
    </xf>
    <xf numFmtId="43" fontId="44" fillId="0" borderId="35" xfId="0" applyNumberFormat="1" applyFont="1" applyBorder="1" applyAlignment="1" applyProtection="1">
      <alignment horizontal="right"/>
    </xf>
    <xf numFmtId="43" fontId="37" fillId="0" borderId="0" xfId="0" applyNumberFormat="1" applyFont="1" applyAlignment="1" applyProtection="1">
      <alignment horizontal="right"/>
    </xf>
    <xf numFmtId="42" fontId="157" fillId="0" borderId="0" xfId="5488" applyNumberFormat="1" applyFont="1" applyFill="1" applyAlignment="1">
      <alignment horizontal="right"/>
    </xf>
    <xf numFmtId="41" fontId="157" fillId="0" borderId="0" xfId="5488" applyNumberFormat="1" applyFont="1" applyFill="1" applyAlignment="1">
      <alignment horizontal="right"/>
    </xf>
    <xf numFmtId="172" fontId="44" fillId="0" borderId="0" xfId="0" applyNumberFormat="1" applyFont="1" applyBorder="1" applyAlignment="1" applyProtection="1"/>
    <xf numFmtId="172" fontId="44" fillId="0" borderId="0" xfId="0" applyNumberFormat="1" applyFont="1" applyBorder="1" applyAlignment="1" applyProtection="1">
      <protection locked="0"/>
    </xf>
    <xf numFmtId="166" fontId="37" fillId="35" borderId="0" xfId="0" applyNumberFormat="1" applyFont="1" applyFill="1" applyBorder="1" applyAlignment="1">
      <alignment horizontal="left"/>
    </xf>
    <xf numFmtId="41" fontId="49" fillId="0" borderId="0" xfId="1798" applyNumberFormat="1" applyFont="1" applyBorder="1" applyAlignment="1">
      <alignment horizontal="center"/>
    </xf>
    <xf numFmtId="42" fontId="114" fillId="0" borderId="0" xfId="8" applyNumberFormat="1" applyFont="1" applyBorder="1"/>
    <xf numFmtId="0" fontId="49" fillId="0" borderId="0" xfId="8" applyFont="1" applyAlignment="1"/>
    <xf numFmtId="0" fontId="49" fillId="0" borderId="0" xfId="8" applyFont="1"/>
    <xf numFmtId="0" fontId="49" fillId="0" borderId="0" xfId="8" applyFont="1" applyAlignment="1">
      <alignment horizontal="left"/>
    </xf>
    <xf numFmtId="0" fontId="98" fillId="0" borderId="0" xfId="8" applyFont="1"/>
    <xf numFmtId="0" fontId="140" fillId="0" borderId="0" xfId="8" applyFont="1" applyAlignment="1">
      <alignment horizontal="left"/>
    </xf>
    <xf numFmtId="0" fontId="140" fillId="0" borderId="0" xfId="8" applyFont="1"/>
    <xf numFmtId="0" fontId="37" fillId="0" borderId="0" xfId="8" applyFont="1"/>
    <xf numFmtId="0" fontId="37" fillId="0" borderId="0" xfId="8" applyFont="1" applyAlignment="1"/>
    <xf numFmtId="0" fontId="140" fillId="0" borderId="0" xfId="8" applyFont="1" applyAlignment="1"/>
    <xf numFmtId="3" fontId="49" fillId="0" borderId="0" xfId="8" quotePrefix="1" applyNumberFormat="1" applyFont="1" applyAlignment="1">
      <alignment horizontal="right"/>
    </xf>
    <xf numFmtId="41" fontId="42" fillId="0" borderId="0" xfId="1773" applyNumberFormat="1" applyFont="1" applyFill="1"/>
    <xf numFmtId="41" fontId="43" fillId="0" borderId="0" xfId="1773" applyNumberFormat="1" applyFont="1" applyFill="1" applyBorder="1" applyAlignment="1">
      <alignment horizontal="center" wrapText="1"/>
    </xf>
    <xf numFmtId="41" fontId="43" fillId="0" borderId="0" xfId="1773" applyNumberFormat="1" applyFont="1" applyBorder="1" applyAlignment="1">
      <alignment horizontal="center" wrapText="1"/>
    </xf>
    <xf numFmtId="41" fontId="43" fillId="0" borderId="67" xfId="1773" applyNumberFormat="1" applyFont="1" applyFill="1" applyBorder="1" applyAlignment="1">
      <alignment horizontal="center" wrapText="1"/>
    </xf>
    <xf numFmtId="191" fontId="43" fillId="0" borderId="0" xfId="1773" applyNumberFormat="1" applyFont="1" applyBorder="1" applyAlignment="1">
      <alignment horizontal="center" wrapText="1"/>
    </xf>
    <xf numFmtId="191" fontId="42" fillId="0" borderId="0" xfId="1773" applyNumberFormat="1" applyFont="1" applyBorder="1" applyAlignment="1">
      <alignment horizontal="center" wrapText="1"/>
    </xf>
    <xf numFmtId="0" fontId="37" fillId="0" borderId="0" xfId="2" applyFont="1" applyAlignment="1">
      <alignment horizontal="left"/>
    </xf>
    <xf numFmtId="178" fontId="48" fillId="0" borderId="0" xfId="740" applyNumberFormat="1" applyFont="1" applyFill="1" applyAlignment="1">
      <alignment horizontal="center"/>
    </xf>
    <xf numFmtId="178" fontId="185" fillId="0" borderId="0" xfId="740" applyNumberFormat="1" applyFont="1" applyFill="1" applyAlignment="1"/>
    <xf numFmtId="0" fontId="66" fillId="0" borderId="0" xfId="1776" applyNumberFormat="1" applyFont="1" applyAlignment="1"/>
    <xf numFmtId="165" fontId="37" fillId="0" borderId="0" xfId="0" applyNumberFormat="1" applyFont="1" applyFill="1" applyAlignment="1" applyProtection="1">
      <protection locked="0"/>
    </xf>
    <xf numFmtId="170" fontId="44" fillId="0" borderId="16" xfId="0" quotePrefix="1" applyNumberFormat="1" applyFont="1" applyBorder="1" applyAlignment="1" applyProtection="1">
      <alignment horizontal="right"/>
    </xf>
    <xf numFmtId="172" fontId="44" fillId="0" borderId="0" xfId="1940" applyNumberFormat="1" applyFont="1" applyBorder="1" applyAlignment="1" applyProtection="1"/>
    <xf numFmtId="165" fontId="42" fillId="0" borderId="0" xfId="0" applyNumberFormat="1" applyFont="1" applyAlignment="1">
      <alignment horizontal="left"/>
    </xf>
    <xf numFmtId="165" fontId="42" fillId="0" borderId="0" xfId="0" applyNumberFormat="1" applyFont="1" applyAlignment="1">
      <alignment horizontal="centerContinuous"/>
    </xf>
    <xf numFmtId="165" fontId="67" fillId="0" borderId="0" xfId="0" quotePrefix="1" applyNumberFormat="1" applyFont="1" applyAlignment="1">
      <alignment horizontal="left"/>
    </xf>
    <xf numFmtId="165" fontId="37" fillId="0" borderId="0" xfId="0" applyNumberFormat="1" applyFont="1" applyAlignment="1">
      <alignment horizontal="centerContinuous"/>
    </xf>
    <xf numFmtId="165" fontId="44" fillId="0" borderId="0" xfId="0" applyNumberFormat="1" applyFont="1" applyAlignment="1">
      <alignment horizontal="centerContinuous"/>
    </xf>
    <xf numFmtId="165" fontId="67" fillId="0" borderId="0" xfId="0" applyNumberFormat="1" applyFont="1" applyAlignment="1">
      <alignment horizontal="left"/>
    </xf>
    <xf numFmtId="165" fontId="44" fillId="0" borderId="0" xfId="0" applyNumberFormat="1" applyFont="1" applyAlignment="1">
      <alignment horizontal="right"/>
    </xf>
    <xf numFmtId="165" fontId="67" fillId="0" borderId="0" xfId="0" quotePrefix="1" applyNumberFormat="1" applyFont="1" applyAlignment="1">
      <alignment horizontal="right"/>
    </xf>
    <xf numFmtId="165" fontId="44" fillId="0" borderId="0" xfId="0" applyNumberFormat="1" applyFont="1" applyBorder="1" applyAlignment="1">
      <alignment horizontal="centerContinuous"/>
    </xf>
    <xf numFmtId="165" fontId="64" fillId="0" borderId="0" xfId="0" applyNumberFormat="1" applyFont="1" applyAlignment="1">
      <alignment horizontal="centerContinuous"/>
    </xf>
    <xf numFmtId="165" fontId="44" fillId="0" borderId="0" xfId="0" quotePrefix="1" applyNumberFormat="1" applyFont="1" applyAlignment="1">
      <alignment horizontal="centerContinuous"/>
    </xf>
    <xf numFmtId="165" fontId="44" fillId="0" borderId="67" xfId="0" applyNumberFormat="1" applyFont="1" applyBorder="1" applyAlignment="1">
      <alignment horizontal="centerContinuous"/>
    </xf>
    <xf numFmtId="165" fontId="37" fillId="0" borderId="67" xfId="0" applyNumberFormat="1" applyFont="1" applyBorder="1" applyAlignment="1">
      <alignment horizontal="centerContinuous"/>
    </xf>
    <xf numFmtId="165" fontId="44" fillId="0" borderId="67" xfId="0" quotePrefix="1" applyNumberFormat="1" applyFont="1" applyBorder="1" applyAlignment="1"/>
    <xf numFmtId="165" fontId="37" fillId="0" borderId="67" xfId="0" applyNumberFormat="1" applyFont="1" applyBorder="1" applyAlignment="1"/>
    <xf numFmtId="165" fontId="44" fillId="0" borderId="84" xfId="0" applyNumberFormat="1" applyFont="1" applyBorder="1" applyAlignment="1">
      <alignment horizontal="center"/>
    </xf>
    <xf numFmtId="165" fontId="44" fillId="0" borderId="84" xfId="0" quotePrefix="1" applyNumberFormat="1" applyFont="1" applyBorder="1" applyAlignment="1" applyProtection="1">
      <alignment horizontal="center"/>
      <protection locked="0"/>
    </xf>
    <xf numFmtId="0" fontId="44" fillId="0" borderId="84" xfId="0" applyNumberFormat="1" applyFont="1" applyBorder="1" applyAlignment="1" applyProtection="1">
      <alignment horizontal="center"/>
      <protection locked="0"/>
    </xf>
    <xf numFmtId="165" fontId="44" fillId="0" borderId="84" xfId="0" applyNumberFormat="1" applyFont="1" applyBorder="1" applyAlignment="1" applyProtection="1">
      <alignment horizontal="center"/>
    </xf>
    <xf numFmtId="0" fontId="44" fillId="0" borderId="84" xfId="0" applyNumberFormat="1" applyFont="1" applyBorder="1" applyAlignment="1" applyProtection="1">
      <alignment horizontal="center"/>
    </xf>
    <xf numFmtId="165" fontId="44" fillId="0" borderId="0" xfId="0" applyNumberFormat="1" applyFont="1" applyBorder="1" applyAlignment="1">
      <alignment horizontal="center"/>
    </xf>
    <xf numFmtId="165" fontId="44" fillId="0" borderId="0" xfId="0" applyNumberFormat="1" applyFont="1" applyBorder="1" applyAlignment="1" applyProtection="1">
      <alignment horizontal="center"/>
    </xf>
    <xf numFmtId="165" fontId="44" fillId="0" borderId="86" xfId="0" applyNumberFormat="1" applyFont="1" applyBorder="1" applyAlignment="1">
      <alignment horizontal="center"/>
    </xf>
    <xf numFmtId="165" fontId="44" fillId="0" borderId="84" xfId="0" quotePrefix="1" applyNumberFormat="1" applyFont="1" applyBorder="1" applyAlignment="1">
      <alignment horizontal="center"/>
    </xf>
    <xf numFmtId="0" fontId="44" fillId="0" borderId="84" xfId="0" applyNumberFormat="1" applyFont="1" applyBorder="1" applyAlignment="1">
      <alignment horizontal="center"/>
    </xf>
    <xf numFmtId="0" fontId="44" fillId="0" borderId="67" xfId="0" quotePrefix="1" applyNumberFormat="1" applyFont="1" applyBorder="1" applyAlignment="1" applyProtection="1">
      <alignment horizontal="center"/>
      <protection locked="0"/>
    </xf>
    <xf numFmtId="0" fontId="44" fillId="0" borderId="0" xfId="0" quotePrefix="1" applyNumberFormat="1" applyFont="1" applyBorder="1" applyAlignment="1" applyProtection="1">
      <alignment horizontal="center"/>
      <protection locked="0"/>
    </xf>
    <xf numFmtId="0" fontId="44" fillId="0" borderId="67" xfId="0" quotePrefix="1" applyNumberFormat="1" applyFont="1" applyBorder="1" applyAlignment="1" applyProtection="1">
      <alignment horizontal="center"/>
    </xf>
    <xf numFmtId="0" fontId="44" fillId="0" borderId="0" xfId="0" applyNumberFormat="1" applyFont="1" applyAlignment="1" applyProtection="1">
      <alignment horizontal="center"/>
    </xf>
    <xf numFmtId="0" fontId="44" fillId="0" borderId="0" xfId="0" applyNumberFormat="1" applyFont="1" applyBorder="1" applyAlignment="1" applyProtection="1">
      <alignment horizontal="center"/>
    </xf>
    <xf numFmtId="165" fontId="44" fillId="0" borderId="0" xfId="0" applyNumberFormat="1" applyFont="1" applyAlignment="1">
      <alignment horizontal="center"/>
    </xf>
    <xf numFmtId="0" fontId="44" fillId="0" borderId="0" xfId="0" quotePrefix="1" applyNumberFormat="1" applyFont="1" applyAlignment="1" applyProtection="1">
      <alignment horizontal="center"/>
      <protection locked="0"/>
    </xf>
    <xf numFmtId="0" fontId="44" fillId="0" borderId="0" xfId="0" quotePrefix="1" applyNumberFormat="1" applyFont="1" applyBorder="1" applyAlignment="1" applyProtection="1">
      <alignment horizontal="center"/>
    </xf>
    <xf numFmtId="165" fontId="37" fillId="0" borderId="21" xfId="0" applyNumberFormat="1" applyFont="1" applyBorder="1" applyAlignment="1"/>
    <xf numFmtId="165" fontId="37" fillId="0" borderId="84" xfId="0" applyNumberFormat="1" applyFont="1" applyBorder="1" applyAlignment="1"/>
    <xf numFmtId="165" fontId="37" fillId="0" borderId="14" xfId="0" applyNumberFormat="1" applyFont="1" applyBorder="1" applyAlignment="1"/>
    <xf numFmtId="165" fontId="37" fillId="34" borderId="0" xfId="0" applyNumberFormat="1" applyFont="1" applyFill="1" applyAlignment="1"/>
    <xf numFmtId="165" fontId="66" fillId="0" borderId="0" xfId="0" applyNumberFormat="1" applyFont="1" applyBorder="1" applyAlignment="1"/>
    <xf numFmtId="0" fontId="44" fillId="0" borderId="0" xfId="0" applyNumberFormat="1" applyFont="1" applyAlignment="1"/>
    <xf numFmtId="0" fontId="37" fillId="0" borderId="0" xfId="0" applyNumberFormat="1" applyFont="1" applyAlignment="1"/>
    <xf numFmtId="174" fontId="37" fillId="0" borderId="0" xfId="0" applyNumberFormat="1" applyFont="1" applyBorder="1" applyAlignment="1" applyProtection="1">
      <protection locked="0"/>
    </xf>
    <xf numFmtId="174" fontId="37" fillId="0" borderId="21" xfId="0" applyNumberFormat="1" applyFont="1" applyBorder="1" applyAlignment="1" applyProtection="1">
      <protection locked="0"/>
    </xf>
    <xf numFmtId="174" fontId="37" fillId="0" borderId="18" xfId="0" applyNumberFormat="1" applyFont="1" applyBorder="1" applyAlignment="1" applyProtection="1">
      <protection locked="0"/>
    </xf>
    <xf numFmtId="174" fontId="37" fillId="0" borderId="0" xfId="0" quotePrefix="1" applyNumberFormat="1" applyFont="1" applyBorder="1" applyAlignment="1"/>
    <xf numFmtId="174" fontId="37" fillId="0" borderId="0" xfId="0" quotePrefix="1" applyNumberFormat="1" applyFont="1" applyBorder="1" applyAlignment="1">
      <alignment horizontal="left"/>
    </xf>
    <xf numFmtId="174" fontId="37" fillId="0" borderId="14" xfId="0" applyNumberFormat="1" applyFont="1" applyBorder="1" applyAlignment="1" applyProtection="1">
      <protection locked="0"/>
    </xf>
    <xf numFmtId="174" fontId="37" fillId="0" borderId="0" xfId="0" quotePrefix="1" applyNumberFormat="1" applyFont="1" applyBorder="1" applyAlignment="1" applyProtection="1">
      <protection locked="0"/>
    </xf>
    <xf numFmtId="174" fontId="37" fillId="34" borderId="0" xfId="0" applyNumberFormat="1" applyFont="1" applyFill="1" applyAlignment="1"/>
    <xf numFmtId="174" fontId="37" fillId="0" borderId="0" xfId="0" quotePrefix="1" applyNumberFormat="1" applyFont="1" applyBorder="1" applyAlignment="1" applyProtection="1"/>
    <xf numFmtId="164" fontId="37" fillId="0" borderId="0" xfId="0" quotePrefix="1" applyNumberFormat="1" applyFont="1" applyBorder="1" applyAlignment="1" applyProtection="1"/>
    <xf numFmtId="0" fontId="37" fillId="0" borderId="0" xfId="0" quotePrefix="1" applyNumberFormat="1" applyFont="1" applyAlignment="1">
      <alignment horizontal="left"/>
    </xf>
    <xf numFmtId="170" fontId="37" fillId="0" borderId="0" xfId="0" quotePrefix="1" applyNumberFormat="1" applyFont="1" applyBorder="1" applyAlignment="1" applyProtection="1">
      <protection locked="0"/>
    </xf>
    <xf numFmtId="170" fontId="37" fillId="0" borderId="21" xfId="0" applyNumberFormat="1" applyFont="1" applyBorder="1" applyAlignment="1" applyProtection="1">
      <protection locked="0"/>
    </xf>
    <xf numFmtId="170" fontId="37" fillId="0" borderId="0" xfId="0" quotePrefix="1" applyNumberFormat="1" applyFont="1" applyBorder="1" applyAlignment="1"/>
    <xf numFmtId="170" fontId="37" fillId="0" borderId="0" xfId="0" quotePrefix="1" applyNumberFormat="1" applyFont="1" applyBorder="1" applyAlignment="1">
      <alignment horizontal="left"/>
    </xf>
    <xf numFmtId="170" fontId="37" fillId="0" borderId="14" xfId="0" applyNumberFormat="1" applyFont="1" applyBorder="1" applyAlignment="1"/>
    <xf numFmtId="170" fontId="37" fillId="34" borderId="0" xfId="0" applyNumberFormat="1" applyFont="1" applyFill="1" applyAlignment="1"/>
    <xf numFmtId="170" fontId="37" fillId="0" borderId="0" xfId="0" quotePrefix="1" applyNumberFormat="1" applyFont="1" applyBorder="1" applyAlignment="1" applyProtection="1"/>
    <xf numFmtId="166" fontId="37" fillId="0" borderId="0" xfId="0" quotePrefix="1" applyNumberFormat="1" applyFont="1" applyBorder="1" applyAlignment="1" applyProtection="1">
      <alignment horizontal="center"/>
      <protection locked="0"/>
    </xf>
    <xf numFmtId="164" fontId="64" fillId="0" borderId="0" xfId="0" applyNumberFormat="1" applyFont="1" applyAlignment="1" applyProtection="1"/>
    <xf numFmtId="170" fontId="37" fillId="0" borderId="0" xfId="0" quotePrefix="1" applyNumberFormat="1" applyFont="1" applyBorder="1" applyAlignment="1" applyProtection="1">
      <alignment horizontal="right"/>
      <protection locked="0"/>
    </xf>
    <xf numFmtId="170" fontId="37" fillId="0" borderId="67" xfId="0" applyNumberFormat="1" applyFont="1" applyBorder="1" applyAlignment="1" applyProtection="1"/>
    <xf numFmtId="170" fontId="37" fillId="0" borderId="67" xfId="0" quotePrefix="1" applyNumberFormat="1" applyFont="1" applyBorder="1" applyAlignment="1" applyProtection="1"/>
    <xf numFmtId="164" fontId="64" fillId="0" borderId="67" xfId="0" quotePrefix="1" applyNumberFormat="1" applyFont="1" applyBorder="1" applyAlignment="1" applyProtection="1">
      <alignment horizontal="right"/>
    </xf>
    <xf numFmtId="170" fontId="44" fillId="0" borderId="87" xfId="0" applyNumberFormat="1" applyFont="1" applyBorder="1" applyAlignment="1" applyProtection="1"/>
    <xf numFmtId="170" fontId="44" fillId="0" borderId="0" xfId="0" quotePrefix="1" applyNumberFormat="1" applyFont="1" applyBorder="1" applyAlignment="1" applyProtection="1">
      <protection locked="0"/>
    </xf>
    <xf numFmtId="170" fontId="44" fillId="0" borderId="21" xfId="0" applyNumberFormat="1" applyFont="1" applyBorder="1" applyAlignment="1"/>
    <xf numFmtId="170" fontId="44" fillId="0" borderId="84" xfId="0" quotePrefix="1" applyNumberFormat="1" applyFont="1" applyBorder="1" applyAlignment="1"/>
    <xf numFmtId="170" fontId="44" fillId="0" borderId="0" xfId="0" quotePrefix="1" applyNumberFormat="1" applyFont="1" applyBorder="1" applyAlignment="1">
      <alignment horizontal="left"/>
    </xf>
    <xf numFmtId="170" fontId="44" fillId="0" borderId="14" xfId="0" applyNumberFormat="1" applyFont="1" applyBorder="1" applyAlignment="1"/>
    <xf numFmtId="170" fontId="44" fillId="0" borderId="0" xfId="0" quotePrefix="1" applyNumberFormat="1" applyFont="1" applyBorder="1" applyAlignment="1"/>
    <xf numFmtId="170" fontId="44" fillId="34" borderId="0" xfId="0" applyNumberFormat="1" applyFont="1" applyFill="1" applyAlignment="1"/>
    <xf numFmtId="170" fontId="44" fillId="0" borderId="67" xfId="0" quotePrefix="1" applyNumberFormat="1" applyFont="1" applyBorder="1" applyAlignment="1" applyProtection="1"/>
    <xf numFmtId="164" fontId="65" fillId="0" borderId="67" xfId="0" applyNumberFormat="1" applyFont="1" applyBorder="1" applyAlignment="1" applyProtection="1"/>
    <xf numFmtId="170" fontId="37" fillId="0" borderId="0" xfId="0" quotePrefix="1" applyNumberFormat="1" applyFont="1" applyBorder="1" applyAlignment="1" applyProtection="1">
      <alignment horizontal="right"/>
    </xf>
    <xf numFmtId="170" fontId="37" fillId="0" borderId="84" xfId="0" quotePrefix="1" applyNumberFormat="1" applyFont="1" applyBorder="1" applyAlignment="1" applyProtection="1">
      <alignment horizontal="center"/>
    </xf>
    <xf numFmtId="170" fontId="37" fillId="0" borderId="84" xfId="0" quotePrefix="1" applyNumberFormat="1" applyFont="1" applyBorder="1" applyAlignment="1" applyProtection="1">
      <alignment horizontal="center"/>
      <protection locked="0"/>
    </xf>
    <xf numFmtId="170" fontId="37" fillId="0" borderId="21" xfId="0" applyNumberFormat="1" applyFont="1" applyBorder="1" applyAlignment="1"/>
    <xf numFmtId="170" fontId="37" fillId="0" borderId="84" xfId="0" quotePrefix="1" applyNumberFormat="1" applyFont="1" applyBorder="1" applyAlignment="1" applyProtection="1">
      <alignment horizontal="right"/>
    </xf>
    <xf numFmtId="164" fontId="64" fillId="0" borderId="67" xfId="0" applyNumberFormat="1" applyFont="1" applyBorder="1" applyAlignment="1" applyProtection="1"/>
    <xf numFmtId="0" fontId="44" fillId="0" borderId="0" xfId="0" quotePrefix="1" applyNumberFormat="1" applyFont="1" applyAlignment="1">
      <alignment horizontal="left"/>
    </xf>
    <xf numFmtId="170" fontId="44" fillId="0" borderId="84" xfId="0" applyNumberFormat="1" applyFont="1" applyBorder="1" applyAlignment="1" applyProtection="1"/>
    <xf numFmtId="170" fontId="44" fillId="0" borderId="88" xfId="0" applyNumberFormat="1" applyFont="1" applyBorder="1" applyAlignment="1" applyProtection="1"/>
    <xf numFmtId="164" fontId="65" fillId="0" borderId="88" xfId="0" applyNumberFormat="1" applyFont="1" applyBorder="1" applyAlignment="1" applyProtection="1"/>
    <xf numFmtId="170" fontId="37" fillId="0" borderId="84" xfId="0" applyNumberFormat="1" applyFont="1" applyBorder="1" applyAlignment="1" applyProtection="1"/>
    <xf numFmtId="170" fontId="37" fillId="0" borderId="84" xfId="0" applyNumberFormat="1" applyFont="1" applyBorder="1" applyAlignment="1"/>
    <xf numFmtId="170" fontId="37" fillId="0" borderId="84" xfId="0" applyNumberFormat="1" applyFont="1" applyBorder="1" applyAlignment="1" applyProtection="1">
      <protection locked="0"/>
    </xf>
    <xf numFmtId="170" fontId="37" fillId="34" borderId="0" xfId="0" applyNumberFormat="1" applyFont="1" applyFill="1" applyAlignment="1" applyProtection="1">
      <protection locked="0"/>
    </xf>
    <xf numFmtId="170" fontId="37" fillId="0" borderId="0" xfId="0" quotePrefix="1" applyNumberFormat="1" applyFont="1" applyBorder="1" applyAlignment="1">
      <alignment horizontal="right"/>
    </xf>
    <xf numFmtId="166" fontId="37" fillId="0" borderId="0" xfId="0" quotePrefix="1" applyNumberFormat="1" applyFont="1" applyBorder="1" applyAlignment="1" applyProtection="1">
      <protection locked="0"/>
    </xf>
    <xf numFmtId="170" fontId="44" fillId="0" borderId="84" xfId="0" applyNumberFormat="1" applyFont="1" applyBorder="1" applyAlignment="1"/>
    <xf numFmtId="170" fontId="44" fillId="0" borderId="84" xfId="0" quotePrefix="1" applyNumberFormat="1" applyFont="1" applyBorder="1" applyAlignment="1" applyProtection="1">
      <alignment horizontal="center"/>
    </xf>
    <xf numFmtId="170" fontId="44" fillId="0" borderId="88" xfId="0" quotePrefix="1" applyNumberFormat="1" applyFont="1" applyBorder="1" applyAlignment="1" applyProtection="1"/>
    <xf numFmtId="170" fontId="37" fillId="0" borderId="0" xfId="0" quotePrefix="1" applyNumberFormat="1" applyFont="1" applyBorder="1" applyAlignment="1">
      <alignment horizontal="center"/>
    </xf>
    <xf numFmtId="166" fontId="37" fillId="0" borderId="0" xfId="0" quotePrefix="1" applyNumberFormat="1" applyFont="1" applyBorder="1" applyAlignment="1" applyProtection="1">
      <alignment horizontal="right"/>
      <protection locked="0"/>
    </xf>
    <xf numFmtId="164" fontId="64" fillId="0" borderId="0" xfId="0" quotePrefix="1" applyNumberFormat="1" applyFont="1" applyAlignment="1" applyProtection="1"/>
    <xf numFmtId="170" fontId="44" fillId="0" borderId="84" xfId="0" quotePrefix="1" applyNumberFormat="1" applyFont="1" applyBorder="1" applyAlignment="1" applyProtection="1"/>
    <xf numFmtId="166" fontId="44" fillId="0" borderId="84" xfId="0" applyNumberFormat="1" applyFont="1" applyBorder="1" applyAlignment="1" applyProtection="1"/>
    <xf numFmtId="166" fontId="44" fillId="0" borderId="84" xfId="0" applyNumberFormat="1" applyFont="1" applyBorder="1" applyAlignment="1"/>
    <xf numFmtId="166" fontId="44" fillId="0" borderId="84" xfId="0" applyNumberFormat="1" applyFont="1" applyBorder="1" applyAlignment="1" applyProtection="1">
      <protection locked="0"/>
    </xf>
    <xf numFmtId="165" fontId="44" fillId="0" borderId="21" xfId="0" applyNumberFormat="1" applyFont="1" applyBorder="1" applyAlignment="1"/>
    <xf numFmtId="165" fontId="44" fillId="0" borderId="14" xfId="0" applyNumberFormat="1" applyFont="1" applyBorder="1" applyAlignment="1"/>
    <xf numFmtId="165" fontId="44" fillId="34" borderId="0" xfId="0" applyNumberFormat="1" applyFont="1" applyFill="1" applyAlignment="1"/>
    <xf numFmtId="166" fontId="44" fillId="0" borderId="86" xfId="0" applyNumberFormat="1" applyFont="1" applyBorder="1" applyAlignment="1" applyProtection="1"/>
    <xf numFmtId="164" fontId="65" fillId="0" borderId="86" xfId="0" applyNumberFormat="1" applyFont="1" applyBorder="1" applyAlignment="1" applyProtection="1"/>
    <xf numFmtId="174" fontId="44" fillId="0" borderId="83" xfId="0" applyNumberFormat="1" applyFont="1" applyBorder="1" applyAlignment="1" applyProtection="1"/>
    <xf numFmtId="174" fontId="44" fillId="0" borderId="0" xfId="0" applyNumberFormat="1" applyFont="1" applyBorder="1" applyAlignment="1" applyProtection="1">
      <protection locked="0"/>
    </xf>
    <xf numFmtId="174" fontId="44" fillId="0" borderId="0" xfId="0" applyNumberFormat="1" applyFont="1" applyAlignment="1"/>
    <xf numFmtId="174" fontId="44" fillId="0" borderId="26" xfId="0" applyNumberFormat="1" applyFont="1" applyBorder="1" applyAlignment="1"/>
    <xf numFmtId="174" fontId="44" fillId="0" borderId="41" xfId="0" applyNumberFormat="1" applyFont="1" applyBorder="1" applyAlignment="1"/>
    <xf numFmtId="174" fontId="44" fillId="0" borderId="14" xfId="0" applyNumberFormat="1" applyFont="1" applyBorder="1" applyAlignment="1" applyProtection="1">
      <protection locked="0"/>
    </xf>
    <xf numFmtId="174" fontId="44" fillId="0" borderId="0" xfId="0" applyNumberFormat="1" applyFont="1" applyBorder="1" applyAlignment="1"/>
    <xf numFmtId="174" fontId="44" fillId="34" borderId="0" xfId="0" applyNumberFormat="1" applyFont="1" applyFill="1" applyAlignment="1"/>
    <xf numFmtId="174" fontId="44" fillId="0" borderId="17" xfId="0" applyNumberFormat="1" applyFont="1" applyBorder="1" applyAlignment="1" applyProtection="1"/>
    <xf numFmtId="164" fontId="65" fillId="0" borderId="17" xfId="0" applyNumberFormat="1" applyFont="1" applyBorder="1" applyAlignment="1" applyProtection="1"/>
    <xf numFmtId="164" fontId="62" fillId="0" borderId="67" xfId="1940" applyNumberFormat="1" applyFont="1" applyBorder="1" applyAlignment="1"/>
    <xf numFmtId="172" fontId="37" fillId="0" borderId="0" xfId="1940" applyNumberFormat="1" applyFont="1" applyBorder="1" applyAlignment="1" applyProtection="1"/>
    <xf numFmtId="0" fontId="186" fillId="0" borderId="0" xfId="9967"/>
    <xf numFmtId="187" fontId="43" fillId="0" borderId="67" xfId="9967" applyNumberFormat="1" applyFont="1" applyFill="1" applyBorder="1" applyAlignment="1">
      <alignment horizontal="center"/>
    </xf>
    <xf numFmtId="0" fontId="42" fillId="0" borderId="0" xfId="9967" applyNumberFormat="1" applyFont="1" applyFill="1"/>
    <xf numFmtId="0" fontId="42" fillId="0" borderId="0" xfId="9967" applyNumberFormat="1" applyFont="1" applyFill="1" applyAlignment="1">
      <alignment horizontal="right"/>
    </xf>
    <xf numFmtId="0" fontId="42" fillId="0" borderId="0" xfId="9967" applyNumberFormat="1" applyFont="1" applyAlignment="1"/>
    <xf numFmtId="0" fontId="42" fillId="0" borderId="0" xfId="9967" applyNumberFormat="1" applyFont="1" applyFill="1" applyAlignment="1">
      <alignment horizontal="center"/>
    </xf>
    <xf numFmtId="0" fontId="43" fillId="0" borderId="67" xfId="9967" applyNumberFormat="1" applyFont="1" applyFill="1" applyBorder="1" applyAlignment="1">
      <alignment horizontal="center"/>
    </xf>
    <xf numFmtId="0" fontId="43" fillId="0" borderId="67" xfId="9967" applyNumberFormat="1" applyFont="1" applyBorder="1" applyAlignment="1">
      <alignment horizontal="center"/>
    </xf>
    <xf numFmtId="0" fontId="42" fillId="0" borderId="94" xfId="9967" applyNumberFormat="1" applyFont="1" applyFill="1" applyBorder="1"/>
    <xf numFmtId="0" fontId="43" fillId="0" borderId="67" xfId="9967" applyNumberFormat="1" applyFont="1" applyFill="1" applyBorder="1" applyAlignment="1">
      <alignment horizontal="centerContinuous"/>
    </xf>
    <xf numFmtId="0" fontId="43" fillId="0" borderId="0" xfId="9967" applyNumberFormat="1" applyFont="1" applyFill="1" applyAlignment="1">
      <alignment horizontal="center"/>
    </xf>
    <xf numFmtId="43" fontId="43" fillId="0" borderId="0" xfId="9967" applyNumberFormat="1" applyFont="1" applyFill="1" applyAlignment="1">
      <alignment horizontal="center"/>
    </xf>
    <xf numFmtId="0" fontId="42" fillId="0" borderId="74" xfId="9967" applyNumberFormat="1" applyFont="1" applyFill="1" applyBorder="1"/>
    <xf numFmtId="0" fontId="43" fillId="0" borderId="0" xfId="9967" quotePrefix="1" applyNumberFormat="1" applyFont="1" applyFill="1" applyAlignment="1">
      <alignment horizontal="center"/>
    </xf>
    <xf numFmtId="0" fontId="43" fillId="0" borderId="67" xfId="9967" quotePrefix="1" applyNumberFormat="1" applyFont="1" applyFill="1" applyBorder="1" applyAlignment="1">
      <alignment horizontal="center"/>
    </xf>
    <xf numFmtId="43" fontId="42" fillId="0" borderId="0" xfId="5497" quotePrefix="1" applyFont="1" applyFill="1" applyAlignment="1">
      <alignment horizontal="right"/>
    </xf>
    <xf numFmtId="43" fontId="42" fillId="0" borderId="0" xfId="5497" applyFont="1" applyFill="1" applyAlignment="1">
      <alignment horizontal="right"/>
    </xf>
    <xf numFmtId="170" fontId="37" fillId="0" borderId="0" xfId="0" applyNumberFormat="1" applyFont="1" applyAlignment="1" applyProtection="1">
      <alignment horizontal="right"/>
      <protection locked="0"/>
    </xf>
    <xf numFmtId="170" fontId="37" fillId="0" borderId="0" xfId="2" applyNumberFormat="1" applyFont="1" applyAlignment="1"/>
    <xf numFmtId="170" fontId="44" fillId="0" borderId="0" xfId="2" applyNumberFormat="1" applyFont="1" applyBorder="1" applyAlignment="1"/>
    <xf numFmtId="166" fontId="60" fillId="0" borderId="0" xfId="2" applyNumberFormat="1" applyFont="1" applyAlignment="1"/>
    <xf numFmtId="0" fontId="67" fillId="0" borderId="0" xfId="2" quotePrefix="1" applyNumberFormat="1" applyFont="1" applyAlignment="1">
      <alignment horizontal="left"/>
    </xf>
    <xf numFmtId="0" fontId="38" fillId="0" borderId="0" xfId="2" quotePrefix="1" applyNumberFormat="1" applyFont="1" applyAlignment="1">
      <alignment horizontal="left"/>
    </xf>
    <xf numFmtId="175" fontId="37" fillId="0" borderId="0" xfId="5517" applyNumberFormat="1" applyFont="1" applyFill="1"/>
    <xf numFmtId="166" fontId="37" fillId="0" borderId="0" xfId="5517" applyNumberFormat="1" applyFont="1" applyFill="1"/>
    <xf numFmtId="174" fontId="44" fillId="0" borderId="0" xfId="5517" applyNumberFormat="1" applyFont="1" applyFill="1"/>
    <xf numFmtId="170" fontId="37" fillId="0" borderId="0" xfId="5517" applyNumberFormat="1" applyFont="1" applyFill="1"/>
    <xf numFmtId="170" fontId="37" fillId="0" borderId="0" xfId="5517" applyNumberFormat="1" applyFont="1" applyFill="1" applyBorder="1"/>
    <xf numFmtId="170" fontId="37" fillId="0" borderId="0" xfId="1046" applyNumberFormat="1" applyFont="1" applyFill="1"/>
    <xf numFmtId="170" fontId="37" fillId="0" borderId="67" xfId="5517" quotePrefix="1" applyNumberFormat="1" applyFont="1" applyBorder="1" applyAlignment="1">
      <alignment horizontal="center"/>
    </xf>
    <xf numFmtId="170" fontId="37" fillId="0" borderId="67" xfId="5517" applyNumberFormat="1" applyFont="1" applyFill="1" applyBorder="1"/>
    <xf numFmtId="170" fontId="37" fillId="0" borderId="67" xfId="1046" applyNumberFormat="1" applyFont="1" applyFill="1" applyBorder="1"/>
    <xf numFmtId="187" fontId="43" fillId="0" borderId="70" xfId="860" quotePrefix="1" applyNumberFormat="1" applyFont="1" applyBorder="1" applyAlignment="1">
      <alignment horizontal="centerContinuous"/>
    </xf>
    <xf numFmtId="170" fontId="37" fillId="0" borderId="0" xfId="0" quotePrefix="1" applyNumberFormat="1" applyFont="1" applyAlignment="1" applyProtection="1">
      <alignment horizontal="right"/>
      <protection locked="0"/>
    </xf>
    <xf numFmtId="170" fontId="44" fillId="0" borderId="45" xfId="2" applyNumberFormat="1" applyFont="1" applyFill="1" applyBorder="1" applyAlignment="1"/>
    <xf numFmtId="170" fontId="37" fillId="0" borderId="0" xfId="2" quotePrefix="1" applyNumberFormat="1" applyFont="1" applyFill="1" applyAlignment="1"/>
    <xf numFmtId="170" fontId="44" fillId="0" borderId="46" xfId="2" applyNumberFormat="1" applyFont="1" applyBorder="1" applyAlignment="1"/>
    <xf numFmtId="170" fontId="187" fillId="0" borderId="0" xfId="8" quotePrefix="1" applyNumberFormat="1" applyFont="1" applyAlignment="1">
      <alignment horizontal="right"/>
    </xf>
    <xf numFmtId="0" fontId="190" fillId="0" borderId="0" xfId="8" applyFont="1"/>
    <xf numFmtId="0" fontId="187" fillId="0" borderId="0" xfId="8" applyFont="1"/>
    <xf numFmtId="0" fontId="191" fillId="0" borderId="0" xfId="8" applyFont="1"/>
    <xf numFmtId="0" fontId="149" fillId="0" borderId="0" xfId="1028" quotePrefix="1" applyNumberFormat="1" applyFont="1" applyFill="1" applyAlignment="1">
      <alignment horizontal="right"/>
    </xf>
    <xf numFmtId="4" fontId="44" fillId="0" borderId="0" xfId="1028" quotePrefix="1" applyNumberFormat="1" applyFont="1" applyFill="1" applyBorder="1" applyAlignment="1">
      <alignment horizontal="left"/>
    </xf>
    <xf numFmtId="4" fontId="44" fillId="0" borderId="0" xfId="0" applyNumberFormat="1" applyFont="1" applyFill="1" applyAlignment="1">
      <alignment horizontal="left"/>
    </xf>
    <xf numFmtId="164" fontId="37" fillId="0" borderId="0" xfId="0" applyFont="1" applyFill="1" applyBorder="1"/>
    <xf numFmtId="0" fontId="67" fillId="0" borderId="0" xfId="2" applyNumberFormat="1" applyFont="1" applyFill="1" applyAlignment="1" applyProtection="1">
      <alignment vertical="justify"/>
      <protection locked="0"/>
    </xf>
    <xf numFmtId="0" fontId="44" fillId="0" borderId="0" xfId="2" applyNumberFormat="1" applyFont="1" applyAlignment="1">
      <alignment horizontal="left"/>
    </xf>
    <xf numFmtId="170" fontId="44" fillId="0" borderId="96" xfId="2" applyNumberFormat="1" applyFont="1" applyBorder="1" applyAlignment="1"/>
    <xf numFmtId="0" fontId="137" fillId="0" borderId="0" xfId="0" applyNumberFormat="1" applyFont="1"/>
    <xf numFmtId="0" fontId="2" fillId="0" borderId="0" xfId="0" applyNumberFormat="1" applyFont="1" applyAlignment="1"/>
    <xf numFmtId="0" fontId="2" fillId="0" borderId="0" xfId="0" applyNumberFormat="1" applyFont="1"/>
    <xf numFmtId="37" fontId="193" fillId="0" borderId="0" xfId="2" applyNumberFormat="1" applyFont="1" applyBorder="1" applyAlignment="1"/>
    <xf numFmtId="174" fontId="193" fillId="0" borderId="0" xfId="2" applyNumberFormat="1" applyFont="1"/>
    <xf numFmtId="170" fontId="48" fillId="0" borderId="0" xfId="2" applyNumberFormat="1" applyFont="1" applyAlignment="1"/>
    <xf numFmtId="170" fontId="149" fillId="0" borderId="67" xfId="2" applyNumberFormat="1" applyFont="1" applyBorder="1" applyAlignment="1"/>
    <xf numFmtId="170" fontId="48" fillId="0" borderId="20" xfId="2" applyNumberFormat="1" applyFont="1" applyBorder="1" applyAlignment="1"/>
    <xf numFmtId="170" fontId="149" fillId="0" borderId="20" xfId="2" applyNumberFormat="1" applyFont="1" applyBorder="1" applyAlignment="1"/>
    <xf numFmtId="170" fontId="149" fillId="0" borderId="0" xfId="2" applyNumberFormat="1" applyFont="1" applyBorder="1" applyAlignment="1"/>
    <xf numFmtId="170" fontId="48" fillId="0" borderId="0" xfId="2" applyNumberFormat="1" applyFont="1" applyBorder="1"/>
    <xf numFmtId="174" fontId="149" fillId="0" borderId="35" xfId="2" applyNumberFormat="1" applyFont="1" applyBorder="1" applyAlignment="1"/>
    <xf numFmtId="37" fontId="37" fillId="0" borderId="0" xfId="0" quotePrefix="1" applyNumberFormat="1" applyFont="1" applyFill="1" applyAlignment="1" applyProtection="1">
      <alignment horizontal="left"/>
      <protection locked="0"/>
    </xf>
    <xf numFmtId="166" fontId="37" fillId="0" borderId="0" xfId="0" quotePrefix="1" applyNumberFormat="1" applyFont="1" applyFill="1" applyAlignment="1">
      <alignment horizontal="left"/>
    </xf>
    <xf numFmtId="41" fontId="168" fillId="0" borderId="0" xfId="0" applyNumberFormat="1" applyFont="1"/>
    <xf numFmtId="41" fontId="168" fillId="0" borderId="0" xfId="0" applyNumberFormat="1" applyFont="1" applyAlignment="1">
      <alignment horizontal="right" vertical="top"/>
    </xf>
    <xf numFmtId="0" fontId="111" fillId="0" borderId="0" xfId="0" applyNumberFormat="1" applyFont="1" applyAlignment="1">
      <alignment horizontal="center" vertical="top"/>
    </xf>
    <xf numFmtId="0" fontId="168" fillId="0" borderId="0" xfId="0" applyNumberFormat="1" applyFont="1" applyAlignment="1">
      <alignment horizontal="left" vertical="top" wrapText="1"/>
    </xf>
    <xf numFmtId="170" fontId="44" fillId="0" borderId="95" xfId="0" quotePrefix="1" applyNumberFormat="1" applyFont="1" applyBorder="1" applyAlignment="1">
      <alignment horizontal="left"/>
    </xf>
    <xf numFmtId="164" fontId="66" fillId="0" borderId="0" xfId="0" applyNumberFormat="1" applyFont="1" applyAlignment="1" applyProtection="1">
      <protection locked="0"/>
    </xf>
    <xf numFmtId="170" fontId="37" fillId="0" borderId="95" xfId="0" quotePrefix="1" applyNumberFormat="1" applyFont="1" applyBorder="1" applyAlignment="1">
      <alignment horizontal="left"/>
    </xf>
    <xf numFmtId="170" fontId="44" fillId="0" borderId="95" xfId="0" applyNumberFormat="1" applyFont="1" applyBorder="1" applyAlignment="1"/>
    <xf numFmtId="174" fontId="44" fillId="0" borderId="95" xfId="0" applyNumberFormat="1" applyFont="1" applyBorder="1" applyAlignment="1"/>
    <xf numFmtId="165" fontId="48" fillId="0" borderId="0" xfId="0" applyNumberFormat="1" applyFont="1" applyProtection="1">
      <protection locked="0"/>
    </xf>
    <xf numFmtId="0" fontId="43" fillId="0" borderId="0" xfId="0" applyNumberFormat="1" applyFont="1"/>
    <xf numFmtId="41" fontId="43" fillId="0" borderId="0" xfId="0" applyNumberFormat="1" applyFont="1" applyAlignment="1">
      <alignment horizontal="right"/>
    </xf>
    <xf numFmtId="0" fontId="43" fillId="0" borderId="0" xfId="0" quotePrefix="1" applyNumberFormat="1" applyFont="1" applyAlignment="1">
      <alignment horizontal="left"/>
    </xf>
    <xf numFmtId="41" fontId="42" fillId="0" borderId="0" xfId="0" applyNumberFormat="1" applyFont="1" applyFill="1"/>
    <xf numFmtId="41" fontId="42" fillId="0" borderId="0" xfId="0" applyNumberFormat="1" applyFont="1" applyAlignment="1">
      <alignment horizontal="right"/>
    </xf>
    <xf numFmtId="0" fontId="43" fillId="0" borderId="67" xfId="0" applyNumberFormat="1" applyFont="1" applyBorder="1" applyAlignment="1">
      <alignment horizontal="center" wrapText="1"/>
    </xf>
    <xf numFmtId="0" fontId="43" fillId="0" borderId="0" xfId="0" applyNumberFormat="1" applyFont="1" applyBorder="1" applyAlignment="1">
      <alignment horizontal="center" wrapText="1"/>
    </xf>
    <xf numFmtId="0" fontId="111" fillId="0" borderId="0" xfId="0" applyNumberFormat="1" applyFont="1"/>
    <xf numFmtId="0" fontId="43" fillId="0" borderId="0" xfId="0" applyNumberFormat="1" applyFont="1" applyFill="1" applyAlignment="1">
      <alignment horizontal="center"/>
    </xf>
    <xf numFmtId="41" fontId="43" fillId="0" borderId="0" xfId="0" applyNumberFormat="1" applyFont="1" applyFill="1" applyAlignment="1">
      <alignment horizontal="center"/>
    </xf>
    <xf numFmtId="191" fontId="42" fillId="0" borderId="0" xfId="0" applyNumberFormat="1" applyFont="1" applyFill="1" applyAlignment="1"/>
    <xf numFmtId="42" fontId="42" fillId="0" borderId="0" xfId="0" quotePrefix="1" applyNumberFormat="1" applyFont="1" applyFill="1" applyAlignment="1">
      <alignment horizontal="center"/>
    </xf>
    <xf numFmtId="41" fontId="42" fillId="0" borderId="0" xfId="0" quotePrefix="1" applyNumberFormat="1" applyFont="1" applyFill="1" applyAlignment="1">
      <alignment horizontal="center"/>
    </xf>
    <xf numFmtId="0" fontId="42" fillId="0" borderId="0" xfId="0" applyNumberFormat="1" applyFont="1" applyBorder="1" applyAlignment="1">
      <alignment horizontal="center" wrapText="1"/>
    </xf>
    <xf numFmtId="41" fontId="168" fillId="0" borderId="0" xfId="0" applyNumberFormat="1" applyFont="1" applyFill="1" applyAlignment="1"/>
    <xf numFmtId="41" fontId="42" fillId="0" borderId="0" xfId="0" applyNumberFormat="1" applyFont="1" applyBorder="1"/>
    <xf numFmtId="191" fontId="42" fillId="0" borderId="0" xfId="0" applyNumberFormat="1" applyFont="1" applyBorder="1"/>
    <xf numFmtId="191" fontId="168" fillId="0" borderId="0" xfId="0" applyNumberFormat="1" applyFont="1"/>
    <xf numFmtId="41" fontId="42" fillId="0" borderId="0" xfId="0" applyNumberFormat="1" applyFont="1" applyFill="1" applyBorder="1" applyAlignment="1">
      <alignment wrapText="1"/>
    </xf>
    <xf numFmtId="191" fontId="42" fillId="0" borderId="0" xfId="0" applyNumberFormat="1" applyFont="1" applyFill="1" applyBorder="1" applyAlignment="1">
      <alignment vertical="center"/>
    </xf>
    <xf numFmtId="41" fontId="43" fillId="0" borderId="0" xfId="0" applyNumberFormat="1" applyFont="1" applyFill="1" applyBorder="1" applyAlignment="1">
      <alignment horizontal="center"/>
    </xf>
    <xf numFmtId="191" fontId="43" fillId="0" borderId="0" xfId="0" applyNumberFormat="1" applyFont="1" applyFill="1" applyBorder="1" applyAlignment="1">
      <alignment horizontal="center"/>
    </xf>
    <xf numFmtId="41" fontId="42" fillId="0" borderId="0" xfId="0" quotePrefix="1" applyNumberFormat="1" applyFont="1" applyFill="1" applyAlignment="1"/>
    <xf numFmtId="191" fontId="43" fillId="0" borderId="0" xfId="0" applyNumberFormat="1" applyFont="1" applyFill="1" applyAlignment="1">
      <alignment horizontal="center"/>
    </xf>
    <xf numFmtId="41" fontId="42" fillId="0" borderId="0" xfId="0" applyNumberFormat="1" applyFont="1" applyBorder="1" applyAlignment="1"/>
    <xf numFmtId="191" fontId="111" fillId="0" borderId="0" xfId="0" applyNumberFormat="1" applyFont="1" applyAlignment="1">
      <alignment horizontal="center" vertical="top"/>
    </xf>
    <xf numFmtId="191" fontId="168" fillId="0" borderId="0" xfId="0" applyNumberFormat="1" applyFont="1" applyAlignment="1"/>
    <xf numFmtId="41" fontId="111" fillId="0" borderId="0" xfId="0" applyNumberFormat="1" applyFont="1" applyAlignment="1">
      <alignment horizontal="right" vertical="top"/>
    </xf>
    <xf numFmtId="0" fontId="168" fillId="0" borderId="0" xfId="0" quotePrefix="1" applyNumberFormat="1" applyFont="1" applyAlignment="1"/>
    <xf numFmtId="41" fontId="111" fillId="0" borderId="0" xfId="0" quotePrefix="1" applyNumberFormat="1" applyFont="1" applyAlignment="1">
      <alignment horizontal="right"/>
    </xf>
    <xf numFmtId="41" fontId="42" fillId="0" borderId="0" xfId="0" applyNumberFormat="1" applyFont="1" applyBorder="1" applyAlignment="1">
      <alignment horizontal="right"/>
    </xf>
    <xf numFmtId="191" fontId="42" fillId="0" borderId="0" xfId="0" applyNumberFormat="1" applyFont="1" applyAlignment="1"/>
    <xf numFmtId="41" fontId="43" fillId="0" borderId="0" xfId="0" applyNumberFormat="1" applyFont="1" applyFill="1" applyAlignment="1">
      <alignment horizontal="right"/>
    </xf>
    <xf numFmtId="41" fontId="42" fillId="0" borderId="0" xfId="0" applyNumberFormat="1" applyFont="1" applyFill="1" applyBorder="1" applyAlignment="1">
      <alignment horizontal="right"/>
    </xf>
    <xf numFmtId="191" fontId="42" fillId="0" borderId="0" xfId="0" applyNumberFormat="1" applyFont="1" applyFill="1" applyBorder="1"/>
    <xf numFmtId="0" fontId="43" fillId="0" borderId="0" xfId="0" applyNumberFormat="1" applyFont="1" applyFill="1" applyBorder="1" applyAlignment="1">
      <alignment horizontal="center" wrapText="1"/>
    </xf>
    <xf numFmtId="191" fontId="42" fillId="0" borderId="0" xfId="0" applyNumberFormat="1" applyFont="1"/>
    <xf numFmtId="0" fontId="42" fillId="0" borderId="0" xfId="0" applyNumberFormat="1" applyFont="1" applyFill="1" applyBorder="1" applyAlignment="1">
      <alignment horizontal="center" wrapText="1"/>
    </xf>
    <xf numFmtId="0" fontId="111" fillId="0" borderId="0" xfId="0" applyNumberFormat="1" applyFont="1" applyFill="1" applyBorder="1" applyAlignment="1">
      <alignment horizontal="center" wrapText="1"/>
    </xf>
    <xf numFmtId="41" fontId="42" fillId="0" borderId="0" xfId="0" applyNumberFormat="1" applyFont="1" applyFill="1" applyAlignment="1"/>
    <xf numFmtId="0" fontId="168" fillId="0" borderId="0" xfId="0" applyNumberFormat="1" applyFont="1" applyFill="1" applyBorder="1" applyAlignment="1">
      <alignment horizontal="center" wrapText="1"/>
    </xf>
    <xf numFmtId="0" fontId="111" fillId="0" borderId="0" xfId="0" applyNumberFormat="1" applyFont="1" applyFill="1" applyBorder="1" applyAlignment="1">
      <alignment horizontal="center"/>
    </xf>
    <xf numFmtId="191" fontId="168" fillId="0" borderId="0" xfId="0" applyNumberFormat="1" applyFont="1" applyFill="1" applyBorder="1"/>
    <xf numFmtId="0" fontId="168" fillId="0" borderId="0" xfId="0" applyNumberFormat="1" applyFont="1" applyFill="1" applyBorder="1" applyAlignment="1"/>
    <xf numFmtId="49" fontId="111" fillId="0" borderId="0" xfId="0" applyNumberFormat="1" applyFont="1"/>
    <xf numFmtId="0" fontId="111" fillId="0" borderId="0" xfId="0" applyNumberFormat="1" applyFont="1" applyBorder="1" applyAlignment="1">
      <alignment horizontal="right"/>
    </xf>
    <xf numFmtId="41" fontId="111" fillId="0" borderId="86" xfId="0" applyNumberFormat="1" applyFont="1" applyBorder="1"/>
    <xf numFmtId="191" fontId="111" fillId="0" borderId="86" xfId="0" applyNumberFormat="1" applyFont="1" applyBorder="1" applyAlignment="1">
      <alignment horizontal="right"/>
    </xf>
    <xf numFmtId="41" fontId="111" fillId="0" borderId="86" xfId="0" quotePrefix="1" applyNumberFormat="1" applyFont="1" applyFill="1" applyBorder="1" applyAlignment="1"/>
    <xf numFmtId="49" fontId="168" fillId="0" borderId="0" xfId="0" applyNumberFormat="1" applyFont="1" applyAlignment="1">
      <alignment vertical="center" wrapText="1"/>
    </xf>
    <xf numFmtId="49" fontId="42" fillId="0" borderId="0" xfId="0" applyNumberFormat="1" applyFont="1" applyBorder="1" applyAlignment="1">
      <alignment wrapText="1"/>
    </xf>
    <xf numFmtId="41" fontId="42" fillId="0" borderId="0" xfId="0" applyNumberFormat="1" applyFont="1"/>
    <xf numFmtId="191" fontId="42" fillId="0" borderId="0" xfId="0" applyNumberFormat="1" applyFont="1" applyAlignment="1">
      <alignment vertical="center"/>
    </xf>
    <xf numFmtId="49" fontId="168" fillId="0" borderId="0" xfId="0" applyNumberFormat="1" applyFont="1" applyAlignment="1">
      <alignment vertical="top" wrapText="1"/>
    </xf>
    <xf numFmtId="41" fontId="168" fillId="0" borderId="0" xfId="0" quotePrefix="1" applyNumberFormat="1" applyFont="1" applyFill="1" applyAlignment="1">
      <alignment horizontal="center"/>
    </xf>
    <xf numFmtId="49" fontId="42" fillId="0" borderId="0" xfId="0" applyNumberFormat="1" applyFont="1" applyFill="1" applyAlignment="1">
      <alignment wrapText="1"/>
    </xf>
    <xf numFmtId="191" fontId="42" fillId="0" borderId="0" xfId="0" applyNumberFormat="1" applyFont="1" applyFill="1" applyAlignment="1">
      <alignment vertical="center"/>
    </xf>
    <xf numFmtId="42" fontId="43" fillId="0" borderId="0" xfId="0" applyNumberFormat="1" applyFont="1" applyFill="1" applyAlignment="1">
      <alignment horizontal="center"/>
    </xf>
    <xf numFmtId="42" fontId="43" fillId="0" borderId="89" xfId="0" quotePrefix="1" applyNumberFormat="1" applyFont="1" applyFill="1" applyBorder="1" applyAlignment="1">
      <alignment horizontal="right"/>
    </xf>
    <xf numFmtId="42" fontId="43" fillId="0" borderId="0" xfId="0" quotePrefix="1" applyNumberFormat="1" applyFont="1" applyFill="1" applyBorder="1" applyAlignment="1">
      <alignment horizontal="right"/>
    </xf>
    <xf numFmtId="0" fontId="111" fillId="0" borderId="0" xfId="0" applyNumberFormat="1" applyFont="1" applyAlignment="1">
      <alignment horizontal="center" vertical="top" wrapText="1"/>
    </xf>
    <xf numFmtId="41" fontId="168" fillId="0" borderId="0" xfId="0" applyNumberFormat="1" applyFont="1" applyFill="1" applyBorder="1" applyAlignment="1"/>
    <xf numFmtId="0" fontId="168" fillId="0" borderId="0" xfId="0" applyNumberFormat="1" applyFont="1" applyFill="1" applyAlignment="1">
      <alignment horizontal="left"/>
    </xf>
    <xf numFmtId="0" fontId="168" fillId="0" borderId="0" xfId="0" applyNumberFormat="1" applyFont="1" applyFill="1" applyAlignment="1">
      <alignment vertical="top"/>
    </xf>
    <xf numFmtId="0" fontId="168" fillId="0" borderId="0" xfId="0" applyNumberFormat="1" applyFont="1" applyFill="1" applyAlignment="1">
      <alignment horizontal="left" wrapText="1"/>
    </xf>
    <xf numFmtId="0" fontId="42" fillId="0" borderId="0" xfId="0" applyNumberFormat="1" applyFont="1" applyBorder="1" applyAlignment="1">
      <alignment horizontal="left"/>
    </xf>
    <xf numFmtId="172" fontId="62" fillId="0" borderId="0" xfId="0" applyNumberFormat="1" applyFont="1" applyBorder="1" applyAlignment="1" applyProtection="1"/>
    <xf numFmtId="0" fontId="59" fillId="0" borderId="0" xfId="2" quotePrefix="1" applyNumberFormat="1" applyFont="1" applyAlignment="1">
      <alignment horizontal="center"/>
    </xf>
    <xf numFmtId="43" fontId="37" fillId="0" borderId="0" xfId="17924" applyFont="1" applyFill="1" applyAlignment="1" applyProtection="1">
      <alignment horizontal="right"/>
      <protection locked="0"/>
    </xf>
    <xf numFmtId="44" fontId="42" fillId="0" borderId="0" xfId="0" applyNumberFormat="1" applyFont="1" applyFill="1" applyAlignment="1"/>
    <xf numFmtId="43" fontId="42" fillId="0" borderId="0" xfId="0" applyNumberFormat="1" applyFont="1" applyAlignment="1"/>
    <xf numFmtId="44" fontId="42" fillId="0" borderId="0" xfId="0" applyNumberFormat="1" applyFont="1" applyFill="1" applyAlignment="1">
      <alignment horizontal="right"/>
    </xf>
    <xf numFmtId="4" fontId="42" fillId="0" borderId="0" xfId="0" applyNumberFormat="1" applyFont="1" applyFill="1" applyAlignment="1">
      <alignment horizontal="right"/>
    </xf>
    <xf numFmtId="164" fontId="42" fillId="0" borderId="0" xfId="0" applyFont="1" applyFill="1" applyAlignment="1">
      <alignment horizontal="center"/>
    </xf>
    <xf numFmtId="43" fontId="42" fillId="0" borderId="0" xfId="0" applyNumberFormat="1" applyFont="1" applyFill="1" applyAlignment="1">
      <alignment horizontal="right"/>
    </xf>
    <xf numFmtId="43" fontId="42" fillId="0" borderId="0" xfId="0" applyNumberFormat="1" applyFont="1" applyAlignment="1">
      <alignment horizontal="right"/>
    </xf>
    <xf numFmtId="43" fontId="42" fillId="0" borderId="0" xfId="0" quotePrefix="1" applyNumberFormat="1" applyFont="1" applyFill="1" applyAlignment="1">
      <alignment horizontal="right"/>
    </xf>
    <xf numFmtId="0" fontId="42" fillId="0" borderId="0" xfId="0" applyNumberFormat="1" applyFont="1" applyFill="1" applyAlignment="1">
      <alignment horizontal="center"/>
    </xf>
    <xf numFmtId="0" fontId="84" fillId="0" borderId="0" xfId="0" applyNumberFormat="1" applyFont="1" applyFill="1" applyAlignment="1">
      <alignment horizontal="right"/>
    </xf>
    <xf numFmtId="0" fontId="84" fillId="0" borderId="0" xfId="0" applyNumberFormat="1" applyFont="1" applyFill="1" applyAlignment="1"/>
    <xf numFmtId="43" fontId="0" fillId="0" borderId="0" xfId="0" applyNumberFormat="1" applyFill="1" applyAlignment="1"/>
    <xf numFmtId="43" fontId="0" fillId="0" borderId="0" xfId="0" applyNumberFormat="1" applyFill="1" applyAlignment="1">
      <alignment horizontal="right"/>
    </xf>
    <xf numFmtId="164" fontId="44" fillId="0" borderId="0" xfId="1940" applyNumberFormat="1" applyFont="1" applyBorder="1" applyAlignment="1"/>
    <xf numFmtId="178" fontId="62" fillId="0" borderId="0" xfId="836" applyNumberFormat="1" applyFont="1" applyFill="1"/>
    <xf numFmtId="178" fontId="67" fillId="0" borderId="16" xfId="836" applyNumberFormat="1" applyFont="1" applyFill="1" applyBorder="1" applyAlignment="1">
      <alignment horizontal="right"/>
    </xf>
    <xf numFmtId="181" fontId="67" fillId="0" borderId="48" xfId="836" applyNumberFormat="1" applyFont="1" applyFill="1" applyBorder="1" applyAlignment="1">
      <alignment horizontal="right"/>
    </xf>
    <xf numFmtId="39" fontId="44" fillId="0" borderId="0" xfId="1776" applyNumberFormat="1" applyFont="1" applyFill="1" applyBorder="1" applyAlignment="1">
      <alignment horizontal="center"/>
    </xf>
    <xf numFmtId="164" fontId="0" fillId="0" borderId="0" xfId="0" applyFill="1"/>
    <xf numFmtId="178" fontId="0" fillId="0" borderId="0" xfId="0" applyNumberFormat="1" applyFill="1"/>
    <xf numFmtId="0" fontId="49" fillId="0" borderId="0" xfId="8" applyFont="1"/>
    <xf numFmtId="0" fontId="49" fillId="0" borderId="0" xfId="8" applyFont="1" applyFill="1" applyAlignment="1"/>
    <xf numFmtId="0" fontId="98" fillId="0" borderId="0" xfId="8" applyFont="1"/>
    <xf numFmtId="172" fontId="0" fillId="0" borderId="0" xfId="0" applyNumberFormat="1" applyFont="1" applyBorder="1" applyAlignment="1" applyProtection="1"/>
    <xf numFmtId="164" fontId="44" fillId="0" borderId="83" xfId="0" applyNumberFormat="1" applyFont="1" applyBorder="1" applyAlignment="1" applyProtection="1">
      <protection locked="0"/>
    </xf>
    <xf numFmtId="164" fontId="0" fillId="0" borderId="42" xfId="2" applyNumberFormat="1" applyFont="1" applyBorder="1"/>
    <xf numFmtId="170" fontId="44" fillId="0" borderId="16" xfId="0" applyNumberFormat="1" applyFont="1" applyFill="1" applyBorder="1" applyAlignment="1" applyProtection="1"/>
    <xf numFmtId="170" fontId="44" fillId="0" borderId="67" xfId="2" applyNumberFormat="1" applyFont="1" applyFill="1" applyBorder="1" applyAlignment="1" applyProtection="1"/>
    <xf numFmtId="164" fontId="195" fillId="0" borderId="67" xfId="2" applyNumberFormat="1" applyFont="1" applyBorder="1" applyProtection="1"/>
    <xf numFmtId="170" fontId="0" fillId="0" borderId="0" xfId="0" applyNumberFormat="1" applyFill="1"/>
    <xf numFmtId="170" fontId="39" fillId="0" borderId="95" xfId="2" applyNumberFormat="1" applyFont="1" applyBorder="1" applyAlignment="1">
      <alignment horizontal="center"/>
    </xf>
    <xf numFmtId="170" fontId="39" fillId="0" borderId="95" xfId="2" applyNumberFormat="1" applyFont="1" applyFill="1" applyBorder="1" applyAlignment="1"/>
    <xf numFmtId="183" fontId="37" fillId="0" borderId="0" xfId="740" applyNumberFormat="1" applyFont="1" applyFill="1" applyAlignment="1"/>
    <xf numFmtId="170" fontId="62" fillId="0" borderId="0" xfId="2" applyNumberFormat="1" applyFont="1" applyFill="1" applyAlignment="1">
      <alignment horizontal="right"/>
    </xf>
    <xf numFmtId="170" fontId="77" fillId="0" borderId="0" xfId="2" quotePrefix="1" applyNumberFormat="1" applyFont="1" applyFill="1" applyAlignment="1"/>
    <xf numFmtId="170" fontId="77" fillId="0" borderId="0" xfId="2" applyNumberFormat="1" applyFont="1" applyFill="1" applyAlignment="1"/>
    <xf numFmtId="170" fontId="77" fillId="0" borderId="20" xfId="2" applyNumberFormat="1" applyFont="1" applyFill="1" applyBorder="1" applyAlignment="1"/>
    <xf numFmtId="170" fontId="80" fillId="0" borderId="0" xfId="2" applyNumberFormat="1" applyFont="1" applyFill="1" applyAlignment="1">
      <alignment horizontal="right"/>
    </xf>
    <xf numFmtId="164" fontId="62" fillId="0" borderId="0" xfId="0" applyNumberFormat="1" applyFont="1" applyBorder="1" applyAlignment="1" applyProtection="1"/>
    <xf numFmtId="49" fontId="44" fillId="0" borderId="0" xfId="1776" applyNumberFormat="1" applyFont="1" applyAlignment="1">
      <alignment horizontal="center"/>
    </xf>
    <xf numFmtId="43" fontId="44" fillId="0" borderId="88" xfId="1776" applyNumberFormat="1" applyFont="1" applyBorder="1" applyAlignment="1"/>
    <xf numFmtId="40" fontId="66" fillId="0" borderId="0" xfId="25861" applyNumberFormat="1" applyFont="1" applyAlignment="1"/>
    <xf numFmtId="39" fontId="66" fillId="0" borderId="0" xfId="25861" applyNumberFormat="1" applyFont="1" applyAlignment="1"/>
    <xf numFmtId="165" fontId="83" fillId="0" borderId="0" xfId="840" applyNumberFormat="1" applyFont="1" applyAlignment="1"/>
    <xf numFmtId="0" fontId="83" fillId="0" borderId="0" xfId="840" applyNumberFormat="1" applyFont="1" applyAlignment="1">
      <alignment horizontal="left"/>
    </xf>
    <xf numFmtId="42" fontId="44" fillId="0" borderId="83" xfId="840" applyNumberFormat="1" applyFont="1" applyBorder="1" applyAlignment="1"/>
    <xf numFmtId="37" fontId="37" fillId="0" borderId="86" xfId="840" applyNumberFormat="1" applyFont="1" applyBorder="1" applyAlignment="1"/>
    <xf numFmtId="41" fontId="37" fillId="0" borderId="86" xfId="11" applyNumberFormat="1" applyFont="1" applyBorder="1" applyAlignment="1"/>
    <xf numFmtId="41" fontId="37" fillId="0" borderId="86" xfId="840" quotePrefix="1" applyNumberFormat="1" applyFont="1" applyBorder="1" applyAlignment="1">
      <alignment horizontal="right"/>
    </xf>
    <xf numFmtId="41" fontId="37" fillId="0" borderId="86" xfId="840" quotePrefix="1" applyNumberFormat="1" applyFont="1" applyBorder="1" applyAlignment="1">
      <alignment horizontal="center"/>
    </xf>
    <xf numFmtId="41" fontId="37" fillId="0" borderId="86" xfId="840" applyNumberFormat="1" applyFont="1" applyBorder="1"/>
    <xf numFmtId="41" fontId="44" fillId="0" borderId="88" xfId="840" quotePrefix="1" applyNumberFormat="1" applyFont="1" applyBorder="1" applyAlignment="1"/>
    <xf numFmtId="41" fontId="44" fillId="0" borderId="88" xfId="840" applyNumberFormat="1" applyFont="1" applyFill="1" applyBorder="1" applyAlignment="1"/>
    <xf numFmtId="41" fontId="44" fillId="0" borderId="88" xfId="840" applyNumberFormat="1" applyFont="1" applyBorder="1" applyAlignment="1"/>
    <xf numFmtId="191" fontId="37" fillId="0" borderId="84" xfId="11" applyNumberFormat="1" applyFont="1" applyBorder="1" applyAlignment="1"/>
    <xf numFmtId="39" fontId="37" fillId="0" borderId="84" xfId="840" applyNumberFormat="1" applyFont="1" applyBorder="1" applyAlignment="1"/>
    <xf numFmtId="170" fontId="44" fillId="0" borderId="0" xfId="2" applyNumberFormat="1" applyFont="1" applyBorder="1" applyAlignment="1">
      <alignment horizontal="center"/>
    </xf>
    <xf numFmtId="170" fontId="62" fillId="0" borderId="0" xfId="2" quotePrefix="1" applyNumberFormat="1" applyFont="1" applyFill="1" applyAlignment="1"/>
    <xf numFmtId="170" fontId="44" fillId="0" borderId="45" xfId="2" applyNumberFormat="1" applyFont="1" applyBorder="1" applyAlignment="1">
      <alignment horizontal="right"/>
    </xf>
    <xf numFmtId="170" fontId="44" fillId="0" borderId="84" xfId="0" applyNumberFormat="1" applyFont="1" applyBorder="1" applyAlignment="1" applyProtection="1">
      <protection locked="0"/>
    </xf>
    <xf numFmtId="170" fontId="44" fillId="0" borderId="84" xfId="0" quotePrefix="1" applyNumberFormat="1" applyFont="1" applyBorder="1" applyAlignment="1" applyProtection="1">
      <alignment horizontal="center"/>
      <protection locked="0"/>
    </xf>
    <xf numFmtId="174" fontId="44" fillId="0" borderId="83" xfId="0" applyNumberFormat="1" applyFont="1" applyBorder="1" applyAlignment="1" applyProtection="1">
      <protection locked="0"/>
    </xf>
    <xf numFmtId="174" fontId="44" fillId="0" borderId="0" xfId="0" applyNumberFormat="1" applyFont="1" applyAlignment="1">
      <alignment horizontal="center"/>
    </xf>
    <xf numFmtId="41" fontId="168" fillId="0" borderId="0" xfId="0" applyNumberFormat="1" applyFont="1" applyBorder="1"/>
    <xf numFmtId="0" fontId="111" fillId="0" borderId="0" xfId="0" applyNumberFormat="1" applyFont="1" applyFill="1" applyAlignment="1">
      <alignment horizontal="center"/>
    </xf>
    <xf numFmtId="42" fontId="111" fillId="0" borderId="0" xfId="0" applyNumberFormat="1" applyFont="1" applyFill="1" applyBorder="1" applyAlignment="1">
      <alignment horizontal="center"/>
    </xf>
    <xf numFmtId="0" fontId="44" fillId="0" borderId="0" xfId="2" applyNumberFormat="1" applyFont="1" applyAlignment="1">
      <alignment horizontal="left"/>
    </xf>
    <xf numFmtId="170" fontId="62" fillId="0" borderId="0" xfId="2" applyNumberFormat="1" applyFont="1" applyFill="1" applyAlignment="1"/>
    <xf numFmtId="170" fontId="62" fillId="0" borderId="20" xfId="2" applyNumberFormat="1" applyFont="1" applyFill="1" applyBorder="1" applyAlignment="1"/>
    <xf numFmtId="170" fontId="67" fillId="0" borderId="0" xfId="2" applyNumberFormat="1" applyFont="1" applyFill="1" applyAlignment="1"/>
    <xf numFmtId="170" fontId="0" fillId="0" borderId="0" xfId="2" quotePrefix="1" applyNumberFormat="1" applyFont="1" applyAlignment="1"/>
    <xf numFmtId="178" fontId="67" fillId="0" borderId="0" xfId="836" applyNumberFormat="1" applyFont="1" applyFill="1" applyBorder="1" applyAlignment="1">
      <alignment horizontal="right"/>
    </xf>
    <xf numFmtId="37" fontId="168" fillId="0" borderId="0" xfId="0" applyNumberFormat="1" applyFont="1"/>
    <xf numFmtId="37" fontId="168" fillId="0" borderId="0" xfId="0" applyNumberFormat="1" applyFont="1" applyAlignment="1"/>
    <xf numFmtId="41" fontId="43" fillId="0" borderId="0" xfId="0" applyNumberFormat="1" applyFont="1" applyFill="1"/>
    <xf numFmtId="49" fontId="43" fillId="0" borderId="67" xfId="0" applyNumberFormat="1" applyFont="1" applyFill="1" applyBorder="1" applyAlignment="1">
      <alignment horizontal="center" wrapText="1"/>
    </xf>
    <xf numFmtId="42" fontId="111" fillId="0" borderId="0" xfId="1773" applyNumberFormat="1" applyFont="1" applyFill="1"/>
    <xf numFmtId="191" fontId="42" fillId="0" borderId="0" xfId="0" applyNumberFormat="1" applyFont="1" applyFill="1"/>
    <xf numFmtId="41" fontId="42" fillId="0" borderId="0" xfId="0" applyNumberFormat="1" applyFont="1" applyAlignment="1">
      <alignment horizontal="right" vertical="center"/>
    </xf>
    <xf numFmtId="42" fontId="43" fillId="0" borderId="89" xfId="0" applyNumberFormat="1" applyFont="1" applyFill="1" applyBorder="1" applyAlignment="1">
      <alignment horizontal="right" vertical="top"/>
    </xf>
    <xf numFmtId="0" fontId="168" fillId="0" borderId="0" xfId="0" applyNumberFormat="1" applyFont="1" applyFill="1" applyAlignment="1">
      <alignment horizontal="left" vertical="top" wrapText="1"/>
    </xf>
    <xf numFmtId="0" fontId="168" fillId="0" borderId="0" xfId="0" applyNumberFormat="1" applyFont="1" applyFill="1" applyBorder="1" applyAlignment="1">
      <alignment horizontal="left" vertical="top" wrapText="1"/>
    </xf>
    <xf numFmtId="41" fontId="168" fillId="0" borderId="0" xfId="0" applyNumberFormat="1" applyFont="1" applyFill="1" applyAlignment="1">
      <alignment horizontal="right" vertical="center"/>
    </xf>
    <xf numFmtId="41" fontId="168" fillId="0" borderId="0" xfId="0" applyNumberFormat="1" applyFont="1" applyFill="1" applyBorder="1" applyAlignment="1">
      <alignment horizontal="right" vertical="center"/>
    </xf>
    <xf numFmtId="173" fontId="39" fillId="0" borderId="0" xfId="0" applyNumberFormat="1" applyFont="1" applyAlignment="1" applyProtection="1">
      <protection locked="0"/>
    </xf>
    <xf numFmtId="43" fontId="44" fillId="0" borderId="89" xfId="1767" applyNumberFormat="1" applyFont="1" applyFill="1" applyBorder="1" applyAlignment="1" applyProtection="1">
      <alignment horizontal="right"/>
    </xf>
    <xf numFmtId="43" fontId="44" fillId="0" borderId="89" xfId="0" applyNumberFormat="1" applyFont="1" applyBorder="1" applyAlignment="1">
      <alignment horizontal="right"/>
    </xf>
    <xf numFmtId="44" fontId="44" fillId="0" borderId="89" xfId="1767" applyNumberFormat="1" applyFont="1" applyFill="1" applyBorder="1" applyAlignment="1" applyProtection="1">
      <alignment horizontal="right"/>
    </xf>
    <xf numFmtId="0" fontId="62" fillId="0" borderId="0" xfId="1776" applyFont="1" applyFill="1" applyBorder="1" applyAlignment="1">
      <alignment horizontal="left"/>
    </xf>
    <xf numFmtId="0" fontId="37" fillId="0" borderId="0" xfId="1776" applyFont="1" applyFill="1" applyBorder="1" applyAlignment="1">
      <alignment horizontal="center"/>
    </xf>
    <xf numFmtId="170" fontId="62" fillId="0" borderId="0" xfId="2" quotePrefix="1" applyNumberFormat="1" applyFont="1" applyFill="1" applyAlignment="1">
      <alignment horizontal="right"/>
    </xf>
    <xf numFmtId="170" fontId="62" fillId="0" borderId="0" xfId="2" quotePrefix="1" applyNumberFormat="1" applyFont="1" applyFill="1" applyBorder="1" applyAlignment="1"/>
    <xf numFmtId="164" fontId="111" fillId="0" borderId="0" xfId="0" applyFont="1"/>
    <xf numFmtId="164" fontId="168" fillId="0" borderId="0" xfId="0" applyFont="1"/>
    <xf numFmtId="164" fontId="168" fillId="0" borderId="0" xfId="0" applyFont="1" applyFill="1"/>
    <xf numFmtId="164" fontId="42" fillId="0" borderId="0" xfId="0" applyFont="1" applyFill="1"/>
    <xf numFmtId="164" fontId="42" fillId="0" borderId="0" xfId="0" applyFont="1"/>
    <xf numFmtId="170" fontId="37" fillId="0" borderId="0" xfId="1" quotePrefix="1" applyNumberFormat="1" applyFont="1" applyFill="1" applyAlignment="1"/>
    <xf numFmtId="0" fontId="62" fillId="0" borderId="0" xfId="1776" applyFont="1" applyFill="1" applyBorder="1" applyAlignment="1">
      <alignment horizontal="left"/>
    </xf>
    <xf numFmtId="0" fontId="37" fillId="0" borderId="0" xfId="1776" applyFont="1" applyFill="1" applyBorder="1" applyAlignment="1">
      <alignment horizontal="center"/>
    </xf>
    <xf numFmtId="39" fontId="37" fillId="0" borderId="98" xfId="1776" applyNumberFormat="1" applyFont="1" applyFill="1" applyBorder="1" applyAlignment="1"/>
    <xf numFmtId="44" fontId="44" fillId="0" borderId="98" xfId="1776" applyNumberFormat="1" applyFont="1" applyFill="1" applyBorder="1" applyAlignment="1"/>
    <xf numFmtId="43" fontId="37" fillId="0" borderId="98" xfId="1776" applyNumberFormat="1" applyFont="1" applyFill="1" applyBorder="1" applyAlignment="1"/>
    <xf numFmtId="43" fontId="44" fillId="0" borderId="98" xfId="1776" applyNumberFormat="1" applyFont="1" applyFill="1" applyBorder="1" applyAlignment="1"/>
    <xf numFmtId="43" fontId="44" fillId="0" borderId="98" xfId="1776" applyNumberFormat="1" applyFont="1" applyFill="1" applyBorder="1" applyAlignment="1">
      <alignment horizontal="right"/>
    </xf>
    <xf numFmtId="43" fontId="37" fillId="0" borderId="98" xfId="1776" applyNumberFormat="1" applyFont="1" applyFill="1" applyBorder="1" applyAlignment="1" applyProtection="1"/>
    <xf numFmtId="43" fontId="37" fillId="0" borderId="98" xfId="1776" applyNumberFormat="1" applyFont="1" applyFill="1" applyBorder="1" applyAlignment="1" applyProtection="1">
      <alignment horizontal="right"/>
    </xf>
    <xf numFmtId="44" fontId="44" fillId="0" borderId="98" xfId="1776" applyNumberFormat="1" applyFont="1" applyFill="1" applyBorder="1" applyAlignment="1">
      <alignment horizontal="right"/>
    </xf>
    <xf numFmtId="43" fontId="44" fillId="0" borderId="89" xfId="17924" applyFont="1" applyFill="1" applyBorder="1" applyAlignment="1" applyProtection="1">
      <alignment horizontal="right"/>
    </xf>
    <xf numFmtId="43" fontId="37" fillId="0" borderId="0" xfId="17924" applyFont="1" applyBorder="1" applyAlignment="1" applyProtection="1">
      <alignment horizontal="right"/>
      <protection locked="0"/>
    </xf>
    <xf numFmtId="43" fontId="0" fillId="0" borderId="0" xfId="17924" applyFont="1" applyAlignment="1" applyProtection="1">
      <alignment horizontal="right"/>
      <protection locked="0"/>
    </xf>
    <xf numFmtId="43" fontId="44" fillId="0" borderId="0" xfId="17924" applyFont="1" applyFill="1" applyAlignment="1" applyProtection="1">
      <alignment horizontal="right"/>
      <protection locked="0"/>
    </xf>
    <xf numFmtId="43" fontId="37" fillId="0" borderId="0" xfId="17924" applyFont="1" applyAlignment="1" applyProtection="1">
      <alignment horizontal="right"/>
      <protection locked="0"/>
    </xf>
    <xf numFmtId="173" fontId="79" fillId="0" borderId="0" xfId="836" applyNumberFormat="1" applyFont="1" applyAlignment="1"/>
    <xf numFmtId="172" fontId="67" fillId="0" borderId="0" xfId="0" applyNumberFormat="1" applyFont="1" applyBorder="1" applyAlignment="1" applyProtection="1"/>
    <xf numFmtId="172" fontId="67" fillId="0" borderId="67" xfId="0" applyNumberFormat="1" applyFont="1" applyBorder="1" applyAlignment="1" applyProtection="1"/>
    <xf numFmtId="164" fontId="67" fillId="0" borderId="0" xfId="1940" applyNumberFormat="1" applyFont="1" applyAlignment="1"/>
    <xf numFmtId="170" fontId="39" fillId="0" borderId="98" xfId="2" applyNumberFormat="1" applyFont="1" applyFill="1" applyBorder="1" applyAlignment="1"/>
    <xf numFmtId="170" fontId="39" fillId="0" borderId="98" xfId="2" applyNumberFormat="1" applyFont="1" applyBorder="1" applyAlignment="1">
      <alignment horizontal="center"/>
    </xf>
    <xf numFmtId="170" fontId="0" fillId="0" borderId="0" xfId="2" applyNumberFormat="1" applyFont="1" applyAlignment="1"/>
    <xf numFmtId="164" fontId="197" fillId="0" borderId="67" xfId="2" applyNumberFormat="1" applyFont="1" applyBorder="1" applyAlignment="1" applyProtection="1"/>
    <xf numFmtId="42" fontId="111" fillId="0" borderId="0" xfId="0" applyNumberFormat="1" applyFont="1" applyFill="1" applyBorder="1" applyAlignment="1">
      <alignment horizontal="right"/>
    </xf>
    <xf numFmtId="0" fontId="42" fillId="0" borderId="0" xfId="0" applyNumberFormat="1" applyFont="1" applyFill="1" applyBorder="1" applyAlignment="1">
      <alignment horizontal="left" vertical="top" wrapText="1"/>
    </xf>
    <xf numFmtId="170" fontId="37" fillId="0" borderId="0" xfId="4" applyNumberFormat="1" applyFont="1" applyFill="1" applyAlignment="1">
      <alignment horizontal="right"/>
    </xf>
    <xf numFmtId="178" fontId="37" fillId="0" borderId="0" xfId="1767" quotePrefix="1" applyNumberFormat="1" applyFont="1" applyFill="1" applyAlignment="1">
      <alignment horizontal="right"/>
    </xf>
    <xf numFmtId="165" fontId="198" fillId="0" borderId="0" xfId="840" applyNumberFormat="1" applyFont="1" applyAlignment="1"/>
    <xf numFmtId="0" fontId="43" fillId="0" borderId="67" xfId="9967" applyNumberFormat="1" applyFont="1" applyFill="1" applyBorder="1" applyAlignment="1" applyProtection="1">
      <alignment horizontal="center"/>
    </xf>
    <xf numFmtId="165" fontId="37" fillId="0" borderId="0" xfId="0" applyNumberFormat="1" applyFont="1" applyFill="1" applyProtection="1">
      <protection locked="0"/>
    </xf>
    <xf numFmtId="0" fontId="67" fillId="0" borderId="0" xfId="17029" quotePrefix="1" applyNumberFormat="1" applyFont="1" applyFill="1" applyAlignment="1">
      <alignment horizontal="left"/>
    </xf>
    <xf numFmtId="0" fontId="43" fillId="0" borderId="67" xfId="0" applyNumberFormat="1" applyFont="1" applyFill="1" applyBorder="1" applyAlignment="1">
      <alignment horizontal="center"/>
    </xf>
    <xf numFmtId="49" fontId="43" fillId="0" borderId="67" xfId="9967" applyNumberFormat="1" applyFont="1" applyFill="1" applyBorder="1" applyAlignment="1">
      <alignment horizontal="center"/>
    </xf>
    <xf numFmtId="0" fontId="42" fillId="0" borderId="74" xfId="0" applyNumberFormat="1" applyFont="1" applyFill="1" applyBorder="1"/>
    <xf numFmtId="0" fontId="42" fillId="0" borderId="74" xfId="0" applyNumberFormat="1" applyFont="1" applyFill="1" applyBorder="1" applyAlignment="1"/>
    <xf numFmtId="43" fontId="84" fillId="0" borderId="0" xfId="0" applyNumberFormat="1" applyFont="1" applyFill="1" applyAlignment="1">
      <alignment horizontal="right"/>
    </xf>
    <xf numFmtId="43" fontId="83" fillId="0" borderId="0" xfId="0" applyNumberFormat="1" applyFont="1" applyFill="1" applyAlignment="1"/>
    <xf numFmtId="43" fontId="42" fillId="0" borderId="0" xfId="5497" quotePrefix="1" applyNumberFormat="1" applyFont="1" applyFill="1" applyAlignment="1">
      <alignment horizontal="right"/>
    </xf>
    <xf numFmtId="39" fontId="40" fillId="0" borderId="0" xfId="0" applyNumberFormat="1" applyFont="1" applyFill="1" applyAlignment="1">
      <alignment horizontal="right"/>
    </xf>
    <xf numFmtId="43" fontId="42" fillId="0" borderId="0" xfId="5497" applyNumberFormat="1" applyFont="1" applyFill="1" applyAlignment="1">
      <alignment horizontal="right"/>
    </xf>
    <xf numFmtId="4" fontId="42" fillId="0" borderId="0" xfId="0" applyNumberFormat="1" applyFont="1" applyFill="1"/>
    <xf numFmtId="43" fontId="42" fillId="0" borderId="0" xfId="0" quotePrefix="1" applyNumberFormat="1" applyFont="1" applyFill="1" applyBorder="1" applyAlignment="1">
      <alignment horizontal="right"/>
    </xf>
    <xf numFmtId="39" fontId="43" fillId="0" borderId="0" xfId="0" applyNumberFormat="1" applyFont="1" applyFill="1" applyAlignment="1">
      <alignment horizontal="right" vertical="top"/>
    </xf>
    <xf numFmtId="39" fontId="42" fillId="0" borderId="0" xfId="0" applyNumberFormat="1" applyFont="1" applyFill="1" applyBorder="1" applyAlignment="1"/>
    <xf numFmtId="39" fontId="42" fillId="0" borderId="67" xfId="0" quotePrefix="1" applyNumberFormat="1" applyFont="1" applyFill="1" applyBorder="1" applyAlignment="1">
      <alignment horizontal="center"/>
    </xf>
    <xf numFmtId="39" fontId="42" fillId="0" borderId="0" xfId="0" quotePrefix="1" applyNumberFormat="1" applyFont="1" applyFill="1" applyBorder="1" applyAlignment="1">
      <alignment horizontal="right"/>
    </xf>
    <xf numFmtId="4" fontId="42" fillId="0" borderId="0" xfId="0" applyNumberFormat="1" applyFont="1" applyFill="1" applyBorder="1" applyAlignment="1">
      <alignment horizontal="right"/>
    </xf>
    <xf numFmtId="43" fontId="42" fillId="0" borderId="0" xfId="0" applyNumberFormat="1" applyFont="1" applyFill="1" applyBorder="1" applyAlignment="1"/>
    <xf numFmtId="0" fontId="43" fillId="0" borderId="0" xfId="0" applyNumberFormat="1" applyFont="1" applyFill="1" applyAlignment="1">
      <alignment horizontal="right"/>
    </xf>
    <xf numFmtId="44" fontId="43" fillId="0" borderId="89" xfId="0" applyNumberFormat="1" applyFont="1" applyFill="1" applyBorder="1" applyAlignment="1">
      <alignment horizontal="right"/>
    </xf>
    <xf numFmtId="0" fontId="43" fillId="0" borderId="0" xfId="0" applyNumberFormat="1" applyFont="1" applyFill="1" applyAlignment="1"/>
    <xf numFmtId="0" fontId="43" fillId="0" borderId="50" xfId="0" applyNumberFormat="1" applyFont="1" applyFill="1" applyBorder="1" applyAlignment="1"/>
    <xf numFmtId="7" fontId="43" fillId="0" borderId="0" xfId="0" applyNumberFormat="1" applyFont="1" applyFill="1"/>
    <xf numFmtId="0" fontId="37" fillId="0" borderId="0" xfId="0" applyNumberFormat="1" applyFont="1" applyFill="1" applyBorder="1"/>
    <xf numFmtId="0" fontId="43" fillId="0" borderId="0" xfId="0" quotePrefix="1" applyNumberFormat="1" applyFont="1" applyFill="1" applyAlignment="1"/>
    <xf numFmtId="0" fontId="43" fillId="0" borderId="0" xfId="0" applyNumberFormat="1" applyFont="1" applyFill="1" applyAlignment="1">
      <alignment horizontal="right" vertical="top"/>
    </xf>
    <xf numFmtId="39" fontId="43" fillId="0" borderId="0" xfId="0" applyNumberFormat="1" applyFont="1" applyFill="1" applyAlignment="1">
      <alignment horizontal="center" vertical="top"/>
    </xf>
    <xf numFmtId="0" fontId="42" fillId="0" borderId="0" xfId="0" applyNumberFormat="1" applyFont="1" applyFill="1" applyAlignment="1">
      <alignment horizontal="right" vertical="top"/>
    </xf>
    <xf numFmtId="7" fontId="43" fillId="0" borderId="0" xfId="0" applyNumberFormat="1" applyFont="1" applyFill="1" applyAlignment="1">
      <alignment horizontal="right" vertical="top"/>
    </xf>
    <xf numFmtId="49" fontId="42" fillId="0" borderId="0" xfId="0" applyNumberFormat="1" applyFont="1" applyFill="1" applyAlignment="1">
      <alignment horizontal="left" vertical="top"/>
    </xf>
    <xf numFmtId="188" fontId="42" fillId="0" borderId="0" xfId="0" applyNumberFormat="1" applyFont="1" applyFill="1" applyAlignment="1">
      <alignment horizontal="center" vertical="top"/>
    </xf>
    <xf numFmtId="188" fontId="42" fillId="0" borderId="0" xfId="0" applyNumberFormat="1" applyFont="1" applyFill="1" applyAlignment="1">
      <alignment horizontal="right" vertical="top"/>
    </xf>
    <xf numFmtId="0" fontId="42" fillId="0" borderId="0" xfId="5508" applyFont="1" applyFill="1" applyBorder="1"/>
    <xf numFmtId="0" fontId="44" fillId="0" borderId="0" xfId="5508" applyFont="1" applyFill="1" applyBorder="1"/>
    <xf numFmtId="0" fontId="43" fillId="0" borderId="0" xfId="5508" applyFont="1" applyFill="1" applyBorder="1"/>
    <xf numFmtId="0" fontId="156" fillId="0" borderId="97" xfId="0" applyNumberFormat="1" applyFont="1" applyFill="1" applyBorder="1" applyAlignment="1">
      <alignment horizontal="center"/>
    </xf>
    <xf numFmtId="0" fontId="42" fillId="0" borderId="0" xfId="5508" applyFont="1" applyFill="1" applyBorder="1" applyAlignment="1">
      <alignment horizontal="center"/>
    </xf>
    <xf numFmtId="37" fontId="42" fillId="0" borderId="0" xfId="5508" applyNumberFormat="1" applyFont="1" applyFill="1" applyBorder="1"/>
    <xf numFmtId="0" fontId="37" fillId="0" borderId="0" xfId="5508" applyNumberFormat="1" applyFont="1" applyFill="1" applyBorder="1" applyAlignment="1"/>
    <xf numFmtId="42" fontId="156" fillId="0" borderId="89" xfId="0" applyNumberFormat="1" applyFont="1" applyFill="1" applyBorder="1" applyAlignment="1">
      <alignment horizontal="right" vertical="top"/>
    </xf>
    <xf numFmtId="0" fontId="37" fillId="0" borderId="0" xfId="5508" applyFont="1" applyFill="1" applyBorder="1" applyAlignment="1"/>
    <xf numFmtId="0" fontId="67" fillId="0" borderId="0" xfId="1776" applyNumberFormat="1" applyFont="1" applyAlignment="1">
      <alignment horizontal="left"/>
    </xf>
    <xf numFmtId="0" fontId="67" fillId="0" borderId="0" xfId="1776" quotePrefix="1" applyNumberFormat="1" applyFont="1" applyAlignment="1">
      <alignment horizontal="left"/>
    </xf>
    <xf numFmtId="0" fontId="67" fillId="0" borderId="0" xfId="1776" quotePrefix="1" applyNumberFormat="1" applyFont="1" applyAlignment="1">
      <alignment horizontal="center"/>
    </xf>
    <xf numFmtId="0" fontId="42" fillId="0" borderId="67" xfId="0" applyNumberFormat="1" applyFont="1" applyFill="1" applyBorder="1"/>
    <xf numFmtId="170" fontId="37" fillId="0" borderId="0" xfId="2" quotePrefix="1" applyNumberFormat="1" applyFont="1" applyFill="1" applyBorder="1" applyAlignment="1"/>
    <xf numFmtId="170" fontId="37" fillId="0" borderId="67" xfId="2" applyNumberFormat="1" applyFont="1" applyFill="1" applyBorder="1" applyAlignment="1"/>
    <xf numFmtId="170" fontId="37" fillId="0" borderId="10" xfId="2" quotePrefix="1" applyNumberFormat="1" applyFont="1" applyFill="1" applyBorder="1" applyAlignment="1"/>
    <xf numFmtId="170" fontId="44" fillId="0" borderId="10" xfId="2" quotePrefix="1" applyNumberFormat="1" applyFont="1" applyFill="1" applyBorder="1" applyAlignment="1"/>
    <xf numFmtId="170" fontId="44" fillId="0" borderId="0" xfId="2" applyNumberFormat="1" applyFont="1" applyFill="1" applyAlignment="1">
      <alignment vertical="center"/>
    </xf>
    <xf numFmtId="0" fontId="1" fillId="0" borderId="0" xfId="0" applyNumberFormat="1" applyFont="1"/>
    <xf numFmtId="0" fontId="1" fillId="0" borderId="0" xfId="841" applyFont="1"/>
    <xf numFmtId="4" fontId="44" fillId="36" borderId="99" xfId="1028" applyNumberFormat="1" applyFont="1" applyFill="1" applyBorder="1" applyAlignment="1">
      <alignment horizontal="center"/>
    </xf>
    <xf numFmtId="4" fontId="44" fillId="36" borderId="99" xfId="1028" quotePrefix="1" applyNumberFormat="1" applyFont="1" applyFill="1" applyBorder="1" applyAlignment="1">
      <alignment horizontal="center"/>
    </xf>
    <xf numFmtId="43" fontId="37" fillId="0" borderId="0" xfId="1028" applyNumberFormat="1" applyFont="1" applyBorder="1" applyAlignment="1" applyProtection="1">
      <alignment horizontal="right"/>
      <protection locked="0"/>
    </xf>
    <xf numFmtId="4" fontId="44" fillId="36" borderId="99" xfId="0" applyNumberFormat="1" applyFont="1" applyFill="1" applyBorder="1" applyAlignment="1">
      <alignment horizontal="center"/>
    </xf>
    <xf numFmtId="43" fontId="44" fillId="0" borderId="0" xfId="1767" applyNumberFormat="1" applyFont="1" applyFill="1" applyAlignment="1" applyProtection="1">
      <alignment horizontal="right"/>
      <protection locked="0"/>
    </xf>
    <xf numFmtId="0" fontId="44" fillId="0" borderId="10" xfId="2" quotePrefix="1" applyNumberFormat="1" applyFont="1" applyBorder="1" applyAlignment="1">
      <alignment horizontal="center"/>
    </xf>
    <xf numFmtId="178" fontId="62" fillId="0" borderId="0" xfId="836" quotePrefix="1" applyNumberFormat="1" applyFont="1" applyFill="1" applyAlignment="1">
      <alignment horizontal="right"/>
    </xf>
    <xf numFmtId="178" fontId="62" fillId="0" borderId="10" xfId="836" quotePrefix="1" applyNumberFormat="1" applyFont="1" applyFill="1" applyBorder="1" applyAlignment="1"/>
    <xf numFmtId="178" fontId="62" fillId="0" borderId="10" xfId="836" quotePrefix="1" applyNumberFormat="1" applyFont="1" applyFill="1" applyBorder="1" applyAlignment="1">
      <alignment horizontal="right"/>
    </xf>
    <xf numFmtId="170" fontId="42" fillId="0" borderId="0" xfId="4" quotePrefix="1" applyNumberFormat="1" applyFont="1" applyFill="1" applyAlignment="1">
      <alignment horizontal="left"/>
    </xf>
    <xf numFmtId="183" fontId="79" fillId="0" borderId="0" xfId="836" applyNumberFormat="1" applyFont="1" applyAlignment="1"/>
    <xf numFmtId="182" fontId="79" fillId="0" borderId="0" xfId="836" applyNumberFormat="1" applyFont="1" applyAlignment="1">
      <alignment horizontal="left"/>
    </xf>
    <xf numFmtId="182" fontId="79" fillId="0" borderId="0" xfId="836" applyNumberFormat="1" applyFont="1" applyAlignment="1"/>
    <xf numFmtId="172" fontId="44" fillId="0" borderId="67" xfId="1940" applyNumberFormat="1" applyFont="1" applyBorder="1" applyAlignment="1" applyProtection="1"/>
    <xf numFmtId="178" fontId="77" fillId="0" borderId="0" xfId="836" quotePrefix="1" applyNumberFormat="1" applyFont="1" applyFill="1" applyBorder="1" applyAlignment="1">
      <alignment horizontal="center"/>
    </xf>
    <xf numFmtId="0" fontId="199" fillId="0" borderId="0" xfId="8" applyFont="1" applyAlignment="1">
      <alignment horizontal="left"/>
    </xf>
    <xf numFmtId="41" fontId="168" fillId="0" borderId="0" xfId="0" applyNumberFormat="1" applyFont="1" applyAlignment="1">
      <alignment horizontal="right"/>
    </xf>
    <xf numFmtId="41" fontId="43" fillId="0" borderId="0" xfId="1773" applyNumberFormat="1" applyFont="1" applyFill="1" applyAlignment="1">
      <alignment horizontal="right"/>
    </xf>
    <xf numFmtId="41" fontId="42" fillId="0" borderId="0" xfId="1773" applyNumberFormat="1" applyFont="1" applyFill="1" applyAlignment="1">
      <alignment horizontal="right"/>
    </xf>
    <xf numFmtId="41" fontId="43" fillId="0" borderId="67" xfId="0" applyNumberFormat="1" applyFont="1" applyFill="1" applyBorder="1" applyAlignment="1">
      <alignment horizontal="center" wrapText="1"/>
    </xf>
    <xf numFmtId="191" fontId="111" fillId="0" borderId="0" xfId="17924" applyNumberFormat="1" applyFont="1" applyFill="1"/>
    <xf numFmtId="191" fontId="168" fillId="0" borderId="0" xfId="17924" applyNumberFormat="1" applyFont="1" applyFill="1"/>
    <xf numFmtId="3" fontId="43" fillId="0" borderId="0" xfId="0" applyNumberFormat="1" applyFont="1"/>
    <xf numFmtId="41" fontId="42" fillId="0" borderId="0" xfId="0" quotePrefix="1" applyNumberFormat="1" applyFont="1" applyFill="1" applyAlignment="1">
      <alignment horizontal="right"/>
    </xf>
    <xf numFmtId="41" fontId="168" fillId="0" borderId="0" xfId="0" quotePrefix="1" applyNumberFormat="1" applyFont="1" applyFill="1" applyAlignment="1">
      <alignment horizontal="right"/>
    </xf>
    <xf numFmtId="41" fontId="168" fillId="0" borderId="0" xfId="0" applyNumberFormat="1" applyFont="1" applyFill="1" applyBorder="1" applyAlignment="1">
      <alignment horizontal="right" vertical="top"/>
    </xf>
    <xf numFmtId="0" fontId="199" fillId="0" borderId="0" xfId="8" applyFont="1" applyFill="1" applyAlignment="1">
      <alignment horizontal="left"/>
    </xf>
    <xf numFmtId="0" fontId="140" fillId="0" borderId="0" xfId="8" applyFont="1" applyFill="1" applyAlignment="1"/>
    <xf numFmtId="0" fontId="140" fillId="0" borderId="0" xfId="8" applyFont="1" applyFill="1"/>
    <xf numFmtId="0" fontId="37" fillId="0" borderId="0" xfId="8" applyFont="1" applyFill="1"/>
    <xf numFmtId="0" fontId="201" fillId="0" borderId="0" xfId="8" applyFont="1" applyFill="1" applyAlignment="1"/>
    <xf numFmtId="192" fontId="49" fillId="0" borderId="0" xfId="8" quotePrefix="1" applyNumberFormat="1" applyFont="1" applyFill="1" applyAlignment="1">
      <alignment horizontal="right"/>
    </xf>
    <xf numFmtId="166" fontId="49" fillId="0" borderId="0" xfId="8" quotePrefix="1" applyNumberFormat="1" applyFont="1" applyFill="1" applyAlignment="1">
      <alignment horizontal="right"/>
    </xf>
    <xf numFmtId="0" fontId="37" fillId="0" borderId="0" xfId="8" applyFont="1" applyFill="1" applyAlignment="1"/>
    <xf numFmtId="169" fontId="49" fillId="0" borderId="0" xfId="8" quotePrefix="1" applyNumberFormat="1" applyFont="1" applyFill="1" applyAlignment="1">
      <alignment horizontal="right"/>
    </xf>
    <xf numFmtId="0" fontId="200" fillId="0" borderId="0" xfId="8" applyFont="1" applyFill="1" applyAlignment="1"/>
    <xf numFmtId="0" fontId="201" fillId="0" borderId="0" xfId="8" applyFont="1" applyFill="1" applyAlignment="1">
      <alignment horizontal="left"/>
    </xf>
    <xf numFmtId="166" fontId="49" fillId="0" borderId="0" xfId="8" applyNumberFormat="1" applyFont="1" applyFill="1" applyAlignment="1">
      <alignment horizontal="right" vertical="top"/>
    </xf>
    <xf numFmtId="0" fontId="139" fillId="0" borderId="0" xfId="8" applyFont="1" applyFill="1" applyAlignment="1"/>
    <xf numFmtId="0" fontId="98" fillId="0" borderId="0" xfId="8" applyFont="1" applyFill="1"/>
    <xf numFmtId="0" fontId="49" fillId="0" borderId="0" xfId="8" applyFont="1" applyFill="1" applyAlignment="1">
      <alignment horizontal="left"/>
    </xf>
    <xf numFmtId="0" fontId="166" fillId="0" borderId="0" xfId="8" applyFont="1" applyFill="1"/>
    <xf numFmtId="165" fontId="49" fillId="0" borderId="0" xfId="8" quotePrefix="1" applyNumberFormat="1" applyFont="1" applyFill="1" applyAlignment="1">
      <alignment horizontal="right"/>
    </xf>
    <xf numFmtId="166" fontId="49" fillId="0" borderId="0" xfId="8" quotePrefix="1" applyNumberFormat="1" applyFont="1" applyFill="1" applyAlignment="1"/>
    <xf numFmtId="0" fontId="49" fillId="0" borderId="0" xfId="8" quotePrefix="1" applyFont="1" applyFill="1" applyAlignment="1"/>
    <xf numFmtId="0" fontId="141" fillId="0" borderId="0" xfId="8" applyFont="1" applyFill="1"/>
    <xf numFmtId="0" fontId="114" fillId="0" borderId="0" xfId="8" quotePrefix="1" applyNumberFormat="1" applyFont="1" applyFill="1" applyAlignment="1">
      <alignment horizontal="right"/>
    </xf>
    <xf numFmtId="0" fontId="139" fillId="0" borderId="0" xfId="8" applyFont="1" applyFill="1" applyAlignment="1">
      <alignment horizontal="left"/>
    </xf>
    <xf numFmtId="0" fontId="188" fillId="0" borderId="0" xfId="8" applyFont="1" applyFill="1" applyAlignment="1">
      <alignment horizontal="left"/>
    </xf>
    <xf numFmtId="0" fontId="188" fillId="0" borderId="0" xfId="8" applyNumberFormat="1" applyFont="1" applyFill="1" applyAlignment="1"/>
    <xf numFmtId="0" fontId="140" fillId="0" borderId="0" xfId="8" applyFont="1" applyFill="1" applyAlignment="1">
      <alignment horizontal="center" vertical="top"/>
    </xf>
    <xf numFmtId="0" fontId="189" fillId="0" borderId="0" xfId="8" applyFont="1" applyFill="1" applyAlignment="1">
      <alignment horizontal="center" vertical="top"/>
    </xf>
    <xf numFmtId="0" fontId="189" fillId="0" borderId="0" xfId="8" quotePrefix="1" applyNumberFormat="1" applyFont="1" applyFill="1" applyAlignment="1">
      <alignment horizontal="center"/>
    </xf>
    <xf numFmtId="0" fontId="191" fillId="0" borderId="0" xfId="8" applyFont="1" applyFill="1" applyAlignment="1"/>
    <xf numFmtId="0" fontId="0" fillId="0" borderId="0" xfId="8" applyFont="1" applyFill="1"/>
    <xf numFmtId="0" fontId="187" fillId="0" borderId="0" xfId="8" applyFont="1" applyFill="1" applyAlignment="1"/>
    <xf numFmtId="0" fontId="188" fillId="0" borderId="0" xfId="8" quotePrefix="1" applyNumberFormat="1" applyFont="1" applyFill="1" applyAlignment="1"/>
    <xf numFmtId="42" fontId="187" fillId="0" borderId="0" xfId="8" applyNumberFormat="1" applyFont="1" applyFill="1" applyAlignment="1">
      <alignment horizontal="right"/>
    </xf>
    <xf numFmtId="42" fontId="187" fillId="0" borderId="0" xfId="8" quotePrefix="1" applyNumberFormat="1" applyFont="1" applyFill="1" applyAlignment="1">
      <alignment horizontal="right"/>
    </xf>
    <xf numFmtId="41" fontId="187" fillId="0" borderId="0" xfId="8" applyNumberFormat="1" applyFont="1" applyFill="1" applyAlignment="1">
      <alignment horizontal="center"/>
    </xf>
    <xf numFmtId="37" fontId="187" fillId="0" borderId="0" xfId="8" applyNumberFormat="1" applyFont="1" applyFill="1" applyAlignment="1"/>
    <xf numFmtId="192" fontId="49" fillId="0" borderId="0" xfId="8" applyNumberFormat="1" applyFont="1" applyFill="1" applyAlignment="1">
      <alignment horizontal="right"/>
    </xf>
    <xf numFmtId="0" fontId="49" fillId="0" borderId="0" xfId="8" quotePrefix="1" applyNumberFormat="1" applyFont="1" applyFill="1" applyAlignment="1"/>
    <xf numFmtId="41" fontId="187" fillId="0" borderId="0" xfId="8" applyNumberFormat="1" applyFont="1" applyFill="1" applyAlignment="1">
      <alignment horizontal="right"/>
    </xf>
    <xf numFmtId="41" fontId="0" fillId="0" borderId="0" xfId="8" applyNumberFormat="1" applyFont="1" applyFill="1" applyAlignment="1">
      <alignment horizontal="right" vertical="top"/>
    </xf>
    <xf numFmtId="41" fontId="187" fillId="0" borderId="0" xfId="8" quotePrefix="1" applyNumberFormat="1" applyFont="1" applyFill="1" applyAlignment="1">
      <alignment horizontal="right"/>
    </xf>
    <xf numFmtId="41" fontId="187" fillId="0" borderId="0" xfId="8" quotePrefix="1" applyNumberFormat="1" applyFont="1" applyFill="1" applyAlignment="1">
      <alignment horizontal="center"/>
    </xf>
    <xf numFmtId="0" fontId="49" fillId="0" borderId="0" xfId="8" applyNumberFormat="1" applyFont="1" applyFill="1" applyAlignment="1"/>
    <xf numFmtId="41" fontId="49" fillId="0" borderId="0" xfId="8" applyNumberFormat="1" applyFont="1" applyFill="1" applyAlignment="1">
      <alignment horizontal="center"/>
    </xf>
    <xf numFmtId="0" fontId="187" fillId="0" borderId="0" xfId="8" applyFont="1" applyFill="1"/>
    <xf numFmtId="42" fontId="189" fillId="0" borderId="89" xfId="8" applyNumberFormat="1" applyFont="1" applyFill="1" applyBorder="1"/>
    <xf numFmtId="0" fontId="192" fillId="0" borderId="0" xfId="8" applyFont="1" applyFill="1"/>
    <xf numFmtId="42" fontId="189" fillId="0" borderId="89" xfId="8" applyNumberFormat="1" applyFont="1" applyFill="1" applyBorder="1" applyAlignment="1"/>
    <xf numFmtId="0" fontId="114" fillId="0" borderId="0" xfId="8" quotePrefix="1" applyFont="1" applyFill="1" applyAlignment="1">
      <alignment horizontal="right"/>
    </xf>
    <xf numFmtId="0" fontId="199" fillId="0" borderId="0" xfId="8" applyFont="1" applyFill="1" applyAlignment="1">
      <alignment horizontal="left" vertical="top"/>
    </xf>
    <xf numFmtId="41" fontId="37" fillId="0" borderId="0" xfId="8" applyNumberFormat="1" applyFont="1" applyFill="1" applyAlignment="1">
      <alignment horizontal="right"/>
    </xf>
    <xf numFmtId="1" fontId="0" fillId="0" borderId="0" xfId="0" applyNumberFormat="1" applyFont="1" applyAlignment="1">
      <alignment horizontal="center"/>
    </xf>
    <xf numFmtId="192" fontId="202" fillId="0" borderId="0" xfId="8" applyNumberFormat="1" applyFont="1" applyFill="1" applyAlignment="1">
      <alignment horizontal="right" vertical="top"/>
    </xf>
    <xf numFmtId="172" fontId="37" fillId="0" borderId="0" xfId="2" applyNumberFormat="1" applyFont="1" applyAlignment="1" applyProtection="1">
      <protection locked="0"/>
    </xf>
    <xf numFmtId="164" fontId="44" fillId="0" borderId="83" xfId="2" applyNumberFormat="1" applyFont="1" applyBorder="1" applyAlignment="1" applyProtection="1">
      <alignment horizontal="right"/>
    </xf>
    <xf numFmtId="0" fontId="148" fillId="0" borderId="0" xfId="861" applyNumberFormat="1" applyBorder="1" applyAlignment="1" applyProtection="1"/>
    <xf numFmtId="164" fontId="171" fillId="0" borderId="0" xfId="0" applyNumberFormat="1" applyFont="1" applyBorder="1" applyAlignment="1" applyProtection="1"/>
    <xf numFmtId="164" fontId="171" fillId="0" borderId="67" xfId="0" applyNumberFormat="1" applyFont="1" applyBorder="1" applyAlignment="1" applyProtection="1"/>
    <xf numFmtId="0" fontId="44" fillId="0" borderId="0" xfId="1776" applyNumberFormat="1" applyFont="1" applyAlignment="1">
      <alignment horizontal="center"/>
    </xf>
    <xf numFmtId="166" fontId="38" fillId="0" borderId="0" xfId="0" applyNumberFormat="1" applyFont="1" applyBorder="1" applyAlignment="1" applyProtection="1">
      <alignment horizontal="left"/>
      <protection locked="0"/>
    </xf>
    <xf numFmtId="164" fontId="39" fillId="0" borderId="0" xfId="0" applyFont="1" applyBorder="1" applyAlignment="1" applyProtection="1">
      <alignment horizontal="left"/>
      <protection locked="0"/>
    </xf>
    <xf numFmtId="164" fontId="41" fillId="0" borderId="0" xfId="0" applyFont="1" applyBorder="1" applyAlignment="1" applyProtection="1">
      <alignment horizontal="left"/>
      <protection locked="0"/>
    </xf>
    <xf numFmtId="166" fontId="44" fillId="0" borderId="11" xfId="0" applyNumberFormat="1" applyFont="1" applyBorder="1" applyAlignment="1" applyProtection="1">
      <alignment horizontal="left"/>
      <protection locked="0"/>
    </xf>
    <xf numFmtId="164" fontId="37" fillId="0" borderId="10" xfId="0" applyFont="1" applyBorder="1" applyAlignment="1" applyProtection="1">
      <alignment horizontal="left"/>
      <protection locked="0"/>
    </xf>
    <xf numFmtId="164" fontId="37" fillId="0" borderId="12" xfId="0" applyFont="1" applyBorder="1" applyAlignment="1" applyProtection="1">
      <alignment horizontal="left"/>
      <protection locked="0"/>
    </xf>
    <xf numFmtId="166" fontId="44" fillId="0" borderId="0" xfId="0" applyNumberFormat="1" applyFont="1" applyFill="1" applyBorder="1" applyAlignment="1">
      <alignment horizontal="center"/>
    </xf>
    <xf numFmtId="166" fontId="44" fillId="0" borderId="0" xfId="0" applyNumberFormat="1" applyFont="1" applyBorder="1" applyAlignment="1">
      <alignment horizontal="center"/>
    </xf>
    <xf numFmtId="164" fontId="39" fillId="0" borderId="0" xfId="0" applyFont="1" applyBorder="1" applyAlignment="1">
      <alignment horizontal="center"/>
    </xf>
    <xf numFmtId="166" fontId="44" fillId="0" borderId="10" xfId="0" applyNumberFormat="1" applyFont="1" applyBorder="1" applyAlignment="1">
      <alignment horizontal="center"/>
    </xf>
    <xf numFmtId="39" fontId="38" fillId="0" borderId="0" xfId="0" applyNumberFormat="1" applyFont="1" applyFill="1" applyBorder="1" applyAlignment="1">
      <alignment horizontal="left"/>
    </xf>
    <xf numFmtId="164" fontId="41" fillId="0" borderId="0" xfId="0" applyFont="1" applyFill="1" applyBorder="1" applyAlignment="1">
      <alignment horizontal="left"/>
    </xf>
    <xf numFmtId="166" fontId="38" fillId="0" borderId="0" xfId="0" applyNumberFormat="1" applyFont="1" applyFill="1" applyBorder="1" applyAlignment="1">
      <alignment horizontal="left"/>
    </xf>
    <xf numFmtId="0" fontId="44" fillId="0" borderId="0" xfId="2" applyNumberFormat="1" applyFont="1" applyAlignment="1">
      <alignment horizontal="right"/>
    </xf>
    <xf numFmtId="0" fontId="44" fillId="0" borderId="0" xfId="2" applyNumberFormat="1" applyFont="1" applyAlignment="1">
      <alignment horizontal="left"/>
    </xf>
    <xf numFmtId="0" fontId="44" fillId="0" borderId="67" xfId="2" applyNumberFormat="1" applyFont="1" applyBorder="1" applyAlignment="1">
      <alignment horizontal="center"/>
    </xf>
    <xf numFmtId="0" fontId="67" fillId="0" borderId="0" xfId="2" applyNumberFormat="1" applyFont="1" applyFill="1" applyAlignment="1" applyProtection="1">
      <alignment vertical="justify"/>
      <protection locked="0"/>
    </xf>
    <xf numFmtId="0" fontId="0" fillId="0" borderId="0" xfId="2" applyFont="1" applyFill="1" applyBorder="1" applyAlignment="1"/>
    <xf numFmtId="0" fontId="44" fillId="33" borderId="67" xfId="2" applyFont="1" applyFill="1" applyBorder="1" applyAlignment="1">
      <alignment horizontal="center"/>
    </xf>
    <xf numFmtId="0" fontId="44" fillId="0" borderId="67" xfId="2" applyFont="1" applyFill="1" applyBorder="1" applyAlignment="1">
      <alignment horizontal="center"/>
    </xf>
    <xf numFmtId="166" fontId="75" fillId="35" borderId="0" xfId="2" applyNumberFormat="1" applyFont="1" applyFill="1" applyAlignment="1">
      <alignment horizontal="right"/>
    </xf>
    <xf numFmtId="0" fontId="39" fillId="35" borderId="0" xfId="2" applyFont="1" applyFill="1" applyBorder="1" applyAlignment="1"/>
    <xf numFmtId="166" fontId="44" fillId="0" borderId="10" xfId="2" applyNumberFormat="1" applyFont="1" applyBorder="1" applyAlignment="1" applyProtection="1">
      <alignment horizontal="left"/>
      <protection locked="0"/>
    </xf>
    <xf numFmtId="0" fontId="37" fillId="35" borderId="0" xfId="2" applyFont="1" applyFill="1" applyBorder="1" applyAlignment="1"/>
    <xf numFmtId="166" fontId="44" fillId="0" borderId="67" xfId="2" applyNumberFormat="1" applyFont="1" applyBorder="1" applyAlignment="1" applyProtection="1">
      <alignment horizontal="left"/>
      <protection locked="0"/>
    </xf>
    <xf numFmtId="0" fontId="44" fillId="0" borderId="10" xfId="2" quotePrefix="1" applyNumberFormat="1" applyFont="1" applyBorder="1" applyAlignment="1">
      <alignment horizontal="center"/>
    </xf>
    <xf numFmtId="0" fontId="44" fillId="0" borderId="10" xfId="2" applyNumberFormat="1" applyFont="1" applyBorder="1" applyAlignment="1">
      <alignment horizontal="center"/>
    </xf>
    <xf numFmtId="0" fontId="39" fillId="0" borderId="10" xfId="2" applyFont="1" applyBorder="1" applyAlignment="1">
      <alignment horizontal="center"/>
    </xf>
    <xf numFmtId="175" fontId="43" fillId="0" borderId="0" xfId="4" quotePrefix="1" applyNumberFormat="1" applyFont="1" applyFill="1" applyAlignment="1">
      <alignment horizontal="right"/>
    </xf>
    <xf numFmtId="0" fontId="86" fillId="0" borderId="0" xfId="4" applyFill="1" applyAlignment="1"/>
    <xf numFmtId="175" fontId="44" fillId="0" borderId="10" xfId="4" quotePrefix="1" applyNumberFormat="1" applyFont="1" applyFill="1" applyBorder="1" applyAlignment="1">
      <alignment horizontal="center"/>
    </xf>
    <xf numFmtId="175" fontId="44" fillId="0" borderId="10" xfId="4" applyNumberFormat="1" applyFont="1" applyFill="1" applyBorder="1" applyAlignment="1">
      <alignment horizontal="center"/>
    </xf>
    <xf numFmtId="0" fontId="0" fillId="0" borderId="10" xfId="2" applyFont="1" applyBorder="1" applyAlignment="1"/>
    <xf numFmtId="166" fontId="67" fillId="0" borderId="67" xfId="2" applyNumberFormat="1" applyFont="1" applyBorder="1" applyAlignment="1" applyProtection="1">
      <alignment horizontal="center"/>
      <protection locked="0"/>
    </xf>
    <xf numFmtId="165" fontId="67" fillId="0" borderId="67" xfId="2" applyNumberFormat="1" applyFont="1" applyBorder="1" applyAlignment="1" applyProtection="1">
      <alignment horizontal="center"/>
      <protection locked="0"/>
    </xf>
    <xf numFmtId="0" fontId="67" fillId="0" borderId="0" xfId="2" quotePrefix="1" applyNumberFormat="1" applyFont="1" applyBorder="1" applyAlignment="1">
      <alignment horizontal="center"/>
    </xf>
    <xf numFmtId="0" fontId="62" fillId="0" borderId="0" xfId="2" applyFont="1" applyBorder="1" applyAlignment="1">
      <alignment horizontal="center"/>
    </xf>
    <xf numFmtId="0" fontId="67" fillId="0" borderId="67" xfId="2" quotePrefix="1" applyNumberFormat="1" applyFont="1" applyBorder="1" applyAlignment="1">
      <alignment horizontal="center"/>
    </xf>
    <xf numFmtId="0" fontId="170" fillId="0" borderId="0" xfId="2" quotePrefix="1" applyNumberFormat="1" applyFont="1" applyBorder="1" applyAlignment="1">
      <alignment horizontal="center"/>
    </xf>
    <xf numFmtId="0" fontId="171" fillId="0" borderId="0" xfId="2" applyFont="1" applyBorder="1" applyAlignment="1">
      <alignment horizontal="center"/>
    </xf>
    <xf numFmtId="0" fontId="170" fillId="0" borderId="67" xfId="2" quotePrefix="1" applyNumberFormat="1" applyFont="1" applyBorder="1" applyAlignment="1">
      <alignment horizontal="center"/>
    </xf>
    <xf numFmtId="182" fontId="42" fillId="0" borderId="0" xfId="836" quotePrefix="1" applyNumberFormat="1" applyFont="1" applyAlignment="1">
      <alignment horizontal="justify" vertical="top"/>
    </xf>
    <xf numFmtId="0" fontId="39" fillId="0" borderId="0" xfId="836" applyAlignment="1">
      <alignment horizontal="justify"/>
    </xf>
    <xf numFmtId="182" fontId="42" fillId="0" borderId="0" xfId="836" quotePrefix="1" applyNumberFormat="1" applyFont="1" applyAlignment="1">
      <alignment horizontal="justify" vertical="top" wrapText="1"/>
    </xf>
    <xf numFmtId="0" fontId="39" fillId="0" borderId="0" xfId="836" applyFont="1" applyBorder="1" applyAlignment="1">
      <alignment horizontal="justify"/>
    </xf>
    <xf numFmtId="182" fontId="42" fillId="0" borderId="0" xfId="836" quotePrefix="1" applyNumberFormat="1" applyFont="1" applyAlignment="1">
      <alignment horizontal="left" vertical="distributed" wrapText="1"/>
    </xf>
    <xf numFmtId="0" fontId="39" fillId="0" borderId="0" xfId="836" applyBorder="1" applyAlignment="1"/>
    <xf numFmtId="182" fontId="42" fillId="0" borderId="0" xfId="836" applyNumberFormat="1" applyFont="1" applyBorder="1" applyAlignment="1">
      <alignment horizontal="left" vertical="top" wrapText="1"/>
    </xf>
    <xf numFmtId="0" fontId="44" fillId="0" borderId="0" xfId="17" applyNumberFormat="1" applyFont="1" applyAlignment="1">
      <alignment horizontal="left"/>
    </xf>
    <xf numFmtId="0" fontId="37" fillId="0" borderId="0" xfId="17" applyNumberFormat="1" applyFont="1" applyAlignment="1" applyProtection="1">
      <alignment horizontal="left"/>
      <protection locked="0"/>
    </xf>
    <xf numFmtId="0" fontId="44" fillId="0" borderId="0" xfId="17" applyNumberFormat="1" applyFont="1" applyAlignment="1" applyProtection="1">
      <alignment horizontal="left"/>
      <protection locked="0"/>
    </xf>
    <xf numFmtId="0" fontId="37" fillId="0" borderId="0" xfId="17" applyNumberFormat="1" applyFont="1" applyAlignment="1">
      <alignment horizontal="justify" wrapText="1"/>
    </xf>
    <xf numFmtId="164" fontId="37" fillId="0" borderId="0" xfId="0" applyFont="1" applyAlignment="1">
      <alignment horizontal="justify" wrapText="1"/>
    </xf>
    <xf numFmtId="0" fontId="67" fillId="0" borderId="0" xfId="1776" applyNumberFormat="1" applyFont="1" applyAlignment="1">
      <alignment horizontal="left"/>
    </xf>
    <xf numFmtId="0" fontId="67" fillId="0" borderId="0" xfId="1776" quotePrefix="1" applyNumberFormat="1" applyFont="1" applyAlignment="1">
      <alignment horizontal="left"/>
    </xf>
    <xf numFmtId="0" fontId="67" fillId="0" borderId="0" xfId="1776" quotePrefix="1" applyNumberFormat="1" applyFont="1" applyAlignment="1">
      <alignment horizontal="center"/>
    </xf>
    <xf numFmtId="0" fontId="67" fillId="0" borderId="0" xfId="1776" applyNumberFormat="1" applyFont="1" applyFill="1" applyAlignment="1">
      <alignment horizontal="left"/>
    </xf>
    <xf numFmtId="0" fontId="62" fillId="0" borderId="0" xfId="1776" applyFont="1" applyFill="1" applyBorder="1" applyAlignment="1">
      <alignment horizontal="left"/>
    </xf>
    <xf numFmtId="0" fontId="44" fillId="0" borderId="0" xfId="1776" quotePrefix="1" applyNumberFormat="1" applyFont="1" applyFill="1" applyAlignment="1">
      <alignment horizontal="center"/>
    </xf>
    <xf numFmtId="0" fontId="37" fillId="0" borderId="0" xfId="1776" applyFont="1" applyFill="1" applyBorder="1" applyAlignment="1">
      <alignment horizontal="center"/>
    </xf>
    <xf numFmtId="0" fontId="41" fillId="0" borderId="52" xfId="739" applyFont="1" applyBorder="1" applyAlignment="1">
      <alignment horizontal="justify" wrapText="1"/>
    </xf>
    <xf numFmtId="164" fontId="41" fillId="0" borderId="53" xfId="0" applyFont="1" applyBorder="1" applyAlignment="1">
      <alignment horizontal="justify" wrapText="1"/>
    </xf>
    <xf numFmtId="164" fontId="41" fillId="0" borderId="54" xfId="0" applyFont="1" applyBorder="1" applyAlignment="1">
      <alignment horizontal="justify" wrapText="1"/>
    </xf>
    <xf numFmtId="164" fontId="41" fillId="0" borderId="55" xfId="0" applyFont="1" applyBorder="1" applyAlignment="1">
      <alignment horizontal="justify" wrapText="1"/>
    </xf>
    <xf numFmtId="164" fontId="41" fillId="0" borderId="0" xfId="0" applyFont="1" applyAlignment="1">
      <alignment horizontal="justify" wrapText="1"/>
    </xf>
    <xf numFmtId="164" fontId="41" fillId="0" borderId="44" xfId="0" applyFont="1" applyBorder="1" applyAlignment="1">
      <alignment horizontal="justify" wrapText="1"/>
    </xf>
    <xf numFmtId="164" fontId="41" fillId="0" borderId="56" xfId="0" applyFont="1" applyBorder="1" applyAlignment="1">
      <alignment horizontal="justify" wrapText="1"/>
    </xf>
    <xf numFmtId="164" fontId="41" fillId="0" borderId="51" xfId="0" applyFont="1" applyBorder="1" applyAlignment="1">
      <alignment horizontal="justify" wrapText="1"/>
    </xf>
    <xf numFmtId="164" fontId="41" fillId="0" borderId="57" xfId="0" applyFont="1" applyBorder="1" applyAlignment="1">
      <alignment horizontal="justify" wrapText="1"/>
    </xf>
  </cellXfs>
  <cellStyles count="25862">
    <cellStyle name="20% - Accent1 10" xfId="25"/>
    <cellStyle name="20% - Accent1 10 10" xfId="17928"/>
    <cellStyle name="20% - Accent1 10 2" xfId="26"/>
    <cellStyle name="20% - Accent1 10 2 2" xfId="27"/>
    <cellStyle name="20% - Accent1 10 2 2 2" xfId="1055"/>
    <cellStyle name="20% - Accent1 10 2 2 2 2" xfId="4585"/>
    <cellStyle name="20% - Accent1 10 2 2 2 2 2" xfId="8176"/>
    <cellStyle name="20% - Accent1 10 2 2 2 2 2 2" xfId="16147"/>
    <cellStyle name="20% - Accent1 10 2 2 2 2 2 3" xfId="24093"/>
    <cellStyle name="20% - Accent1 10 2 2 2 2 3" xfId="12609"/>
    <cellStyle name="20% - Accent1 10 2 2 2 2 4" xfId="20564"/>
    <cellStyle name="20% - Accent1 10 2 2 2 3" xfId="6417"/>
    <cellStyle name="20% - Accent1 10 2 2 2 3 2" xfId="14389"/>
    <cellStyle name="20% - Accent1 10 2 2 2 3 3" xfId="22336"/>
    <cellStyle name="20% - Accent1 10 2 2 2 4" xfId="10853"/>
    <cellStyle name="20% - Accent1 10 2 2 2 5" xfId="18808"/>
    <cellStyle name="20% - Accent1 10 2 2 2_Exh G" xfId="1944"/>
    <cellStyle name="20% - Accent1 10 2 2 3" xfId="3706"/>
    <cellStyle name="20% - Accent1 10 2 2 3 2" xfId="7298"/>
    <cellStyle name="20% - Accent1 10 2 2 3 2 2" xfId="15269"/>
    <cellStyle name="20% - Accent1 10 2 2 3 2 3" xfId="23215"/>
    <cellStyle name="20% - Accent1 10 2 2 3 3" xfId="11731"/>
    <cellStyle name="20% - Accent1 10 2 2 3 4" xfId="19686"/>
    <cellStyle name="20% - Accent1 10 2 2 4" xfId="5526"/>
    <cellStyle name="20% - Accent1 10 2 2 4 2" xfId="13510"/>
    <cellStyle name="20% - Accent1 10 2 2 4 3" xfId="21458"/>
    <cellStyle name="20% - Accent1 10 2 2 5" xfId="9079"/>
    <cellStyle name="20% - Accent1 10 2 2 5 2" xfId="17037"/>
    <cellStyle name="20% - Accent1 10 2 2 5 3" xfId="24981"/>
    <cellStyle name="20% - Accent1 10 2 2 6" xfId="9975"/>
    <cellStyle name="20% - Accent1 10 2 2 7" xfId="17930"/>
    <cellStyle name="20% - Accent1 10 2 2_Exh G" xfId="1943"/>
    <cellStyle name="20% - Accent1 10 2 3" xfId="1054"/>
    <cellStyle name="20% - Accent1 10 2 3 2" xfId="4584"/>
    <cellStyle name="20% - Accent1 10 2 3 2 2" xfId="8175"/>
    <cellStyle name="20% - Accent1 10 2 3 2 2 2" xfId="16146"/>
    <cellStyle name="20% - Accent1 10 2 3 2 2 3" xfId="24092"/>
    <cellStyle name="20% - Accent1 10 2 3 2 3" xfId="12608"/>
    <cellStyle name="20% - Accent1 10 2 3 2 4" xfId="20563"/>
    <cellStyle name="20% - Accent1 10 2 3 3" xfId="6416"/>
    <cellStyle name="20% - Accent1 10 2 3 3 2" xfId="14388"/>
    <cellStyle name="20% - Accent1 10 2 3 3 3" xfId="22335"/>
    <cellStyle name="20% - Accent1 10 2 3 4" xfId="10852"/>
    <cellStyle name="20% - Accent1 10 2 3 5" xfId="18807"/>
    <cellStyle name="20% - Accent1 10 2 3_Exh G" xfId="1945"/>
    <cellStyle name="20% - Accent1 10 2 4" xfId="3705"/>
    <cellStyle name="20% - Accent1 10 2 4 2" xfId="7297"/>
    <cellStyle name="20% - Accent1 10 2 4 2 2" xfId="15268"/>
    <cellStyle name="20% - Accent1 10 2 4 2 3" xfId="23214"/>
    <cellStyle name="20% - Accent1 10 2 4 3" xfId="11730"/>
    <cellStyle name="20% - Accent1 10 2 4 4" xfId="19685"/>
    <cellStyle name="20% - Accent1 10 2 5" xfId="5525"/>
    <cellStyle name="20% - Accent1 10 2 5 2" xfId="13509"/>
    <cellStyle name="20% - Accent1 10 2 5 3" xfId="21457"/>
    <cellStyle name="20% - Accent1 10 2 6" xfId="9078"/>
    <cellStyle name="20% - Accent1 10 2 6 2" xfId="17036"/>
    <cellStyle name="20% - Accent1 10 2 6 3" xfId="24980"/>
    <cellStyle name="20% - Accent1 10 2 7" xfId="9974"/>
    <cellStyle name="20% - Accent1 10 2 8" xfId="17929"/>
    <cellStyle name="20% - Accent1 10 2_Exh G" xfId="1942"/>
    <cellStyle name="20% - Accent1 10 3" xfId="28"/>
    <cellStyle name="20% - Accent1 10 3 2" xfId="1056"/>
    <cellStyle name="20% - Accent1 10 3 2 2" xfId="4586"/>
    <cellStyle name="20% - Accent1 10 3 2 2 2" xfId="8177"/>
    <cellStyle name="20% - Accent1 10 3 2 2 2 2" xfId="16148"/>
    <cellStyle name="20% - Accent1 10 3 2 2 2 3" xfId="24094"/>
    <cellStyle name="20% - Accent1 10 3 2 2 3" xfId="12610"/>
    <cellStyle name="20% - Accent1 10 3 2 2 4" xfId="20565"/>
    <cellStyle name="20% - Accent1 10 3 2 3" xfId="6418"/>
    <cellStyle name="20% - Accent1 10 3 2 3 2" xfId="14390"/>
    <cellStyle name="20% - Accent1 10 3 2 3 3" xfId="22337"/>
    <cellStyle name="20% - Accent1 10 3 2 4" xfId="10854"/>
    <cellStyle name="20% - Accent1 10 3 2 5" xfId="18809"/>
    <cellStyle name="20% - Accent1 10 3 2_Exh G" xfId="1947"/>
    <cellStyle name="20% - Accent1 10 3 3" xfId="3707"/>
    <cellStyle name="20% - Accent1 10 3 3 2" xfId="7299"/>
    <cellStyle name="20% - Accent1 10 3 3 2 2" xfId="15270"/>
    <cellStyle name="20% - Accent1 10 3 3 2 3" xfId="23216"/>
    <cellStyle name="20% - Accent1 10 3 3 3" xfId="11732"/>
    <cellStyle name="20% - Accent1 10 3 3 4" xfId="19687"/>
    <cellStyle name="20% - Accent1 10 3 4" xfId="5527"/>
    <cellStyle name="20% - Accent1 10 3 4 2" xfId="13511"/>
    <cellStyle name="20% - Accent1 10 3 4 3" xfId="21459"/>
    <cellStyle name="20% - Accent1 10 3 5" xfId="9080"/>
    <cellStyle name="20% - Accent1 10 3 5 2" xfId="17038"/>
    <cellStyle name="20% - Accent1 10 3 5 3" xfId="24982"/>
    <cellStyle name="20% - Accent1 10 3 6" xfId="9976"/>
    <cellStyle name="20% - Accent1 10 3 7" xfId="17931"/>
    <cellStyle name="20% - Accent1 10 3_Exh G" xfId="1946"/>
    <cellStyle name="20% - Accent1 10 4" xfId="862"/>
    <cellStyle name="20% - Accent1 10 5" xfId="1053"/>
    <cellStyle name="20% - Accent1 10 5 2" xfId="4583"/>
    <cellStyle name="20% - Accent1 10 5 2 2" xfId="8174"/>
    <cellStyle name="20% - Accent1 10 5 2 2 2" xfId="16145"/>
    <cellStyle name="20% - Accent1 10 5 2 2 3" xfId="24091"/>
    <cellStyle name="20% - Accent1 10 5 2 3" xfId="12607"/>
    <cellStyle name="20% - Accent1 10 5 2 4" xfId="20562"/>
    <cellStyle name="20% - Accent1 10 5 3" xfId="6415"/>
    <cellStyle name="20% - Accent1 10 5 3 2" xfId="14387"/>
    <cellStyle name="20% - Accent1 10 5 3 3" xfId="22334"/>
    <cellStyle name="20% - Accent1 10 5 4" xfId="10851"/>
    <cellStyle name="20% - Accent1 10 5 5" xfId="18806"/>
    <cellStyle name="20% - Accent1 10 5_Exh G" xfId="1948"/>
    <cellStyle name="20% - Accent1 10 6" xfId="3704"/>
    <cellStyle name="20% - Accent1 10 6 2" xfId="7296"/>
    <cellStyle name="20% - Accent1 10 6 2 2" xfId="15267"/>
    <cellStyle name="20% - Accent1 10 6 2 3" xfId="23213"/>
    <cellStyle name="20% - Accent1 10 6 3" xfId="11729"/>
    <cellStyle name="20% - Accent1 10 6 4" xfId="19684"/>
    <cellStyle name="20% - Accent1 10 7" xfId="5524"/>
    <cellStyle name="20% - Accent1 10 7 2" xfId="13508"/>
    <cellStyle name="20% - Accent1 10 7 3" xfId="21456"/>
    <cellStyle name="20% - Accent1 10 8" xfId="9077"/>
    <cellStyle name="20% - Accent1 10 8 2" xfId="17035"/>
    <cellStyle name="20% - Accent1 10 8 3" xfId="24979"/>
    <cellStyle name="20% - Accent1 10 9" xfId="9973"/>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 2 2" xfId="8180"/>
    <cellStyle name="20% - Accent1 11 2 2 2 2 2 2" xfId="16151"/>
    <cellStyle name="20% - Accent1 11 2 2 2 2 2 3" xfId="24097"/>
    <cellStyle name="20% - Accent1 11 2 2 2 2 3" xfId="12613"/>
    <cellStyle name="20% - Accent1 11 2 2 2 2 4" xfId="20568"/>
    <cellStyle name="20% - Accent1 11 2 2 2 3" xfId="6421"/>
    <cellStyle name="20% - Accent1 11 2 2 2 3 2" xfId="14393"/>
    <cellStyle name="20% - Accent1 11 2 2 2 3 3" xfId="22340"/>
    <cellStyle name="20% - Accent1 11 2 2 2 4" xfId="10857"/>
    <cellStyle name="20% - Accent1 11 2 2 2 5" xfId="18812"/>
    <cellStyle name="20% - Accent1 11 2 2 2_Exh G" xfId="1952"/>
    <cellStyle name="20% - Accent1 11 2 2 3" xfId="3710"/>
    <cellStyle name="20% - Accent1 11 2 2 3 2" xfId="7302"/>
    <cellStyle name="20% - Accent1 11 2 2 3 2 2" xfId="15273"/>
    <cellStyle name="20% - Accent1 11 2 2 3 2 3" xfId="23219"/>
    <cellStyle name="20% - Accent1 11 2 2 3 3" xfId="11735"/>
    <cellStyle name="20% - Accent1 11 2 2 3 4" xfId="19690"/>
    <cellStyle name="20% - Accent1 11 2 2 4" xfId="5530"/>
    <cellStyle name="20% - Accent1 11 2 2 4 2" xfId="13514"/>
    <cellStyle name="20% - Accent1 11 2 2 4 3" xfId="21462"/>
    <cellStyle name="20% - Accent1 11 2 2 5" xfId="9083"/>
    <cellStyle name="20% - Accent1 11 2 2 5 2" xfId="17041"/>
    <cellStyle name="20% - Accent1 11 2 2 5 3" xfId="24985"/>
    <cellStyle name="20% - Accent1 11 2 2 6" xfId="9979"/>
    <cellStyle name="20% - Accent1 11 2 2 7" xfId="17934"/>
    <cellStyle name="20% - Accent1 11 2 2_Exh G" xfId="1951"/>
    <cellStyle name="20% - Accent1 11 2 3" xfId="1058"/>
    <cellStyle name="20% - Accent1 11 2 3 2" xfId="4588"/>
    <cellStyle name="20% - Accent1 11 2 3 2 2" xfId="8179"/>
    <cellStyle name="20% - Accent1 11 2 3 2 2 2" xfId="16150"/>
    <cellStyle name="20% - Accent1 11 2 3 2 2 3" xfId="24096"/>
    <cellStyle name="20% - Accent1 11 2 3 2 3" xfId="12612"/>
    <cellStyle name="20% - Accent1 11 2 3 2 4" xfId="20567"/>
    <cellStyle name="20% - Accent1 11 2 3 3" xfId="6420"/>
    <cellStyle name="20% - Accent1 11 2 3 3 2" xfId="14392"/>
    <cellStyle name="20% - Accent1 11 2 3 3 3" xfId="22339"/>
    <cellStyle name="20% - Accent1 11 2 3 4" xfId="10856"/>
    <cellStyle name="20% - Accent1 11 2 3 5" xfId="18811"/>
    <cellStyle name="20% - Accent1 11 2 3_Exh G" xfId="1953"/>
    <cellStyle name="20% - Accent1 11 2 4" xfId="3709"/>
    <cellStyle name="20% - Accent1 11 2 4 2" xfId="7301"/>
    <cellStyle name="20% - Accent1 11 2 4 2 2" xfId="15272"/>
    <cellStyle name="20% - Accent1 11 2 4 2 3" xfId="23218"/>
    <cellStyle name="20% - Accent1 11 2 4 3" xfId="11734"/>
    <cellStyle name="20% - Accent1 11 2 4 4" xfId="19689"/>
    <cellStyle name="20% - Accent1 11 2 5" xfId="5529"/>
    <cellStyle name="20% - Accent1 11 2 5 2" xfId="13513"/>
    <cellStyle name="20% - Accent1 11 2 5 3" xfId="21461"/>
    <cellStyle name="20% - Accent1 11 2 6" xfId="9082"/>
    <cellStyle name="20% - Accent1 11 2 6 2" xfId="17040"/>
    <cellStyle name="20% - Accent1 11 2 6 3" xfId="24984"/>
    <cellStyle name="20% - Accent1 11 2 7" xfId="9978"/>
    <cellStyle name="20% - Accent1 11 2 8" xfId="17933"/>
    <cellStyle name="20% - Accent1 11 2_Exh G" xfId="1950"/>
    <cellStyle name="20% - Accent1 11 3" xfId="32"/>
    <cellStyle name="20% - Accent1 11 3 2" xfId="1060"/>
    <cellStyle name="20% - Accent1 11 3 2 2" xfId="4590"/>
    <cellStyle name="20% - Accent1 11 3 2 2 2" xfId="8181"/>
    <cellStyle name="20% - Accent1 11 3 2 2 2 2" xfId="16152"/>
    <cellStyle name="20% - Accent1 11 3 2 2 2 3" xfId="24098"/>
    <cellStyle name="20% - Accent1 11 3 2 2 3" xfId="12614"/>
    <cellStyle name="20% - Accent1 11 3 2 2 4" xfId="20569"/>
    <cellStyle name="20% - Accent1 11 3 2 3" xfId="6422"/>
    <cellStyle name="20% - Accent1 11 3 2 3 2" xfId="14394"/>
    <cellStyle name="20% - Accent1 11 3 2 3 3" xfId="22341"/>
    <cellStyle name="20% - Accent1 11 3 2 4" xfId="10858"/>
    <cellStyle name="20% - Accent1 11 3 2 5" xfId="18813"/>
    <cellStyle name="20% - Accent1 11 3 2_Exh G" xfId="1955"/>
    <cellStyle name="20% - Accent1 11 3 3" xfId="3711"/>
    <cellStyle name="20% - Accent1 11 3 3 2" xfId="7303"/>
    <cellStyle name="20% - Accent1 11 3 3 2 2" xfId="15274"/>
    <cellStyle name="20% - Accent1 11 3 3 2 3" xfId="23220"/>
    <cellStyle name="20% - Accent1 11 3 3 3" xfId="11736"/>
    <cellStyle name="20% - Accent1 11 3 3 4" xfId="19691"/>
    <cellStyle name="20% - Accent1 11 3 4" xfId="5531"/>
    <cellStyle name="20% - Accent1 11 3 4 2" xfId="13515"/>
    <cellStyle name="20% - Accent1 11 3 4 3" xfId="21463"/>
    <cellStyle name="20% - Accent1 11 3 5" xfId="9084"/>
    <cellStyle name="20% - Accent1 11 3 5 2" xfId="17042"/>
    <cellStyle name="20% - Accent1 11 3 5 3" xfId="24986"/>
    <cellStyle name="20% - Accent1 11 3 6" xfId="9980"/>
    <cellStyle name="20% - Accent1 11 3 7" xfId="17935"/>
    <cellStyle name="20% - Accent1 11 3_Exh G" xfId="1954"/>
    <cellStyle name="20% - Accent1 11 4" xfId="1057"/>
    <cellStyle name="20% - Accent1 11 4 2" xfId="4587"/>
    <cellStyle name="20% - Accent1 11 4 2 2" xfId="8178"/>
    <cellStyle name="20% - Accent1 11 4 2 2 2" xfId="16149"/>
    <cellStyle name="20% - Accent1 11 4 2 2 3" xfId="24095"/>
    <cellStyle name="20% - Accent1 11 4 2 3" xfId="12611"/>
    <cellStyle name="20% - Accent1 11 4 2 4" xfId="20566"/>
    <cellStyle name="20% - Accent1 11 4 3" xfId="6419"/>
    <cellStyle name="20% - Accent1 11 4 3 2" xfId="14391"/>
    <cellStyle name="20% - Accent1 11 4 3 3" xfId="22338"/>
    <cellStyle name="20% - Accent1 11 4 4" xfId="10855"/>
    <cellStyle name="20% - Accent1 11 4 5" xfId="18810"/>
    <cellStyle name="20% - Accent1 11 4_Exh G" xfId="1956"/>
    <cellStyle name="20% - Accent1 11 5" xfId="3708"/>
    <cellStyle name="20% - Accent1 11 5 2" xfId="7300"/>
    <cellStyle name="20% - Accent1 11 5 2 2" xfId="15271"/>
    <cellStyle name="20% - Accent1 11 5 2 3" xfId="23217"/>
    <cellStyle name="20% - Accent1 11 5 3" xfId="11733"/>
    <cellStyle name="20% - Accent1 11 5 4" xfId="19688"/>
    <cellStyle name="20% - Accent1 11 6" xfId="5528"/>
    <cellStyle name="20% - Accent1 11 6 2" xfId="13512"/>
    <cellStyle name="20% - Accent1 11 6 3" xfId="21460"/>
    <cellStyle name="20% - Accent1 11 7" xfId="9081"/>
    <cellStyle name="20% - Accent1 11 7 2" xfId="17039"/>
    <cellStyle name="20% - Accent1 11 7 3" xfId="24983"/>
    <cellStyle name="20% - Accent1 11 8" xfId="9977"/>
    <cellStyle name="20% - Accent1 11 9" xfId="17932"/>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 2 2" xfId="8184"/>
    <cellStyle name="20% - Accent1 12 2 2 2 2 2 2" xfId="16155"/>
    <cellStyle name="20% - Accent1 12 2 2 2 2 2 3" xfId="24101"/>
    <cellStyle name="20% - Accent1 12 2 2 2 2 3" xfId="12617"/>
    <cellStyle name="20% - Accent1 12 2 2 2 2 4" xfId="20572"/>
    <cellStyle name="20% - Accent1 12 2 2 2 3" xfId="6425"/>
    <cellStyle name="20% - Accent1 12 2 2 2 3 2" xfId="14397"/>
    <cellStyle name="20% - Accent1 12 2 2 2 3 3" xfId="22344"/>
    <cellStyle name="20% - Accent1 12 2 2 2 4" xfId="10861"/>
    <cellStyle name="20% - Accent1 12 2 2 2 5" xfId="18816"/>
    <cellStyle name="20% - Accent1 12 2 2 2_Exh G" xfId="1960"/>
    <cellStyle name="20% - Accent1 12 2 2 3" xfId="3714"/>
    <cellStyle name="20% - Accent1 12 2 2 3 2" xfId="7306"/>
    <cellStyle name="20% - Accent1 12 2 2 3 2 2" xfId="15277"/>
    <cellStyle name="20% - Accent1 12 2 2 3 2 3" xfId="23223"/>
    <cellStyle name="20% - Accent1 12 2 2 3 3" xfId="11739"/>
    <cellStyle name="20% - Accent1 12 2 2 3 4" xfId="19694"/>
    <cellStyle name="20% - Accent1 12 2 2 4" xfId="5534"/>
    <cellStyle name="20% - Accent1 12 2 2 4 2" xfId="13518"/>
    <cellStyle name="20% - Accent1 12 2 2 4 3" xfId="21466"/>
    <cellStyle name="20% - Accent1 12 2 2 5" xfId="9087"/>
    <cellStyle name="20% - Accent1 12 2 2 5 2" xfId="17045"/>
    <cellStyle name="20% - Accent1 12 2 2 5 3" xfId="24989"/>
    <cellStyle name="20% - Accent1 12 2 2 6" xfId="9983"/>
    <cellStyle name="20% - Accent1 12 2 2 7" xfId="17938"/>
    <cellStyle name="20% - Accent1 12 2 2_Exh G" xfId="1959"/>
    <cellStyle name="20% - Accent1 12 2 3" xfId="1062"/>
    <cellStyle name="20% - Accent1 12 2 3 2" xfId="4592"/>
    <cellStyle name="20% - Accent1 12 2 3 2 2" xfId="8183"/>
    <cellStyle name="20% - Accent1 12 2 3 2 2 2" xfId="16154"/>
    <cellStyle name="20% - Accent1 12 2 3 2 2 3" xfId="24100"/>
    <cellStyle name="20% - Accent1 12 2 3 2 3" xfId="12616"/>
    <cellStyle name="20% - Accent1 12 2 3 2 4" xfId="20571"/>
    <cellStyle name="20% - Accent1 12 2 3 3" xfId="6424"/>
    <cellStyle name="20% - Accent1 12 2 3 3 2" xfId="14396"/>
    <cellStyle name="20% - Accent1 12 2 3 3 3" xfId="22343"/>
    <cellStyle name="20% - Accent1 12 2 3 4" xfId="10860"/>
    <cellStyle name="20% - Accent1 12 2 3 5" xfId="18815"/>
    <cellStyle name="20% - Accent1 12 2 3_Exh G" xfId="1961"/>
    <cellStyle name="20% - Accent1 12 2 4" xfId="3713"/>
    <cellStyle name="20% - Accent1 12 2 4 2" xfId="7305"/>
    <cellStyle name="20% - Accent1 12 2 4 2 2" xfId="15276"/>
    <cellStyle name="20% - Accent1 12 2 4 2 3" xfId="23222"/>
    <cellStyle name="20% - Accent1 12 2 4 3" xfId="11738"/>
    <cellStyle name="20% - Accent1 12 2 4 4" xfId="19693"/>
    <cellStyle name="20% - Accent1 12 2 5" xfId="5533"/>
    <cellStyle name="20% - Accent1 12 2 5 2" xfId="13517"/>
    <cellStyle name="20% - Accent1 12 2 5 3" xfId="21465"/>
    <cellStyle name="20% - Accent1 12 2 6" xfId="9086"/>
    <cellStyle name="20% - Accent1 12 2 6 2" xfId="17044"/>
    <cellStyle name="20% - Accent1 12 2 6 3" xfId="24988"/>
    <cellStyle name="20% - Accent1 12 2 7" xfId="9982"/>
    <cellStyle name="20% - Accent1 12 2 8" xfId="17937"/>
    <cellStyle name="20% - Accent1 12 2_Exh G" xfId="1958"/>
    <cellStyle name="20% - Accent1 12 3" xfId="36"/>
    <cellStyle name="20% - Accent1 12 3 2" xfId="1064"/>
    <cellStyle name="20% - Accent1 12 3 2 2" xfId="4594"/>
    <cellStyle name="20% - Accent1 12 3 2 2 2" xfId="8185"/>
    <cellStyle name="20% - Accent1 12 3 2 2 2 2" xfId="16156"/>
    <cellStyle name="20% - Accent1 12 3 2 2 2 3" xfId="24102"/>
    <cellStyle name="20% - Accent1 12 3 2 2 3" xfId="12618"/>
    <cellStyle name="20% - Accent1 12 3 2 2 4" xfId="20573"/>
    <cellStyle name="20% - Accent1 12 3 2 3" xfId="6426"/>
    <cellStyle name="20% - Accent1 12 3 2 3 2" xfId="14398"/>
    <cellStyle name="20% - Accent1 12 3 2 3 3" xfId="22345"/>
    <cellStyle name="20% - Accent1 12 3 2 4" xfId="10862"/>
    <cellStyle name="20% - Accent1 12 3 2 5" xfId="18817"/>
    <cellStyle name="20% - Accent1 12 3 2_Exh G" xfId="1963"/>
    <cellStyle name="20% - Accent1 12 3 3" xfId="3715"/>
    <cellStyle name="20% - Accent1 12 3 3 2" xfId="7307"/>
    <cellStyle name="20% - Accent1 12 3 3 2 2" xfId="15278"/>
    <cellStyle name="20% - Accent1 12 3 3 2 3" xfId="23224"/>
    <cellStyle name="20% - Accent1 12 3 3 3" xfId="11740"/>
    <cellStyle name="20% - Accent1 12 3 3 4" xfId="19695"/>
    <cellStyle name="20% - Accent1 12 3 4" xfId="5535"/>
    <cellStyle name="20% - Accent1 12 3 4 2" xfId="13519"/>
    <cellStyle name="20% - Accent1 12 3 4 3" xfId="21467"/>
    <cellStyle name="20% - Accent1 12 3 5" xfId="9088"/>
    <cellStyle name="20% - Accent1 12 3 5 2" xfId="17046"/>
    <cellStyle name="20% - Accent1 12 3 5 3" xfId="24990"/>
    <cellStyle name="20% - Accent1 12 3 6" xfId="9984"/>
    <cellStyle name="20% - Accent1 12 3 7" xfId="17939"/>
    <cellStyle name="20% - Accent1 12 3_Exh G" xfId="1962"/>
    <cellStyle name="20% - Accent1 12 4" xfId="1061"/>
    <cellStyle name="20% - Accent1 12 4 2" xfId="4591"/>
    <cellStyle name="20% - Accent1 12 4 2 2" xfId="8182"/>
    <cellStyle name="20% - Accent1 12 4 2 2 2" xfId="16153"/>
    <cellStyle name="20% - Accent1 12 4 2 2 3" xfId="24099"/>
    <cellStyle name="20% - Accent1 12 4 2 3" xfId="12615"/>
    <cellStyle name="20% - Accent1 12 4 2 4" xfId="20570"/>
    <cellStyle name="20% - Accent1 12 4 3" xfId="6423"/>
    <cellStyle name="20% - Accent1 12 4 3 2" xfId="14395"/>
    <cellStyle name="20% - Accent1 12 4 3 3" xfId="22342"/>
    <cellStyle name="20% - Accent1 12 4 4" xfId="10859"/>
    <cellStyle name="20% - Accent1 12 4 5" xfId="18814"/>
    <cellStyle name="20% - Accent1 12 4_Exh G" xfId="1964"/>
    <cellStyle name="20% - Accent1 12 5" xfId="3712"/>
    <cellStyle name="20% - Accent1 12 5 2" xfId="7304"/>
    <cellStyle name="20% - Accent1 12 5 2 2" xfId="15275"/>
    <cellStyle name="20% - Accent1 12 5 2 3" xfId="23221"/>
    <cellStyle name="20% - Accent1 12 5 3" xfId="11737"/>
    <cellStyle name="20% - Accent1 12 5 4" xfId="19692"/>
    <cellStyle name="20% - Accent1 12 6" xfId="5532"/>
    <cellStyle name="20% - Accent1 12 6 2" xfId="13516"/>
    <cellStyle name="20% - Accent1 12 6 3" xfId="21464"/>
    <cellStyle name="20% - Accent1 12 7" xfId="9085"/>
    <cellStyle name="20% - Accent1 12 7 2" xfId="17043"/>
    <cellStyle name="20% - Accent1 12 7 3" xfId="24987"/>
    <cellStyle name="20% - Accent1 12 8" xfId="9981"/>
    <cellStyle name="20% - Accent1 12 9" xfId="17936"/>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 2 2" xfId="8188"/>
    <cellStyle name="20% - Accent1 13 2 2 2 2 2 2" xfId="16159"/>
    <cellStyle name="20% - Accent1 13 2 2 2 2 2 3" xfId="24105"/>
    <cellStyle name="20% - Accent1 13 2 2 2 2 3" xfId="12621"/>
    <cellStyle name="20% - Accent1 13 2 2 2 2 4" xfId="20576"/>
    <cellStyle name="20% - Accent1 13 2 2 2 3" xfId="6429"/>
    <cellStyle name="20% - Accent1 13 2 2 2 3 2" xfId="14401"/>
    <cellStyle name="20% - Accent1 13 2 2 2 3 3" xfId="22348"/>
    <cellStyle name="20% - Accent1 13 2 2 2 4" xfId="10865"/>
    <cellStyle name="20% - Accent1 13 2 2 2 5" xfId="18820"/>
    <cellStyle name="20% - Accent1 13 2 2 2_Exh G" xfId="1968"/>
    <cellStyle name="20% - Accent1 13 2 2 3" xfId="3718"/>
    <cellStyle name="20% - Accent1 13 2 2 3 2" xfId="7310"/>
    <cellStyle name="20% - Accent1 13 2 2 3 2 2" xfId="15281"/>
    <cellStyle name="20% - Accent1 13 2 2 3 2 3" xfId="23227"/>
    <cellStyle name="20% - Accent1 13 2 2 3 3" xfId="11743"/>
    <cellStyle name="20% - Accent1 13 2 2 3 4" xfId="19698"/>
    <cellStyle name="20% - Accent1 13 2 2 4" xfId="5538"/>
    <cellStyle name="20% - Accent1 13 2 2 4 2" xfId="13522"/>
    <cellStyle name="20% - Accent1 13 2 2 4 3" xfId="21470"/>
    <cellStyle name="20% - Accent1 13 2 2 5" xfId="9091"/>
    <cellStyle name="20% - Accent1 13 2 2 5 2" xfId="17049"/>
    <cellStyle name="20% - Accent1 13 2 2 5 3" xfId="24993"/>
    <cellStyle name="20% - Accent1 13 2 2 6" xfId="9987"/>
    <cellStyle name="20% - Accent1 13 2 2 7" xfId="17942"/>
    <cellStyle name="20% - Accent1 13 2 2_Exh G" xfId="1967"/>
    <cellStyle name="20% - Accent1 13 2 3" xfId="1066"/>
    <cellStyle name="20% - Accent1 13 2 3 2" xfId="4596"/>
    <cellStyle name="20% - Accent1 13 2 3 2 2" xfId="8187"/>
    <cellStyle name="20% - Accent1 13 2 3 2 2 2" xfId="16158"/>
    <cellStyle name="20% - Accent1 13 2 3 2 2 3" xfId="24104"/>
    <cellStyle name="20% - Accent1 13 2 3 2 3" xfId="12620"/>
    <cellStyle name="20% - Accent1 13 2 3 2 4" xfId="20575"/>
    <cellStyle name="20% - Accent1 13 2 3 3" xfId="6428"/>
    <cellStyle name="20% - Accent1 13 2 3 3 2" xfId="14400"/>
    <cellStyle name="20% - Accent1 13 2 3 3 3" xfId="22347"/>
    <cellStyle name="20% - Accent1 13 2 3 4" xfId="10864"/>
    <cellStyle name="20% - Accent1 13 2 3 5" xfId="18819"/>
    <cellStyle name="20% - Accent1 13 2 3_Exh G" xfId="1969"/>
    <cellStyle name="20% - Accent1 13 2 4" xfId="3717"/>
    <cellStyle name="20% - Accent1 13 2 4 2" xfId="7309"/>
    <cellStyle name="20% - Accent1 13 2 4 2 2" xfId="15280"/>
    <cellStyle name="20% - Accent1 13 2 4 2 3" xfId="23226"/>
    <cellStyle name="20% - Accent1 13 2 4 3" xfId="11742"/>
    <cellStyle name="20% - Accent1 13 2 4 4" xfId="19697"/>
    <cellStyle name="20% - Accent1 13 2 5" xfId="5537"/>
    <cellStyle name="20% - Accent1 13 2 5 2" xfId="13521"/>
    <cellStyle name="20% - Accent1 13 2 5 3" xfId="21469"/>
    <cellStyle name="20% - Accent1 13 2 6" xfId="9090"/>
    <cellStyle name="20% - Accent1 13 2 6 2" xfId="17048"/>
    <cellStyle name="20% - Accent1 13 2 6 3" xfId="24992"/>
    <cellStyle name="20% - Accent1 13 2 7" xfId="9986"/>
    <cellStyle name="20% - Accent1 13 2 8" xfId="17941"/>
    <cellStyle name="20% - Accent1 13 2_Exh G" xfId="1966"/>
    <cellStyle name="20% - Accent1 13 3" xfId="40"/>
    <cellStyle name="20% - Accent1 13 3 2" xfId="1068"/>
    <cellStyle name="20% - Accent1 13 3 2 2" xfId="4598"/>
    <cellStyle name="20% - Accent1 13 3 2 2 2" xfId="8189"/>
    <cellStyle name="20% - Accent1 13 3 2 2 2 2" xfId="16160"/>
    <cellStyle name="20% - Accent1 13 3 2 2 2 3" xfId="24106"/>
    <cellStyle name="20% - Accent1 13 3 2 2 3" xfId="12622"/>
    <cellStyle name="20% - Accent1 13 3 2 2 4" xfId="20577"/>
    <cellStyle name="20% - Accent1 13 3 2 3" xfId="6430"/>
    <cellStyle name="20% - Accent1 13 3 2 3 2" xfId="14402"/>
    <cellStyle name="20% - Accent1 13 3 2 3 3" xfId="22349"/>
    <cellStyle name="20% - Accent1 13 3 2 4" xfId="10866"/>
    <cellStyle name="20% - Accent1 13 3 2 5" xfId="18821"/>
    <cellStyle name="20% - Accent1 13 3 2_Exh G" xfId="1971"/>
    <cellStyle name="20% - Accent1 13 3 3" xfId="3719"/>
    <cellStyle name="20% - Accent1 13 3 3 2" xfId="7311"/>
    <cellStyle name="20% - Accent1 13 3 3 2 2" xfId="15282"/>
    <cellStyle name="20% - Accent1 13 3 3 2 3" xfId="23228"/>
    <cellStyle name="20% - Accent1 13 3 3 3" xfId="11744"/>
    <cellStyle name="20% - Accent1 13 3 3 4" xfId="19699"/>
    <cellStyle name="20% - Accent1 13 3 4" xfId="5539"/>
    <cellStyle name="20% - Accent1 13 3 4 2" xfId="13523"/>
    <cellStyle name="20% - Accent1 13 3 4 3" xfId="21471"/>
    <cellStyle name="20% - Accent1 13 3 5" xfId="9092"/>
    <cellStyle name="20% - Accent1 13 3 5 2" xfId="17050"/>
    <cellStyle name="20% - Accent1 13 3 5 3" xfId="24994"/>
    <cellStyle name="20% - Accent1 13 3 6" xfId="9988"/>
    <cellStyle name="20% - Accent1 13 3 7" xfId="17943"/>
    <cellStyle name="20% - Accent1 13 3_Exh G" xfId="1970"/>
    <cellStyle name="20% - Accent1 13 4" xfId="1065"/>
    <cellStyle name="20% - Accent1 13 4 2" xfId="4595"/>
    <cellStyle name="20% - Accent1 13 4 2 2" xfId="8186"/>
    <cellStyle name="20% - Accent1 13 4 2 2 2" xfId="16157"/>
    <cellStyle name="20% - Accent1 13 4 2 2 3" xfId="24103"/>
    <cellStyle name="20% - Accent1 13 4 2 3" xfId="12619"/>
    <cellStyle name="20% - Accent1 13 4 2 4" xfId="20574"/>
    <cellStyle name="20% - Accent1 13 4 3" xfId="6427"/>
    <cellStyle name="20% - Accent1 13 4 3 2" xfId="14399"/>
    <cellStyle name="20% - Accent1 13 4 3 3" xfId="22346"/>
    <cellStyle name="20% - Accent1 13 4 4" xfId="10863"/>
    <cellStyle name="20% - Accent1 13 4 5" xfId="18818"/>
    <cellStyle name="20% - Accent1 13 4_Exh G" xfId="1972"/>
    <cellStyle name="20% - Accent1 13 5" xfId="3716"/>
    <cellStyle name="20% - Accent1 13 5 2" xfId="7308"/>
    <cellStyle name="20% - Accent1 13 5 2 2" xfId="15279"/>
    <cellStyle name="20% - Accent1 13 5 2 3" xfId="23225"/>
    <cellStyle name="20% - Accent1 13 5 3" xfId="11741"/>
    <cellStyle name="20% - Accent1 13 5 4" xfId="19696"/>
    <cellStyle name="20% - Accent1 13 6" xfId="5536"/>
    <cellStyle name="20% - Accent1 13 6 2" xfId="13520"/>
    <cellStyle name="20% - Accent1 13 6 3" xfId="21468"/>
    <cellStyle name="20% - Accent1 13 7" xfId="9089"/>
    <cellStyle name="20% - Accent1 13 7 2" xfId="17047"/>
    <cellStyle name="20% - Accent1 13 7 3" xfId="24991"/>
    <cellStyle name="20% - Accent1 13 8" xfId="9985"/>
    <cellStyle name="20% - Accent1 13 9" xfId="17940"/>
    <cellStyle name="20% - Accent1 13_Exh G" xfId="1965"/>
    <cellStyle name="20% - Accent1 14" xfId="41"/>
    <cellStyle name="20% - Accent1 14 2" xfId="42"/>
    <cellStyle name="20% - Accent1 14 2 2" xfId="1070"/>
    <cellStyle name="20% - Accent1 14 2 2 2" xfId="4600"/>
    <cellStyle name="20% - Accent1 14 2 2 2 2" xfId="8191"/>
    <cellStyle name="20% - Accent1 14 2 2 2 2 2" xfId="16162"/>
    <cellStyle name="20% - Accent1 14 2 2 2 2 3" xfId="24108"/>
    <cellStyle name="20% - Accent1 14 2 2 2 3" xfId="12624"/>
    <cellStyle name="20% - Accent1 14 2 2 2 4" xfId="20579"/>
    <cellStyle name="20% - Accent1 14 2 2 3" xfId="6432"/>
    <cellStyle name="20% - Accent1 14 2 2 3 2" xfId="14404"/>
    <cellStyle name="20% - Accent1 14 2 2 3 3" xfId="22351"/>
    <cellStyle name="20% - Accent1 14 2 2 4" xfId="10868"/>
    <cellStyle name="20% - Accent1 14 2 2 5" xfId="18823"/>
    <cellStyle name="20% - Accent1 14 2 2_Exh G" xfId="1975"/>
    <cellStyle name="20% - Accent1 14 2 3" xfId="3721"/>
    <cellStyle name="20% - Accent1 14 2 3 2" xfId="7313"/>
    <cellStyle name="20% - Accent1 14 2 3 2 2" xfId="15284"/>
    <cellStyle name="20% - Accent1 14 2 3 2 3" xfId="23230"/>
    <cellStyle name="20% - Accent1 14 2 3 3" xfId="11746"/>
    <cellStyle name="20% - Accent1 14 2 3 4" xfId="19701"/>
    <cellStyle name="20% - Accent1 14 2 4" xfId="5541"/>
    <cellStyle name="20% - Accent1 14 2 4 2" xfId="13525"/>
    <cellStyle name="20% - Accent1 14 2 4 3" xfId="21473"/>
    <cellStyle name="20% - Accent1 14 2 5" xfId="9094"/>
    <cellStyle name="20% - Accent1 14 2 5 2" xfId="17052"/>
    <cellStyle name="20% - Accent1 14 2 5 3" xfId="24996"/>
    <cellStyle name="20% - Accent1 14 2 6" xfId="9990"/>
    <cellStyle name="20% - Accent1 14 2 7" xfId="17945"/>
    <cellStyle name="20% - Accent1 14 2_Exh G" xfId="1974"/>
    <cellStyle name="20% - Accent1 14 3" xfId="1069"/>
    <cellStyle name="20% - Accent1 14 3 2" xfId="4599"/>
    <cellStyle name="20% - Accent1 14 3 2 2" xfId="8190"/>
    <cellStyle name="20% - Accent1 14 3 2 2 2" xfId="16161"/>
    <cellStyle name="20% - Accent1 14 3 2 2 3" xfId="24107"/>
    <cellStyle name="20% - Accent1 14 3 2 3" xfId="12623"/>
    <cellStyle name="20% - Accent1 14 3 2 4" xfId="20578"/>
    <cellStyle name="20% - Accent1 14 3 3" xfId="6431"/>
    <cellStyle name="20% - Accent1 14 3 3 2" xfId="14403"/>
    <cellStyle name="20% - Accent1 14 3 3 3" xfId="22350"/>
    <cellStyle name="20% - Accent1 14 3 4" xfId="10867"/>
    <cellStyle name="20% - Accent1 14 3 5" xfId="18822"/>
    <cellStyle name="20% - Accent1 14 3_Exh G" xfId="1976"/>
    <cellStyle name="20% - Accent1 14 4" xfId="3720"/>
    <cellStyle name="20% - Accent1 14 4 2" xfId="7312"/>
    <cellStyle name="20% - Accent1 14 4 2 2" xfId="15283"/>
    <cellStyle name="20% - Accent1 14 4 2 3" xfId="23229"/>
    <cellStyle name="20% - Accent1 14 4 3" xfId="11745"/>
    <cellStyle name="20% - Accent1 14 4 4" xfId="19700"/>
    <cellStyle name="20% - Accent1 14 5" xfId="5540"/>
    <cellStyle name="20% - Accent1 14 5 2" xfId="13524"/>
    <cellStyle name="20% - Accent1 14 5 3" xfId="21472"/>
    <cellStyle name="20% - Accent1 14 6" xfId="9093"/>
    <cellStyle name="20% - Accent1 14 6 2" xfId="17051"/>
    <cellStyle name="20% - Accent1 14 6 3" xfId="24995"/>
    <cellStyle name="20% - Accent1 14 7" xfId="9989"/>
    <cellStyle name="20% - Accent1 14 8" xfId="17944"/>
    <cellStyle name="20% - Accent1 14_Exh G" xfId="1973"/>
    <cellStyle name="20% - Accent1 15" xfId="43"/>
    <cellStyle name="20% - Accent1 15 2" xfId="1071"/>
    <cellStyle name="20% - Accent1 15 2 2" xfId="4601"/>
    <cellStyle name="20% - Accent1 15 2 2 2" xfId="8192"/>
    <cellStyle name="20% - Accent1 15 2 2 2 2" xfId="16163"/>
    <cellStyle name="20% - Accent1 15 2 2 2 3" xfId="24109"/>
    <cellStyle name="20% - Accent1 15 2 2 3" xfId="12625"/>
    <cellStyle name="20% - Accent1 15 2 2 4" xfId="20580"/>
    <cellStyle name="20% - Accent1 15 2 3" xfId="6433"/>
    <cellStyle name="20% - Accent1 15 2 3 2" xfId="14405"/>
    <cellStyle name="20% - Accent1 15 2 3 3" xfId="22352"/>
    <cellStyle name="20% - Accent1 15 2 4" xfId="10869"/>
    <cellStyle name="20% - Accent1 15 2 5" xfId="18824"/>
    <cellStyle name="20% - Accent1 15 2_Exh G" xfId="1978"/>
    <cellStyle name="20% - Accent1 15 3" xfId="3722"/>
    <cellStyle name="20% - Accent1 15 3 2" xfId="7314"/>
    <cellStyle name="20% - Accent1 15 3 2 2" xfId="15285"/>
    <cellStyle name="20% - Accent1 15 3 2 3" xfId="23231"/>
    <cellStyle name="20% - Accent1 15 3 3" xfId="11747"/>
    <cellStyle name="20% - Accent1 15 3 4" xfId="19702"/>
    <cellStyle name="20% - Accent1 15 4" xfId="5542"/>
    <cellStyle name="20% - Accent1 15 4 2" xfId="13526"/>
    <cellStyle name="20% - Accent1 15 4 3" xfId="21474"/>
    <cellStyle name="20% - Accent1 15 5" xfId="9095"/>
    <cellStyle name="20% - Accent1 15 5 2" xfId="17053"/>
    <cellStyle name="20% - Accent1 15 5 3" xfId="24997"/>
    <cellStyle name="20% - Accent1 15 6" xfId="9991"/>
    <cellStyle name="20% - Accent1 15 7" xfId="17946"/>
    <cellStyle name="20% - Accent1 15_Exh G" xfId="1977"/>
    <cellStyle name="20% - Accent1 16" xfId="843"/>
    <cellStyle name="20% - Accent1 16 2" xfId="1782"/>
    <cellStyle name="20% - Accent1 16 2 2" xfId="5303"/>
    <cellStyle name="20% - Accent1 16 2 2 2" xfId="8894"/>
    <cellStyle name="20% - Accent1 16 2 2 2 2" xfId="16865"/>
    <cellStyle name="20% - Accent1 16 2 2 2 3" xfId="24811"/>
    <cellStyle name="20% - Accent1 16 2 2 3" xfId="13327"/>
    <cellStyle name="20% - Accent1 16 2 2 4" xfId="21282"/>
    <cellStyle name="20% - Accent1 16 2 3" xfId="7135"/>
    <cellStyle name="20% - Accent1 16 2 3 2" xfId="15107"/>
    <cellStyle name="20% - Accent1 16 2 3 3" xfId="23054"/>
    <cellStyle name="20% - Accent1 16 2 4" xfId="11571"/>
    <cellStyle name="20% - Accent1 16 2 5" xfId="19526"/>
    <cellStyle name="20% - Accent1 16 2_Exh G" xfId="1980"/>
    <cellStyle name="20% - Accent1 16 3" xfId="4424"/>
    <cellStyle name="20% - Accent1 16 3 2" xfId="8016"/>
    <cellStyle name="20% - Accent1 16 3 2 2" xfId="15987"/>
    <cellStyle name="20% - Accent1 16 3 2 3" xfId="23933"/>
    <cellStyle name="20% - Accent1 16 3 3" xfId="12449"/>
    <cellStyle name="20% - Accent1 16 3 4" xfId="20404"/>
    <cellStyle name="20% - Accent1 16 4" xfId="6254"/>
    <cellStyle name="20% - Accent1 16 4 2" xfId="14229"/>
    <cellStyle name="20% - Accent1 16 4 3" xfId="22176"/>
    <cellStyle name="20% - Accent1 16 5" xfId="9797"/>
    <cellStyle name="20% - Accent1 16 5 2" xfId="17755"/>
    <cellStyle name="20% - Accent1 16 5 3" xfId="25699"/>
    <cellStyle name="20% - Accent1 16 6" xfId="10693"/>
    <cellStyle name="20% - Accent1 16 7" xfId="18648"/>
    <cellStyle name="20% - Accent1 16_Exh G" xfId="1979"/>
    <cellStyle name="20% - Accent1 2" xfId="44"/>
    <cellStyle name="20% - Accent1 2 10" xfId="17947"/>
    <cellStyle name="20% - Accent1 2 2" xfId="45"/>
    <cellStyle name="20% - Accent1 2 2 2" xfId="46"/>
    <cellStyle name="20% - Accent1 2 2 2 2" xfId="1074"/>
    <cellStyle name="20% - Accent1 2 2 2 2 2" xfId="4604"/>
    <cellStyle name="20% - Accent1 2 2 2 2 2 2" xfId="8195"/>
    <cellStyle name="20% - Accent1 2 2 2 2 2 2 2" xfId="16166"/>
    <cellStyle name="20% - Accent1 2 2 2 2 2 2 3" xfId="24112"/>
    <cellStyle name="20% - Accent1 2 2 2 2 2 3" xfId="12628"/>
    <cellStyle name="20% - Accent1 2 2 2 2 2 4" xfId="20583"/>
    <cellStyle name="20% - Accent1 2 2 2 2 3" xfId="6436"/>
    <cellStyle name="20% - Accent1 2 2 2 2 3 2" xfId="14408"/>
    <cellStyle name="20% - Accent1 2 2 2 2 3 3" xfId="22355"/>
    <cellStyle name="20% - Accent1 2 2 2 2 4" xfId="10872"/>
    <cellStyle name="20% - Accent1 2 2 2 2 5" xfId="18827"/>
    <cellStyle name="20% - Accent1 2 2 2 2_Exh G" xfId="1984"/>
    <cellStyle name="20% - Accent1 2 2 2 3" xfId="3725"/>
    <cellStyle name="20% - Accent1 2 2 2 3 2" xfId="7317"/>
    <cellStyle name="20% - Accent1 2 2 2 3 2 2" xfId="15288"/>
    <cellStyle name="20% - Accent1 2 2 2 3 2 3" xfId="23234"/>
    <cellStyle name="20% - Accent1 2 2 2 3 3" xfId="11750"/>
    <cellStyle name="20% - Accent1 2 2 2 3 4" xfId="19705"/>
    <cellStyle name="20% - Accent1 2 2 2 4" xfId="5545"/>
    <cellStyle name="20% - Accent1 2 2 2 4 2" xfId="13529"/>
    <cellStyle name="20% - Accent1 2 2 2 4 3" xfId="21477"/>
    <cellStyle name="20% - Accent1 2 2 2 5" xfId="9098"/>
    <cellStyle name="20% - Accent1 2 2 2 5 2" xfId="17056"/>
    <cellStyle name="20% - Accent1 2 2 2 5 3" xfId="25000"/>
    <cellStyle name="20% - Accent1 2 2 2 6" xfId="9994"/>
    <cellStyle name="20% - Accent1 2 2 2 7" xfId="17949"/>
    <cellStyle name="20% - Accent1 2 2 2_Exh G" xfId="1983"/>
    <cellStyle name="20% - Accent1 2 2 3" xfId="864"/>
    <cellStyle name="20% - Accent1 2 2 3 2" xfId="1800"/>
    <cellStyle name="20% - Accent1 2 2 3 2 2" xfId="5318"/>
    <cellStyle name="20% - Accent1 2 2 3 2 2 2" xfId="8909"/>
    <cellStyle name="20% - Accent1 2 2 3 2 2 2 2" xfId="16880"/>
    <cellStyle name="20% - Accent1 2 2 3 2 2 2 3" xfId="24826"/>
    <cellStyle name="20% - Accent1 2 2 3 2 2 3" xfId="13342"/>
    <cellStyle name="20% - Accent1 2 2 3 2 2 4" xfId="21297"/>
    <cellStyle name="20% - Accent1 2 2 3 2 3" xfId="7150"/>
    <cellStyle name="20% - Accent1 2 2 3 2 3 2" xfId="15122"/>
    <cellStyle name="20% - Accent1 2 2 3 2 3 3" xfId="23069"/>
    <cellStyle name="20% - Accent1 2 2 3 2 4" xfId="11586"/>
    <cellStyle name="20% - Accent1 2 2 3 2 5" xfId="19541"/>
    <cellStyle name="20% - Accent1 2 2 3 2_Exh G" xfId="1986"/>
    <cellStyle name="20% - Accent1 2 2 3 3" xfId="4439"/>
    <cellStyle name="20% - Accent1 2 2 3 3 2" xfId="8031"/>
    <cellStyle name="20% - Accent1 2 2 3 3 2 2" xfId="16002"/>
    <cellStyle name="20% - Accent1 2 2 3 3 2 3" xfId="23948"/>
    <cellStyle name="20% - Accent1 2 2 3 3 3" xfId="12464"/>
    <cellStyle name="20% - Accent1 2 2 3 3 4" xfId="20419"/>
    <cellStyle name="20% - Accent1 2 2 3 4" xfId="6269"/>
    <cellStyle name="20% - Accent1 2 2 3 4 2" xfId="14244"/>
    <cellStyle name="20% - Accent1 2 2 3 4 3" xfId="22191"/>
    <cellStyle name="20% - Accent1 2 2 3 5" xfId="9812"/>
    <cellStyle name="20% - Accent1 2 2 3 5 2" xfId="17770"/>
    <cellStyle name="20% - Accent1 2 2 3 5 3" xfId="25714"/>
    <cellStyle name="20% - Accent1 2 2 3 6" xfId="10708"/>
    <cellStyle name="20% - Accent1 2 2 3 7" xfId="18663"/>
    <cellStyle name="20% - Accent1 2 2 3_Exh G" xfId="1985"/>
    <cellStyle name="20% - Accent1 2 2 4" xfId="1073"/>
    <cellStyle name="20% - Accent1 2 2 4 2" xfId="4603"/>
    <cellStyle name="20% - Accent1 2 2 4 2 2" xfId="8194"/>
    <cellStyle name="20% - Accent1 2 2 4 2 2 2" xfId="16165"/>
    <cellStyle name="20% - Accent1 2 2 4 2 2 3" xfId="24111"/>
    <cellStyle name="20% - Accent1 2 2 4 2 3" xfId="12627"/>
    <cellStyle name="20% - Accent1 2 2 4 2 4" xfId="20582"/>
    <cellStyle name="20% - Accent1 2 2 4 3" xfId="6435"/>
    <cellStyle name="20% - Accent1 2 2 4 3 2" xfId="14407"/>
    <cellStyle name="20% - Accent1 2 2 4 3 3" xfId="22354"/>
    <cellStyle name="20% - Accent1 2 2 4 4" xfId="10871"/>
    <cellStyle name="20% - Accent1 2 2 4 5" xfId="18826"/>
    <cellStyle name="20% - Accent1 2 2 4_Exh G" xfId="1987"/>
    <cellStyle name="20% - Accent1 2 2 5" xfId="3724"/>
    <cellStyle name="20% - Accent1 2 2 5 2" xfId="7316"/>
    <cellStyle name="20% - Accent1 2 2 5 2 2" xfId="15287"/>
    <cellStyle name="20% - Accent1 2 2 5 2 3" xfId="23233"/>
    <cellStyle name="20% - Accent1 2 2 5 3" xfId="11749"/>
    <cellStyle name="20% - Accent1 2 2 5 4" xfId="19704"/>
    <cellStyle name="20% - Accent1 2 2 6" xfId="5544"/>
    <cellStyle name="20% - Accent1 2 2 6 2" xfId="13528"/>
    <cellStyle name="20% - Accent1 2 2 6 3" xfId="21476"/>
    <cellStyle name="20% - Accent1 2 2 7" xfId="9097"/>
    <cellStyle name="20% - Accent1 2 2 7 2" xfId="17055"/>
    <cellStyle name="20% - Accent1 2 2 7 3" xfId="24999"/>
    <cellStyle name="20% - Accent1 2 2 8" xfId="9993"/>
    <cellStyle name="20% - Accent1 2 2 9" xfId="17948"/>
    <cellStyle name="20% - Accent1 2 2_Exh G" xfId="1982"/>
    <cellStyle name="20% - Accent1 2 3" xfId="47"/>
    <cellStyle name="20% - Accent1 2 3 2" xfId="1075"/>
    <cellStyle name="20% - Accent1 2 3 2 2" xfId="4605"/>
    <cellStyle name="20% - Accent1 2 3 2 2 2" xfId="8196"/>
    <cellStyle name="20% - Accent1 2 3 2 2 2 2" xfId="16167"/>
    <cellStyle name="20% - Accent1 2 3 2 2 2 3" xfId="24113"/>
    <cellStyle name="20% - Accent1 2 3 2 2 3" xfId="12629"/>
    <cellStyle name="20% - Accent1 2 3 2 2 4" xfId="20584"/>
    <cellStyle name="20% - Accent1 2 3 2 3" xfId="6437"/>
    <cellStyle name="20% - Accent1 2 3 2 3 2" xfId="14409"/>
    <cellStyle name="20% - Accent1 2 3 2 3 3" xfId="22356"/>
    <cellStyle name="20% - Accent1 2 3 2 4" xfId="10873"/>
    <cellStyle name="20% - Accent1 2 3 2 5" xfId="18828"/>
    <cellStyle name="20% - Accent1 2 3 2_Exh G" xfId="1989"/>
    <cellStyle name="20% - Accent1 2 3 3" xfId="3726"/>
    <cellStyle name="20% - Accent1 2 3 3 2" xfId="7318"/>
    <cellStyle name="20% - Accent1 2 3 3 2 2" xfId="15289"/>
    <cellStyle name="20% - Accent1 2 3 3 2 3" xfId="23235"/>
    <cellStyle name="20% - Accent1 2 3 3 3" xfId="11751"/>
    <cellStyle name="20% - Accent1 2 3 3 4" xfId="19706"/>
    <cellStyle name="20% - Accent1 2 3 4" xfId="5546"/>
    <cellStyle name="20% - Accent1 2 3 4 2" xfId="13530"/>
    <cellStyle name="20% - Accent1 2 3 4 3" xfId="21478"/>
    <cellStyle name="20% - Accent1 2 3 5" xfId="9099"/>
    <cellStyle name="20% - Accent1 2 3 5 2" xfId="17057"/>
    <cellStyle name="20% - Accent1 2 3 5 3" xfId="25001"/>
    <cellStyle name="20% - Accent1 2 3 6" xfId="9995"/>
    <cellStyle name="20% - Accent1 2 3 7" xfId="17950"/>
    <cellStyle name="20% - Accent1 2 3_Exh G" xfId="1988"/>
    <cellStyle name="20% - Accent1 2 4" xfId="863"/>
    <cellStyle name="20% - Accent1 2 4 2" xfId="1799"/>
    <cellStyle name="20% - Accent1 2 4 2 2" xfId="5317"/>
    <cellStyle name="20% - Accent1 2 4 2 2 2" xfId="8908"/>
    <cellStyle name="20% - Accent1 2 4 2 2 2 2" xfId="16879"/>
    <cellStyle name="20% - Accent1 2 4 2 2 2 3" xfId="24825"/>
    <cellStyle name="20% - Accent1 2 4 2 2 3" xfId="13341"/>
    <cellStyle name="20% - Accent1 2 4 2 2 4" xfId="21296"/>
    <cellStyle name="20% - Accent1 2 4 2 3" xfId="7149"/>
    <cellStyle name="20% - Accent1 2 4 2 3 2" xfId="15121"/>
    <cellStyle name="20% - Accent1 2 4 2 3 3" xfId="23068"/>
    <cellStyle name="20% - Accent1 2 4 2 4" xfId="11585"/>
    <cellStyle name="20% - Accent1 2 4 2 5" xfId="19540"/>
    <cellStyle name="20% - Accent1 2 4 2_Exh G" xfId="1991"/>
    <cellStyle name="20% - Accent1 2 4 3" xfId="4438"/>
    <cellStyle name="20% - Accent1 2 4 3 2" xfId="8030"/>
    <cellStyle name="20% - Accent1 2 4 3 2 2" xfId="16001"/>
    <cellStyle name="20% - Accent1 2 4 3 2 3" xfId="23947"/>
    <cellStyle name="20% - Accent1 2 4 3 3" xfId="12463"/>
    <cellStyle name="20% - Accent1 2 4 3 4" xfId="20418"/>
    <cellStyle name="20% - Accent1 2 4 4" xfId="6268"/>
    <cellStyle name="20% - Accent1 2 4 4 2" xfId="14243"/>
    <cellStyle name="20% - Accent1 2 4 4 3" xfId="22190"/>
    <cellStyle name="20% - Accent1 2 4 5" xfId="9811"/>
    <cellStyle name="20% - Accent1 2 4 5 2" xfId="17769"/>
    <cellStyle name="20% - Accent1 2 4 5 3" xfId="25713"/>
    <cellStyle name="20% - Accent1 2 4 6" xfId="10707"/>
    <cellStyle name="20% - Accent1 2 4 7" xfId="18662"/>
    <cellStyle name="20% - Accent1 2 4_Exh G" xfId="1990"/>
    <cellStyle name="20% - Accent1 2 5" xfId="1072"/>
    <cellStyle name="20% - Accent1 2 5 2" xfId="4602"/>
    <cellStyle name="20% - Accent1 2 5 2 2" xfId="8193"/>
    <cellStyle name="20% - Accent1 2 5 2 2 2" xfId="16164"/>
    <cellStyle name="20% - Accent1 2 5 2 2 3" xfId="24110"/>
    <cellStyle name="20% - Accent1 2 5 2 3" xfId="12626"/>
    <cellStyle name="20% - Accent1 2 5 2 4" xfId="20581"/>
    <cellStyle name="20% - Accent1 2 5 3" xfId="6434"/>
    <cellStyle name="20% - Accent1 2 5 3 2" xfId="14406"/>
    <cellStyle name="20% - Accent1 2 5 3 3" xfId="22353"/>
    <cellStyle name="20% - Accent1 2 5 4" xfId="10870"/>
    <cellStyle name="20% - Accent1 2 5 5" xfId="18825"/>
    <cellStyle name="20% - Accent1 2 5_Exh G" xfId="1992"/>
    <cellStyle name="20% - Accent1 2 6" xfId="3723"/>
    <cellStyle name="20% - Accent1 2 6 2" xfId="7315"/>
    <cellStyle name="20% - Accent1 2 6 2 2" xfId="15286"/>
    <cellStyle name="20% - Accent1 2 6 2 3" xfId="23232"/>
    <cellStyle name="20% - Accent1 2 6 3" xfId="11748"/>
    <cellStyle name="20% - Accent1 2 6 4" xfId="19703"/>
    <cellStyle name="20% - Accent1 2 7" xfId="5543"/>
    <cellStyle name="20% - Accent1 2 7 2" xfId="13527"/>
    <cellStyle name="20% - Accent1 2 7 3" xfId="21475"/>
    <cellStyle name="20% - Accent1 2 8" xfId="9096"/>
    <cellStyle name="20% - Accent1 2 8 2" xfId="17054"/>
    <cellStyle name="20% - Accent1 2 8 3" xfId="24998"/>
    <cellStyle name="20% - Accent1 2 9" xfId="9992"/>
    <cellStyle name="20% - Accent1 2_Exh G" xfId="1981"/>
    <cellStyle name="20% - Accent1 3" xfId="48"/>
    <cellStyle name="20% - Accent1 3 10" xfId="17951"/>
    <cellStyle name="20% - Accent1 3 2" xfId="49"/>
    <cellStyle name="20% - Accent1 3 2 2" xfId="50"/>
    <cellStyle name="20% - Accent1 3 2 2 2" xfId="1078"/>
    <cellStyle name="20% - Accent1 3 2 2 2 2" xfId="4608"/>
    <cellStyle name="20% - Accent1 3 2 2 2 2 2" xfId="8199"/>
    <cellStyle name="20% - Accent1 3 2 2 2 2 2 2" xfId="16170"/>
    <cellStyle name="20% - Accent1 3 2 2 2 2 2 3" xfId="24116"/>
    <cellStyle name="20% - Accent1 3 2 2 2 2 3" xfId="12632"/>
    <cellStyle name="20% - Accent1 3 2 2 2 2 4" xfId="20587"/>
    <cellStyle name="20% - Accent1 3 2 2 2 3" xfId="6440"/>
    <cellStyle name="20% - Accent1 3 2 2 2 3 2" xfId="14412"/>
    <cellStyle name="20% - Accent1 3 2 2 2 3 3" xfId="22359"/>
    <cellStyle name="20% - Accent1 3 2 2 2 4" xfId="10876"/>
    <cellStyle name="20% - Accent1 3 2 2 2 5" xfId="18831"/>
    <cellStyle name="20% - Accent1 3 2 2 2_Exh G" xfId="1996"/>
    <cellStyle name="20% - Accent1 3 2 2 3" xfId="3729"/>
    <cellStyle name="20% - Accent1 3 2 2 3 2" xfId="7321"/>
    <cellStyle name="20% - Accent1 3 2 2 3 2 2" xfId="15292"/>
    <cellStyle name="20% - Accent1 3 2 2 3 2 3" xfId="23238"/>
    <cellStyle name="20% - Accent1 3 2 2 3 3" xfId="11754"/>
    <cellStyle name="20% - Accent1 3 2 2 3 4" xfId="19709"/>
    <cellStyle name="20% - Accent1 3 2 2 4" xfId="5549"/>
    <cellStyle name="20% - Accent1 3 2 2 4 2" xfId="13533"/>
    <cellStyle name="20% - Accent1 3 2 2 4 3" xfId="21481"/>
    <cellStyle name="20% - Accent1 3 2 2 5" xfId="9102"/>
    <cellStyle name="20% - Accent1 3 2 2 5 2" xfId="17060"/>
    <cellStyle name="20% - Accent1 3 2 2 5 3" xfId="25004"/>
    <cellStyle name="20% - Accent1 3 2 2 6" xfId="9998"/>
    <cellStyle name="20% - Accent1 3 2 2 7" xfId="17953"/>
    <cellStyle name="20% - Accent1 3 2 2_Exh G" xfId="1995"/>
    <cellStyle name="20% - Accent1 3 2 3" xfId="866"/>
    <cellStyle name="20% - Accent1 3 2 3 2" xfId="1802"/>
    <cellStyle name="20% - Accent1 3 2 3 2 2" xfId="5320"/>
    <cellStyle name="20% - Accent1 3 2 3 2 2 2" xfId="8911"/>
    <cellStyle name="20% - Accent1 3 2 3 2 2 2 2" xfId="16882"/>
    <cellStyle name="20% - Accent1 3 2 3 2 2 2 3" xfId="24828"/>
    <cellStyle name="20% - Accent1 3 2 3 2 2 3" xfId="13344"/>
    <cellStyle name="20% - Accent1 3 2 3 2 2 4" xfId="21299"/>
    <cellStyle name="20% - Accent1 3 2 3 2 3" xfId="7152"/>
    <cellStyle name="20% - Accent1 3 2 3 2 3 2" xfId="15124"/>
    <cellStyle name="20% - Accent1 3 2 3 2 3 3" xfId="23071"/>
    <cellStyle name="20% - Accent1 3 2 3 2 4" xfId="11588"/>
    <cellStyle name="20% - Accent1 3 2 3 2 5" xfId="19543"/>
    <cellStyle name="20% - Accent1 3 2 3 2_Exh G" xfId="1998"/>
    <cellStyle name="20% - Accent1 3 2 3 3" xfId="4441"/>
    <cellStyle name="20% - Accent1 3 2 3 3 2" xfId="8033"/>
    <cellStyle name="20% - Accent1 3 2 3 3 2 2" xfId="16004"/>
    <cellStyle name="20% - Accent1 3 2 3 3 2 3" xfId="23950"/>
    <cellStyle name="20% - Accent1 3 2 3 3 3" xfId="12466"/>
    <cellStyle name="20% - Accent1 3 2 3 3 4" xfId="20421"/>
    <cellStyle name="20% - Accent1 3 2 3 4" xfId="6271"/>
    <cellStyle name="20% - Accent1 3 2 3 4 2" xfId="14246"/>
    <cellStyle name="20% - Accent1 3 2 3 4 3" xfId="22193"/>
    <cellStyle name="20% - Accent1 3 2 3 5" xfId="9814"/>
    <cellStyle name="20% - Accent1 3 2 3 5 2" xfId="17772"/>
    <cellStyle name="20% - Accent1 3 2 3 5 3" xfId="25716"/>
    <cellStyle name="20% - Accent1 3 2 3 6" xfId="10710"/>
    <cellStyle name="20% - Accent1 3 2 3 7" xfId="18665"/>
    <cellStyle name="20% - Accent1 3 2 3_Exh G" xfId="1997"/>
    <cellStyle name="20% - Accent1 3 2 4" xfId="1077"/>
    <cellStyle name="20% - Accent1 3 2 4 2" xfId="4607"/>
    <cellStyle name="20% - Accent1 3 2 4 2 2" xfId="8198"/>
    <cellStyle name="20% - Accent1 3 2 4 2 2 2" xfId="16169"/>
    <cellStyle name="20% - Accent1 3 2 4 2 2 3" xfId="24115"/>
    <cellStyle name="20% - Accent1 3 2 4 2 3" xfId="12631"/>
    <cellStyle name="20% - Accent1 3 2 4 2 4" xfId="20586"/>
    <cellStyle name="20% - Accent1 3 2 4 3" xfId="6439"/>
    <cellStyle name="20% - Accent1 3 2 4 3 2" xfId="14411"/>
    <cellStyle name="20% - Accent1 3 2 4 3 3" xfId="22358"/>
    <cellStyle name="20% - Accent1 3 2 4 4" xfId="10875"/>
    <cellStyle name="20% - Accent1 3 2 4 5" xfId="18830"/>
    <cellStyle name="20% - Accent1 3 2 4_Exh G" xfId="1999"/>
    <cellStyle name="20% - Accent1 3 2 5" xfId="3728"/>
    <cellStyle name="20% - Accent1 3 2 5 2" xfId="7320"/>
    <cellStyle name="20% - Accent1 3 2 5 2 2" xfId="15291"/>
    <cellStyle name="20% - Accent1 3 2 5 2 3" xfId="23237"/>
    <cellStyle name="20% - Accent1 3 2 5 3" xfId="11753"/>
    <cellStyle name="20% - Accent1 3 2 5 4" xfId="19708"/>
    <cellStyle name="20% - Accent1 3 2 6" xfId="5548"/>
    <cellStyle name="20% - Accent1 3 2 6 2" xfId="13532"/>
    <cellStyle name="20% - Accent1 3 2 6 3" xfId="21480"/>
    <cellStyle name="20% - Accent1 3 2 7" xfId="9101"/>
    <cellStyle name="20% - Accent1 3 2 7 2" xfId="17059"/>
    <cellStyle name="20% - Accent1 3 2 7 3" xfId="25003"/>
    <cellStyle name="20% - Accent1 3 2 8" xfId="9997"/>
    <cellStyle name="20% - Accent1 3 2 9" xfId="17952"/>
    <cellStyle name="20% - Accent1 3 2_Exh G" xfId="1994"/>
    <cellStyle name="20% - Accent1 3 3" xfId="51"/>
    <cellStyle name="20% - Accent1 3 3 2" xfId="1079"/>
    <cellStyle name="20% - Accent1 3 3 2 2" xfId="4609"/>
    <cellStyle name="20% - Accent1 3 3 2 2 2" xfId="8200"/>
    <cellStyle name="20% - Accent1 3 3 2 2 2 2" xfId="16171"/>
    <cellStyle name="20% - Accent1 3 3 2 2 2 3" xfId="24117"/>
    <cellStyle name="20% - Accent1 3 3 2 2 3" xfId="12633"/>
    <cellStyle name="20% - Accent1 3 3 2 2 4" xfId="20588"/>
    <cellStyle name="20% - Accent1 3 3 2 3" xfId="6441"/>
    <cellStyle name="20% - Accent1 3 3 2 3 2" xfId="14413"/>
    <cellStyle name="20% - Accent1 3 3 2 3 3" xfId="22360"/>
    <cellStyle name="20% - Accent1 3 3 2 4" xfId="10877"/>
    <cellStyle name="20% - Accent1 3 3 2 5" xfId="18832"/>
    <cellStyle name="20% - Accent1 3 3 2_Exh G" xfId="2001"/>
    <cellStyle name="20% - Accent1 3 3 3" xfId="3730"/>
    <cellStyle name="20% - Accent1 3 3 3 2" xfId="7322"/>
    <cellStyle name="20% - Accent1 3 3 3 2 2" xfId="15293"/>
    <cellStyle name="20% - Accent1 3 3 3 2 3" xfId="23239"/>
    <cellStyle name="20% - Accent1 3 3 3 3" xfId="11755"/>
    <cellStyle name="20% - Accent1 3 3 3 4" xfId="19710"/>
    <cellStyle name="20% - Accent1 3 3 4" xfId="5550"/>
    <cellStyle name="20% - Accent1 3 3 4 2" xfId="13534"/>
    <cellStyle name="20% - Accent1 3 3 4 3" xfId="21482"/>
    <cellStyle name="20% - Accent1 3 3 5" xfId="9103"/>
    <cellStyle name="20% - Accent1 3 3 5 2" xfId="17061"/>
    <cellStyle name="20% - Accent1 3 3 5 3" xfId="25005"/>
    <cellStyle name="20% - Accent1 3 3 6" xfId="9999"/>
    <cellStyle name="20% - Accent1 3 3 7" xfId="17954"/>
    <cellStyle name="20% - Accent1 3 3_Exh G" xfId="2000"/>
    <cellStyle name="20% - Accent1 3 4" xfId="865"/>
    <cellStyle name="20% - Accent1 3 4 2" xfId="1801"/>
    <cellStyle name="20% - Accent1 3 4 2 2" xfId="5319"/>
    <cellStyle name="20% - Accent1 3 4 2 2 2" xfId="8910"/>
    <cellStyle name="20% - Accent1 3 4 2 2 2 2" xfId="16881"/>
    <cellStyle name="20% - Accent1 3 4 2 2 2 3" xfId="24827"/>
    <cellStyle name="20% - Accent1 3 4 2 2 3" xfId="13343"/>
    <cellStyle name="20% - Accent1 3 4 2 2 4" xfId="21298"/>
    <cellStyle name="20% - Accent1 3 4 2 3" xfId="7151"/>
    <cellStyle name="20% - Accent1 3 4 2 3 2" xfId="15123"/>
    <cellStyle name="20% - Accent1 3 4 2 3 3" xfId="23070"/>
    <cellStyle name="20% - Accent1 3 4 2 4" xfId="11587"/>
    <cellStyle name="20% - Accent1 3 4 2 5" xfId="19542"/>
    <cellStyle name="20% - Accent1 3 4 2_Exh G" xfId="2003"/>
    <cellStyle name="20% - Accent1 3 4 3" xfId="4440"/>
    <cellStyle name="20% - Accent1 3 4 3 2" xfId="8032"/>
    <cellStyle name="20% - Accent1 3 4 3 2 2" xfId="16003"/>
    <cellStyle name="20% - Accent1 3 4 3 2 3" xfId="23949"/>
    <cellStyle name="20% - Accent1 3 4 3 3" xfId="12465"/>
    <cellStyle name="20% - Accent1 3 4 3 4" xfId="20420"/>
    <cellStyle name="20% - Accent1 3 4 4" xfId="6270"/>
    <cellStyle name="20% - Accent1 3 4 4 2" xfId="14245"/>
    <cellStyle name="20% - Accent1 3 4 4 3" xfId="22192"/>
    <cellStyle name="20% - Accent1 3 4 5" xfId="9813"/>
    <cellStyle name="20% - Accent1 3 4 5 2" xfId="17771"/>
    <cellStyle name="20% - Accent1 3 4 5 3" xfId="25715"/>
    <cellStyle name="20% - Accent1 3 4 6" xfId="10709"/>
    <cellStyle name="20% - Accent1 3 4 7" xfId="18664"/>
    <cellStyle name="20% - Accent1 3 4_Exh G" xfId="2002"/>
    <cellStyle name="20% - Accent1 3 5" xfId="1076"/>
    <cellStyle name="20% - Accent1 3 5 2" xfId="4606"/>
    <cellStyle name="20% - Accent1 3 5 2 2" xfId="8197"/>
    <cellStyle name="20% - Accent1 3 5 2 2 2" xfId="16168"/>
    <cellStyle name="20% - Accent1 3 5 2 2 3" xfId="24114"/>
    <cellStyle name="20% - Accent1 3 5 2 3" xfId="12630"/>
    <cellStyle name="20% - Accent1 3 5 2 4" xfId="20585"/>
    <cellStyle name="20% - Accent1 3 5 3" xfId="6438"/>
    <cellStyle name="20% - Accent1 3 5 3 2" xfId="14410"/>
    <cellStyle name="20% - Accent1 3 5 3 3" xfId="22357"/>
    <cellStyle name="20% - Accent1 3 5 4" xfId="10874"/>
    <cellStyle name="20% - Accent1 3 5 5" xfId="18829"/>
    <cellStyle name="20% - Accent1 3 5_Exh G" xfId="2004"/>
    <cellStyle name="20% - Accent1 3 6" xfId="3727"/>
    <cellStyle name="20% - Accent1 3 6 2" xfId="7319"/>
    <cellStyle name="20% - Accent1 3 6 2 2" xfId="15290"/>
    <cellStyle name="20% - Accent1 3 6 2 3" xfId="23236"/>
    <cellStyle name="20% - Accent1 3 6 3" xfId="11752"/>
    <cellStyle name="20% - Accent1 3 6 4" xfId="19707"/>
    <cellStyle name="20% - Accent1 3 7" xfId="5547"/>
    <cellStyle name="20% - Accent1 3 7 2" xfId="13531"/>
    <cellStyle name="20% - Accent1 3 7 3" xfId="21479"/>
    <cellStyle name="20% - Accent1 3 8" xfId="9100"/>
    <cellStyle name="20% - Accent1 3 8 2" xfId="17058"/>
    <cellStyle name="20% - Accent1 3 8 3" xfId="25002"/>
    <cellStyle name="20% - Accent1 3 9" xfId="9996"/>
    <cellStyle name="20% - Accent1 3_Exh G" xfId="1993"/>
    <cellStyle name="20% - Accent1 4" xfId="52"/>
    <cellStyle name="20% - Accent1 4 10" xfId="17955"/>
    <cellStyle name="20% - Accent1 4 2" xfId="53"/>
    <cellStyle name="20% - Accent1 4 2 2" xfId="54"/>
    <cellStyle name="20% - Accent1 4 2 2 2" xfId="1082"/>
    <cellStyle name="20% - Accent1 4 2 2 2 2" xfId="4612"/>
    <cellStyle name="20% - Accent1 4 2 2 2 2 2" xfId="8203"/>
    <cellStyle name="20% - Accent1 4 2 2 2 2 2 2" xfId="16174"/>
    <cellStyle name="20% - Accent1 4 2 2 2 2 2 3" xfId="24120"/>
    <cellStyle name="20% - Accent1 4 2 2 2 2 3" xfId="12636"/>
    <cellStyle name="20% - Accent1 4 2 2 2 2 4" xfId="20591"/>
    <cellStyle name="20% - Accent1 4 2 2 2 3" xfId="6444"/>
    <cellStyle name="20% - Accent1 4 2 2 2 3 2" xfId="14416"/>
    <cellStyle name="20% - Accent1 4 2 2 2 3 3" xfId="22363"/>
    <cellStyle name="20% - Accent1 4 2 2 2 4" xfId="10880"/>
    <cellStyle name="20% - Accent1 4 2 2 2 5" xfId="18835"/>
    <cellStyle name="20% - Accent1 4 2 2 2_Exh G" xfId="2008"/>
    <cellStyle name="20% - Accent1 4 2 2 3" xfId="3733"/>
    <cellStyle name="20% - Accent1 4 2 2 3 2" xfId="7325"/>
    <cellStyle name="20% - Accent1 4 2 2 3 2 2" xfId="15296"/>
    <cellStyle name="20% - Accent1 4 2 2 3 2 3" xfId="23242"/>
    <cellStyle name="20% - Accent1 4 2 2 3 3" xfId="11758"/>
    <cellStyle name="20% - Accent1 4 2 2 3 4" xfId="19713"/>
    <cellStyle name="20% - Accent1 4 2 2 4" xfId="5553"/>
    <cellStyle name="20% - Accent1 4 2 2 4 2" xfId="13537"/>
    <cellStyle name="20% - Accent1 4 2 2 4 3" xfId="21485"/>
    <cellStyle name="20% - Accent1 4 2 2 5" xfId="9106"/>
    <cellStyle name="20% - Accent1 4 2 2 5 2" xfId="17064"/>
    <cellStyle name="20% - Accent1 4 2 2 5 3" xfId="25008"/>
    <cellStyle name="20% - Accent1 4 2 2 6" xfId="10002"/>
    <cellStyle name="20% - Accent1 4 2 2 7" xfId="17957"/>
    <cellStyle name="20% - Accent1 4 2 2_Exh G" xfId="2007"/>
    <cellStyle name="20% - Accent1 4 2 3" xfId="868"/>
    <cellStyle name="20% - Accent1 4 2 3 2" xfId="1804"/>
    <cellStyle name="20% - Accent1 4 2 3 2 2" xfId="5322"/>
    <cellStyle name="20% - Accent1 4 2 3 2 2 2" xfId="8913"/>
    <cellStyle name="20% - Accent1 4 2 3 2 2 2 2" xfId="16884"/>
    <cellStyle name="20% - Accent1 4 2 3 2 2 2 3" xfId="24830"/>
    <cellStyle name="20% - Accent1 4 2 3 2 2 3" xfId="13346"/>
    <cellStyle name="20% - Accent1 4 2 3 2 2 4" xfId="21301"/>
    <cellStyle name="20% - Accent1 4 2 3 2 3" xfId="7154"/>
    <cellStyle name="20% - Accent1 4 2 3 2 3 2" xfId="15126"/>
    <cellStyle name="20% - Accent1 4 2 3 2 3 3" xfId="23073"/>
    <cellStyle name="20% - Accent1 4 2 3 2 4" xfId="11590"/>
    <cellStyle name="20% - Accent1 4 2 3 2 5" xfId="19545"/>
    <cellStyle name="20% - Accent1 4 2 3 2_Exh G" xfId="2010"/>
    <cellStyle name="20% - Accent1 4 2 3 3" xfId="4443"/>
    <cellStyle name="20% - Accent1 4 2 3 3 2" xfId="8035"/>
    <cellStyle name="20% - Accent1 4 2 3 3 2 2" xfId="16006"/>
    <cellStyle name="20% - Accent1 4 2 3 3 2 3" xfId="23952"/>
    <cellStyle name="20% - Accent1 4 2 3 3 3" xfId="12468"/>
    <cellStyle name="20% - Accent1 4 2 3 3 4" xfId="20423"/>
    <cellStyle name="20% - Accent1 4 2 3 4" xfId="6273"/>
    <cellStyle name="20% - Accent1 4 2 3 4 2" xfId="14248"/>
    <cellStyle name="20% - Accent1 4 2 3 4 3" xfId="22195"/>
    <cellStyle name="20% - Accent1 4 2 3 5" xfId="9816"/>
    <cellStyle name="20% - Accent1 4 2 3 5 2" xfId="17774"/>
    <cellStyle name="20% - Accent1 4 2 3 5 3" xfId="25718"/>
    <cellStyle name="20% - Accent1 4 2 3 6" xfId="10712"/>
    <cellStyle name="20% - Accent1 4 2 3 7" xfId="18667"/>
    <cellStyle name="20% - Accent1 4 2 3_Exh G" xfId="2009"/>
    <cellStyle name="20% - Accent1 4 2 4" xfId="1081"/>
    <cellStyle name="20% - Accent1 4 2 4 2" xfId="4611"/>
    <cellStyle name="20% - Accent1 4 2 4 2 2" xfId="8202"/>
    <cellStyle name="20% - Accent1 4 2 4 2 2 2" xfId="16173"/>
    <cellStyle name="20% - Accent1 4 2 4 2 2 3" xfId="24119"/>
    <cellStyle name="20% - Accent1 4 2 4 2 3" xfId="12635"/>
    <cellStyle name="20% - Accent1 4 2 4 2 4" xfId="20590"/>
    <cellStyle name="20% - Accent1 4 2 4 3" xfId="6443"/>
    <cellStyle name="20% - Accent1 4 2 4 3 2" xfId="14415"/>
    <cellStyle name="20% - Accent1 4 2 4 3 3" xfId="22362"/>
    <cellStyle name="20% - Accent1 4 2 4 4" xfId="10879"/>
    <cellStyle name="20% - Accent1 4 2 4 5" xfId="18834"/>
    <cellStyle name="20% - Accent1 4 2 4_Exh G" xfId="2011"/>
    <cellStyle name="20% - Accent1 4 2 5" xfId="3732"/>
    <cellStyle name="20% - Accent1 4 2 5 2" xfId="7324"/>
    <cellStyle name="20% - Accent1 4 2 5 2 2" xfId="15295"/>
    <cellStyle name="20% - Accent1 4 2 5 2 3" xfId="23241"/>
    <cellStyle name="20% - Accent1 4 2 5 3" xfId="11757"/>
    <cellStyle name="20% - Accent1 4 2 5 4" xfId="19712"/>
    <cellStyle name="20% - Accent1 4 2 6" xfId="5552"/>
    <cellStyle name="20% - Accent1 4 2 6 2" xfId="13536"/>
    <cellStyle name="20% - Accent1 4 2 6 3" xfId="21484"/>
    <cellStyle name="20% - Accent1 4 2 7" xfId="9105"/>
    <cellStyle name="20% - Accent1 4 2 7 2" xfId="17063"/>
    <cellStyle name="20% - Accent1 4 2 7 3" xfId="25007"/>
    <cellStyle name="20% - Accent1 4 2 8" xfId="10001"/>
    <cellStyle name="20% - Accent1 4 2 9" xfId="17956"/>
    <cellStyle name="20% - Accent1 4 2_Exh G" xfId="2006"/>
    <cellStyle name="20% - Accent1 4 3" xfId="55"/>
    <cellStyle name="20% - Accent1 4 3 2" xfId="1083"/>
    <cellStyle name="20% - Accent1 4 3 2 2" xfId="4613"/>
    <cellStyle name="20% - Accent1 4 3 2 2 2" xfId="8204"/>
    <cellStyle name="20% - Accent1 4 3 2 2 2 2" xfId="16175"/>
    <cellStyle name="20% - Accent1 4 3 2 2 2 3" xfId="24121"/>
    <cellStyle name="20% - Accent1 4 3 2 2 3" xfId="12637"/>
    <cellStyle name="20% - Accent1 4 3 2 2 4" xfId="20592"/>
    <cellStyle name="20% - Accent1 4 3 2 3" xfId="6445"/>
    <cellStyle name="20% - Accent1 4 3 2 3 2" xfId="14417"/>
    <cellStyle name="20% - Accent1 4 3 2 3 3" xfId="22364"/>
    <cellStyle name="20% - Accent1 4 3 2 4" xfId="10881"/>
    <cellStyle name="20% - Accent1 4 3 2 5" xfId="18836"/>
    <cellStyle name="20% - Accent1 4 3 2_Exh G" xfId="2013"/>
    <cellStyle name="20% - Accent1 4 3 3" xfId="3734"/>
    <cellStyle name="20% - Accent1 4 3 3 2" xfId="7326"/>
    <cellStyle name="20% - Accent1 4 3 3 2 2" xfId="15297"/>
    <cellStyle name="20% - Accent1 4 3 3 2 3" xfId="23243"/>
    <cellStyle name="20% - Accent1 4 3 3 3" xfId="11759"/>
    <cellStyle name="20% - Accent1 4 3 3 4" xfId="19714"/>
    <cellStyle name="20% - Accent1 4 3 4" xfId="5554"/>
    <cellStyle name="20% - Accent1 4 3 4 2" xfId="13538"/>
    <cellStyle name="20% - Accent1 4 3 4 3" xfId="21486"/>
    <cellStyle name="20% - Accent1 4 3 5" xfId="9107"/>
    <cellStyle name="20% - Accent1 4 3 5 2" xfId="17065"/>
    <cellStyle name="20% - Accent1 4 3 5 3" xfId="25009"/>
    <cellStyle name="20% - Accent1 4 3 6" xfId="10003"/>
    <cellStyle name="20% - Accent1 4 3 7" xfId="17958"/>
    <cellStyle name="20% - Accent1 4 3_Exh G" xfId="2012"/>
    <cellStyle name="20% - Accent1 4 4" xfId="867"/>
    <cellStyle name="20% - Accent1 4 4 2" xfId="1803"/>
    <cellStyle name="20% - Accent1 4 4 2 2" xfId="5321"/>
    <cellStyle name="20% - Accent1 4 4 2 2 2" xfId="8912"/>
    <cellStyle name="20% - Accent1 4 4 2 2 2 2" xfId="16883"/>
    <cellStyle name="20% - Accent1 4 4 2 2 2 3" xfId="24829"/>
    <cellStyle name="20% - Accent1 4 4 2 2 3" xfId="13345"/>
    <cellStyle name="20% - Accent1 4 4 2 2 4" xfId="21300"/>
    <cellStyle name="20% - Accent1 4 4 2 3" xfId="7153"/>
    <cellStyle name="20% - Accent1 4 4 2 3 2" xfId="15125"/>
    <cellStyle name="20% - Accent1 4 4 2 3 3" xfId="23072"/>
    <cellStyle name="20% - Accent1 4 4 2 4" xfId="11589"/>
    <cellStyle name="20% - Accent1 4 4 2 5" xfId="19544"/>
    <cellStyle name="20% - Accent1 4 4 2_Exh G" xfId="2015"/>
    <cellStyle name="20% - Accent1 4 4 3" xfId="4442"/>
    <cellStyle name="20% - Accent1 4 4 3 2" xfId="8034"/>
    <cellStyle name="20% - Accent1 4 4 3 2 2" xfId="16005"/>
    <cellStyle name="20% - Accent1 4 4 3 2 3" xfId="23951"/>
    <cellStyle name="20% - Accent1 4 4 3 3" xfId="12467"/>
    <cellStyle name="20% - Accent1 4 4 3 4" xfId="20422"/>
    <cellStyle name="20% - Accent1 4 4 4" xfId="6272"/>
    <cellStyle name="20% - Accent1 4 4 4 2" xfId="14247"/>
    <cellStyle name="20% - Accent1 4 4 4 3" xfId="22194"/>
    <cellStyle name="20% - Accent1 4 4 5" xfId="9815"/>
    <cellStyle name="20% - Accent1 4 4 5 2" xfId="17773"/>
    <cellStyle name="20% - Accent1 4 4 5 3" xfId="25717"/>
    <cellStyle name="20% - Accent1 4 4 6" xfId="10711"/>
    <cellStyle name="20% - Accent1 4 4 7" xfId="18666"/>
    <cellStyle name="20% - Accent1 4 4_Exh G" xfId="2014"/>
    <cellStyle name="20% - Accent1 4 5" xfId="1080"/>
    <cellStyle name="20% - Accent1 4 5 2" xfId="4610"/>
    <cellStyle name="20% - Accent1 4 5 2 2" xfId="8201"/>
    <cellStyle name="20% - Accent1 4 5 2 2 2" xfId="16172"/>
    <cellStyle name="20% - Accent1 4 5 2 2 3" xfId="24118"/>
    <cellStyle name="20% - Accent1 4 5 2 3" xfId="12634"/>
    <cellStyle name="20% - Accent1 4 5 2 4" xfId="20589"/>
    <cellStyle name="20% - Accent1 4 5 3" xfId="6442"/>
    <cellStyle name="20% - Accent1 4 5 3 2" xfId="14414"/>
    <cellStyle name="20% - Accent1 4 5 3 3" xfId="22361"/>
    <cellStyle name="20% - Accent1 4 5 4" xfId="10878"/>
    <cellStyle name="20% - Accent1 4 5 5" xfId="18833"/>
    <cellStyle name="20% - Accent1 4 5_Exh G" xfId="2016"/>
    <cellStyle name="20% - Accent1 4 6" xfId="3731"/>
    <cellStyle name="20% - Accent1 4 6 2" xfId="7323"/>
    <cellStyle name="20% - Accent1 4 6 2 2" xfId="15294"/>
    <cellStyle name="20% - Accent1 4 6 2 3" xfId="23240"/>
    <cellStyle name="20% - Accent1 4 6 3" xfId="11756"/>
    <cellStyle name="20% - Accent1 4 6 4" xfId="19711"/>
    <cellStyle name="20% - Accent1 4 7" xfId="5551"/>
    <cellStyle name="20% - Accent1 4 7 2" xfId="13535"/>
    <cellStyle name="20% - Accent1 4 7 3" xfId="21483"/>
    <cellStyle name="20% - Accent1 4 8" xfId="9104"/>
    <cellStyle name="20% - Accent1 4 8 2" xfId="17062"/>
    <cellStyle name="20% - Accent1 4 8 3" xfId="25006"/>
    <cellStyle name="20% - Accent1 4 9" xfId="10000"/>
    <cellStyle name="20% - Accent1 4_Exh G" xfId="2005"/>
    <cellStyle name="20% - Accent1 5" xfId="56"/>
    <cellStyle name="20% - Accent1 5 10" xfId="17959"/>
    <cellStyle name="20% - Accent1 5 2" xfId="57"/>
    <cellStyle name="20% - Accent1 5 2 2" xfId="58"/>
    <cellStyle name="20% - Accent1 5 2 2 2" xfId="1086"/>
    <cellStyle name="20% - Accent1 5 2 2 2 2" xfId="4616"/>
    <cellStyle name="20% - Accent1 5 2 2 2 2 2" xfId="8207"/>
    <cellStyle name="20% - Accent1 5 2 2 2 2 2 2" xfId="16178"/>
    <cellStyle name="20% - Accent1 5 2 2 2 2 2 3" xfId="24124"/>
    <cellStyle name="20% - Accent1 5 2 2 2 2 3" xfId="12640"/>
    <cellStyle name="20% - Accent1 5 2 2 2 2 4" xfId="20595"/>
    <cellStyle name="20% - Accent1 5 2 2 2 3" xfId="6448"/>
    <cellStyle name="20% - Accent1 5 2 2 2 3 2" xfId="14420"/>
    <cellStyle name="20% - Accent1 5 2 2 2 3 3" xfId="22367"/>
    <cellStyle name="20% - Accent1 5 2 2 2 4" xfId="10884"/>
    <cellStyle name="20% - Accent1 5 2 2 2 5" xfId="18839"/>
    <cellStyle name="20% - Accent1 5 2 2 2_Exh G" xfId="2020"/>
    <cellStyle name="20% - Accent1 5 2 2 3" xfId="3737"/>
    <cellStyle name="20% - Accent1 5 2 2 3 2" xfId="7329"/>
    <cellStyle name="20% - Accent1 5 2 2 3 2 2" xfId="15300"/>
    <cellStyle name="20% - Accent1 5 2 2 3 2 3" xfId="23246"/>
    <cellStyle name="20% - Accent1 5 2 2 3 3" xfId="11762"/>
    <cellStyle name="20% - Accent1 5 2 2 3 4" xfId="19717"/>
    <cellStyle name="20% - Accent1 5 2 2 4" xfId="5557"/>
    <cellStyle name="20% - Accent1 5 2 2 4 2" xfId="13541"/>
    <cellStyle name="20% - Accent1 5 2 2 4 3" xfId="21489"/>
    <cellStyle name="20% - Accent1 5 2 2 5" xfId="9110"/>
    <cellStyle name="20% - Accent1 5 2 2 5 2" xfId="17068"/>
    <cellStyle name="20% - Accent1 5 2 2 5 3" xfId="25012"/>
    <cellStyle name="20% - Accent1 5 2 2 6" xfId="10006"/>
    <cellStyle name="20% - Accent1 5 2 2 7" xfId="17961"/>
    <cellStyle name="20% - Accent1 5 2 2_Exh G" xfId="2019"/>
    <cellStyle name="20% - Accent1 5 2 3" xfId="1085"/>
    <cellStyle name="20% - Accent1 5 2 3 2" xfId="4615"/>
    <cellStyle name="20% - Accent1 5 2 3 2 2" xfId="8206"/>
    <cellStyle name="20% - Accent1 5 2 3 2 2 2" xfId="16177"/>
    <cellStyle name="20% - Accent1 5 2 3 2 2 3" xfId="24123"/>
    <cellStyle name="20% - Accent1 5 2 3 2 3" xfId="12639"/>
    <cellStyle name="20% - Accent1 5 2 3 2 4" xfId="20594"/>
    <cellStyle name="20% - Accent1 5 2 3 3" xfId="6447"/>
    <cellStyle name="20% - Accent1 5 2 3 3 2" xfId="14419"/>
    <cellStyle name="20% - Accent1 5 2 3 3 3" xfId="22366"/>
    <cellStyle name="20% - Accent1 5 2 3 4" xfId="10883"/>
    <cellStyle name="20% - Accent1 5 2 3 5" xfId="18838"/>
    <cellStyle name="20% - Accent1 5 2 3_Exh G" xfId="2021"/>
    <cellStyle name="20% - Accent1 5 2 4" xfId="3736"/>
    <cellStyle name="20% - Accent1 5 2 4 2" xfId="7328"/>
    <cellStyle name="20% - Accent1 5 2 4 2 2" xfId="15299"/>
    <cellStyle name="20% - Accent1 5 2 4 2 3" xfId="23245"/>
    <cellStyle name="20% - Accent1 5 2 4 3" xfId="11761"/>
    <cellStyle name="20% - Accent1 5 2 4 4" xfId="19716"/>
    <cellStyle name="20% - Accent1 5 2 5" xfId="5556"/>
    <cellStyle name="20% - Accent1 5 2 5 2" xfId="13540"/>
    <cellStyle name="20% - Accent1 5 2 5 3" xfId="21488"/>
    <cellStyle name="20% - Accent1 5 2 6" xfId="9109"/>
    <cellStyle name="20% - Accent1 5 2 6 2" xfId="17067"/>
    <cellStyle name="20% - Accent1 5 2 6 3" xfId="25011"/>
    <cellStyle name="20% - Accent1 5 2 7" xfId="10005"/>
    <cellStyle name="20% - Accent1 5 2 8" xfId="17960"/>
    <cellStyle name="20% - Accent1 5 2_Exh G" xfId="2018"/>
    <cellStyle name="20% - Accent1 5 3" xfId="59"/>
    <cellStyle name="20% - Accent1 5 3 2" xfId="1087"/>
    <cellStyle name="20% - Accent1 5 3 2 2" xfId="4617"/>
    <cellStyle name="20% - Accent1 5 3 2 2 2" xfId="8208"/>
    <cellStyle name="20% - Accent1 5 3 2 2 2 2" xfId="16179"/>
    <cellStyle name="20% - Accent1 5 3 2 2 2 3" xfId="24125"/>
    <cellStyle name="20% - Accent1 5 3 2 2 3" xfId="12641"/>
    <cellStyle name="20% - Accent1 5 3 2 2 4" xfId="20596"/>
    <cellStyle name="20% - Accent1 5 3 2 3" xfId="6449"/>
    <cellStyle name="20% - Accent1 5 3 2 3 2" xfId="14421"/>
    <cellStyle name="20% - Accent1 5 3 2 3 3" xfId="22368"/>
    <cellStyle name="20% - Accent1 5 3 2 4" xfId="10885"/>
    <cellStyle name="20% - Accent1 5 3 2 5" xfId="18840"/>
    <cellStyle name="20% - Accent1 5 3 2_Exh G" xfId="2023"/>
    <cellStyle name="20% - Accent1 5 3 3" xfId="3738"/>
    <cellStyle name="20% - Accent1 5 3 3 2" xfId="7330"/>
    <cellStyle name="20% - Accent1 5 3 3 2 2" xfId="15301"/>
    <cellStyle name="20% - Accent1 5 3 3 2 3" xfId="23247"/>
    <cellStyle name="20% - Accent1 5 3 3 3" xfId="11763"/>
    <cellStyle name="20% - Accent1 5 3 3 4" xfId="19718"/>
    <cellStyle name="20% - Accent1 5 3 4" xfId="5558"/>
    <cellStyle name="20% - Accent1 5 3 4 2" xfId="13542"/>
    <cellStyle name="20% - Accent1 5 3 4 3" xfId="21490"/>
    <cellStyle name="20% - Accent1 5 3 5" xfId="9111"/>
    <cellStyle name="20% - Accent1 5 3 5 2" xfId="17069"/>
    <cellStyle name="20% - Accent1 5 3 5 3" xfId="25013"/>
    <cellStyle name="20% - Accent1 5 3 6" xfId="10007"/>
    <cellStyle name="20% - Accent1 5 3 7" xfId="17962"/>
    <cellStyle name="20% - Accent1 5 3_Exh G" xfId="2022"/>
    <cellStyle name="20% - Accent1 5 4" xfId="869"/>
    <cellStyle name="20% - Accent1 5 5" xfId="1084"/>
    <cellStyle name="20% - Accent1 5 5 2" xfId="4614"/>
    <cellStyle name="20% - Accent1 5 5 2 2" xfId="8205"/>
    <cellStyle name="20% - Accent1 5 5 2 2 2" xfId="16176"/>
    <cellStyle name="20% - Accent1 5 5 2 2 3" xfId="24122"/>
    <cellStyle name="20% - Accent1 5 5 2 3" xfId="12638"/>
    <cellStyle name="20% - Accent1 5 5 2 4" xfId="20593"/>
    <cellStyle name="20% - Accent1 5 5 3" xfId="6446"/>
    <cellStyle name="20% - Accent1 5 5 3 2" xfId="14418"/>
    <cellStyle name="20% - Accent1 5 5 3 3" xfId="22365"/>
    <cellStyle name="20% - Accent1 5 5 4" xfId="10882"/>
    <cellStyle name="20% - Accent1 5 5 5" xfId="18837"/>
    <cellStyle name="20% - Accent1 5 5_Exh G" xfId="2024"/>
    <cellStyle name="20% - Accent1 5 6" xfId="3735"/>
    <cellStyle name="20% - Accent1 5 6 2" xfId="7327"/>
    <cellStyle name="20% - Accent1 5 6 2 2" xfId="15298"/>
    <cellStyle name="20% - Accent1 5 6 2 3" xfId="23244"/>
    <cellStyle name="20% - Accent1 5 6 3" xfId="11760"/>
    <cellStyle name="20% - Accent1 5 6 4" xfId="19715"/>
    <cellStyle name="20% - Accent1 5 7" xfId="5555"/>
    <cellStyle name="20% - Accent1 5 7 2" xfId="13539"/>
    <cellStyle name="20% - Accent1 5 7 3" xfId="21487"/>
    <cellStyle name="20% - Accent1 5 8" xfId="9108"/>
    <cellStyle name="20% - Accent1 5 8 2" xfId="17066"/>
    <cellStyle name="20% - Accent1 5 8 3" xfId="25010"/>
    <cellStyle name="20% - Accent1 5 9" xfId="10004"/>
    <cellStyle name="20% - Accent1 5_Exh G" xfId="2017"/>
    <cellStyle name="20% - Accent1 6" xfId="60"/>
    <cellStyle name="20% - Accent1 6 10" xfId="17963"/>
    <cellStyle name="20% - Accent1 6 2" xfId="61"/>
    <cellStyle name="20% - Accent1 6 2 2" xfId="62"/>
    <cellStyle name="20% - Accent1 6 2 2 2" xfId="1090"/>
    <cellStyle name="20% - Accent1 6 2 2 2 2" xfId="4620"/>
    <cellStyle name="20% - Accent1 6 2 2 2 2 2" xfId="8211"/>
    <cellStyle name="20% - Accent1 6 2 2 2 2 2 2" xfId="16182"/>
    <cellStyle name="20% - Accent1 6 2 2 2 2 2 3" xfId="24128"/>
    <cellStyle name="20% - Accent1 6 2 2 2 2 3" xfId="12644"/>
    <cellStyle name="20% - Accent1 6 2 2 2 2 4" xfId="20599"/>
    <cellStyle name="20% - Accent1 6 2 2 2 3" xfId="6452"/>
    <cellStyle name="20% - Accent1 6 2 2 2 3 2" xfId="14424"/>
    <cellStyle name="20% - Accent1 6 2 2 2 3 3" xfId="22371"/>
    <cellStyle name="20% - Accent1 6 2 2 2 4" xfId="10888"/>
    <cellStyle name="20% - Accent1 6 2 2 2 5" xfId="18843"/>
    <cellStyle name="20% - Accent1 6 2 2 2_Exh G" xfId="2028"/>
    <cellStyle name="20% - Accent1 6 2 2 3" xfId="3741"/>
    <cellStyle name="20% - Accent1 6 2 2 3 2" xfId="7333"/>
    <cellStyle name="20% - Accent1 6 2 2 3 2 2" xfId="15304"/>
    <cellStyle name="20% - Accent1 6 2 2 3 2 3" xfId="23250"/>
    <cellStyle name="20% - Accent1 6 2 2 3 3" xfId="11766"/>
    <cellStyle name="20% - Accent1 6 2 2 3 4" xfId="19721"/>
    <cellStyle name="20% - Accent1 6 2 2 4" xfId="5561"/>
    <cellStyle name="20% - Accent1 6 2 2 4 2" xfId="13545"/>
    <cellStyle name="20% - Accent1 6 2 2 4 3" xfId="21493"/>
    <cellStyle name="20% - Accent1 6 2 2 5" xfId="9114"/>
    <cellStyle name="20% - Accent1 6 2 2 5 2" xfId="17072"/>
    <cellStyle name="20% - Accent1 6 2 2 5 3" xfId="25016"/>
    <cellStyle name="20% - Accent1 6 2 2 6" xfId="10010"/>
    <cellStyle name="20% - Accent1 6 2 2 7" xfId="17965"/>
    <cellStyle name="20% - Accent1 6 2 2_Exh G" xfId="2027"/>
    <cellStyle name="20% - Accent1 6 2 3" xfId="1089"/>
    <cellStyle name="20% - Accent1 6 2 3 2" xfId="4619"/>
    <cellStyle name="20% - Accent1 6 2 3 2 2" xfId="8210"/>
    <cellStyle name="20% - Accent1 6 2 3 2 2 2" xfId="16181"/>
    <cellStyle name="20% - Accent1 6 2 3 2 2 3" xfId="24127"/>
    <cellStyle name="20% - Accent1 6 2 3 2 3" xfId="12643"/>
    <cellStyle name="20% - Accent1 6 2 3 2 4" xfId="20598"/>
    <cellStyle name="20% - Accent1 6 2 3 3" xfId="6451"/>
    <cellStyle name="20% - Accent1 6 2 3 3 2" xfId="14423"/>
    <cellStyle name="20% - Accent1 6 2 3 3 3" xfId="22370"/>
    <cellStyle name="20% - Accent1 6 2 3 4" xfId="10887"/>
    <cellStyle name="20% - Accent1 6 2 3 5" xfId="18842"/>
    <cellStyle name="20% - Accent1 6 2 3_Exh G" xfId="2029"/>
    <cellStyle name="20% - Accent1 6 2 4" xfId="3740"/>
    <cellStyle name="20% - Accent1 6 2 4 2" xfId="7332"/>
    <cellStyle name="20% - Accent1 6 2 4 2 2" xfId="15303"/>
    <cellStyle name="20% - Accent1 6 2 4 2 3" xfId="23249"/>
    <cellStyle name="20% - Accent1 6 2 4 3" xfId="11765"/>
    <cellStyle name="20% - Accent1 6 2 4 4" xfId="19720"/>
    <cellStyle name="20% - Accent1 6 2 5" xfId="5560"/>
    <cellStyle name="20% - Accent1 6 2 5 2" xfId="13544"/>
    <cellStyle name="20% - Accent1 6 2 5 3" xfId="21492"/>
    <cellStyle name="20% - Accent1 6 2 6" xfId="9113"/>
    <cellStyle name="20% - Accent1 6 2 6 2" xfId="17071"/>
    <cellStyle name="20% - Accent1 6 2 6 3" xfId="25015"/>
    <cellStyle name="20% - Accent1 6 2 7" xfId="10009"/>
    <cellStyle name="20% - Accent1 6 2 8" xfId="17964"/>
    <cellStyle name="20% - Accent1 6 2_Exh G" xfId="2026"/>
    <cellStyle name="20% - Accent1 6 3" xfId="63"/>
    <cellStyle name="20% - Accent1 6 3 2" xfId="1091"/>
    <cellStyle name="20% - Accent1 6 3 2 2" xfId="4621"/>
    <cellStyle name="20% - Accent1 6 3 2 2 2" xfId="8212"/>
    <cellStyle name="20% - Accent1 6 3 2 2 2 2" xfId="16183"/>
    <cellStyle name="20% - Accent1 6 3 2 2 2 3" xfId="24129"/>
    <cellStyle name="20% - Accent1 6 3 2 2 3" xfId="12645"/>
    <cellStyle name="20% - Accent1 6 3 2 2 4" xfId="20600"/>
    <cellStyle name="20% - Accent1 6 3 2 3" xfId="6453"/>
    <cellStyle name="20% - Accent1 6 3 2 3 2" xfId="14425"/>
    <cellStyle name="20% - Accent1 6 3 2 3 3" xfId="22372"/>
    <cellStyle name="20% - Accent1 6 3 2 4" xfId="10889"/>
    <cellStyle name="20% - Accent1 6 3 2 5" xfId="18844"/>
    <cellStyle name="20% - Accent1 6 3 2_Exh G" xfId="2031"/>
    <cellStyle name="20% - Accent1 6 3 3" xfId="3742"/>
    <cellStyle name="20% - Accent1 6 3 3 2" xfId="7334"/>
    <cellStyle name="20% - Accent1 6 3 3 2 2" xfId="15305"/>
    <cellStyle name="20% - Accent1 6 3 3 2 3" xfId="23251"/>
    <cellStyle name="20% - Accent1 6 3 3 3" xfId="11767"/>
    <cellStyle name="20% - Accent1 6 3 3 4" xfId="19722"/>
    <cellStyle name="20% - Accent1 6 3 4" xfId="5562"/>
    <cellStyle name="20% - Accent1 6 3 4 2" xfId="13546"/>
    <cellStyle name="20% - Accent1 6 3 4 3" xfId="21494"/>
    <cellStyle name="20% - Accent1 6 3 5" xfId="9115"/>
    <cellStyle name="20% - Accent1 6 3 5 2" xfId="17073"/>
    <cellStyle name="20% - Accent1 6 3 5 3" xfId="25017"/>
    <cellStyle name="20% - Accent1 6 3 6" xfId="10011"/>
    <cellStyle name="20% - Accent1 6 3 7" xfId="17966"/>
    <cellStyle name="20% - Accent1 6 3_Exh G" xfId="2030"/>
    <cellStyle name="20% - Accent1 6 4" xfId="870"/>
    <cellStyle name="20% - Accent1 6 4 2" xfId="1805"/>
    <cellStyle name="20% - Accent1 6 4 2 2" xfId="5323"/>
    <cellStyle name="20% - Accent1 6 4 2 2 2" xfId="8914"/>
    <cellStyle name="20% - Accent1 6 4 2 2 2 2" xfId="16885"/>
    <cellStyle name="20% - Accent1 6 4 2 2 2 3" xfId="24831"/>
    <cellStyle name="20% - Accent1 6 4 2 2 3" xfId="13347"/>
    <cellStyle name="20% - Accent1 6 4 2 2 4" xfId="21302"/>
    <cellStyle name="20% - Accent1 6 4 2 3" xfId="7155"/>
    <cellStyle name="20% - Accent1 6 4 2 3 2" xfId="15127"/>
    <cellStyle name="20% - Accent1 6 4 2 3 3" xfId="23074"/>
    <cellStyle name="20% - Accent1 6 4 2 4" xfId="11591"/>
    <cellStyle name="20% - Accent1 6 4 2 5" xfId="19546"/>
    <cellStyle name="20% - Accent1 6 4 2_Exh G" xfId="2033"/>
    <cellStyle name="20% - Accent1 6 4 3" xfId="4444"/>
    <cellStyle name="20% - Accent1 6 4 3 2" xfId="8036"/>
    <cellStyle name="20% - Accent1 6 4 3 2 2" xfId="16007"/>
    <cellStyle name="20% - Accent1 6 4 3 2 3" xfId="23953"/>
    <cellStyle name="20% - Accent1 6 4 3 3" xfId="12469"/>
    <cellStyle name="20% - Accent1 6 4 3 4" xfId="20424"/>
    <cellStyle name="20% - Accent1 6 4 4" xfId="6274"/>
    <cellStyle name="20% - Accent1 6 4 4 2" xfId="14249"/>
    <cellStyle name="20% - Accent1 6 4 4 3" xfId="22196"/>
    <cellStyle name="20% - Accent1 6 4 5" xfId="9817"/>
    <cellStyle name="20% - Accent1 6 4 5 2" xfId="17775"/>
    <cellStyle name="20% - Accent1 6 4 5 3" xfId="25719"/>
    <cellStyle name="20% - Accent1 6 4 6" xfId="10713"/>
    <cellStyle name="20% - Accent1 6 4 7" xfId="18668"/>
    <cellStyle name="20% - Accent1 6 4_Exh G" xfId="2032"/>
    <cellStyle name="20% - Accent1 6 5" xfId="1088"/>
    <cellStyle name="20% - Accent1 6 5 2" xfId="4618"/>
    <cellStyle name="20% - Accent1 6 5 2 2" xfId="8209"/>
    <cellStyle name="20% - Accent1 6 5 2 2 2" xfId="16180"/>
    <cellStyle name="20% - Accent1 6 5 2 2 3" xfId="24126"/>
    <cellStyle name="20% - Accent1 6 5 2 3" xfId="12642"/>
    <cellStyle name="20% - Accent1 6 5 2 4" xfId="20597"/>
    <cellStyle name="20% - Accent1 6 5 3" xfId="6450"/>
    <cellStyle name="20% - Accent1 6 5 3 2" xfId="14422"/>
    <cellStyle name="20% - Accent1 6 5 3 3" xfId="22369"/>
    <cellStyle name="20% - Accent1 6 5 4" xfId="10886"/>
    <cellStyle name="20% - Accent1 6 5 5" xfId="18841"/>
    <cellStyle name="20% - Accent1 6 5_Exh G" xfId="2034"/>
    <cellStyle name="20% - Accent1 6 6" xfId="3739"/>
    <cellStyle name="20% - Accent1 6 6 2" xfId="7331"/>
    <cellStyle name="20% - Accent1 6 6 2 2" xfId="15302"/>
    <cellStyle name="20% - Accent1 6 6 2 3" xfId="23248"/>
    <cellStyle name="20% - Accent1 6 6 3" xfId="11764"/>
    <cellStyle name="20% - Accent1 6 6 4" xfId="19719"/>
    <cellStyle name="20% - Accent1 6 7" xfId="5559"/>
    <cellStyle name="20% - Accent1 6 7 2" xfId="13543"/>
    <cellStyle name="20% - Accent1 6 7 3" xfId="21491"/>
    <cellStyle name="20% - Accent1 6 8" xfId="9112"/>
    <cellStyle name="20% - Accent1 6 8 2" xfId="17070"/>
    <cellStyle name="20% - Accent1 6 8 3" xfId="25014"/>
    <cellStyle name="20% - Accent1 6 9" xfId="10008"/>
    <cellStyle name="20% - Accent1 6_Exh G" xfId="2025"/>
    <cellStyle name="20% - Accent1 7" xfId="64"/>
    <cellStyle name="20% - Accent1 7 10" xfId="17967"/>
    <cellStyle name="20% - Accent1 7 2" xfId="65"/>
    <cellStyle name="20% - Accent1 7 2 2" xfId="66"/>
    <cellStyle name="20% - Accent1 7 2 2 2" xfId="1094"/>
    <cellStyle name="20% - Accent1 7 2 2 2 2" xfId="4624"/>
    <cellStyle name="20% - Accent1 7 2 2 2 2 2" xfId="8215"/>
    <cellStyle name="20% - Accent1 7 2 2 2 2 2 2" xfId="16186"/>
    <cellStyle name="20% - Accent1 7 2 2 2 2 2 3" xfId="24132"/>
    <cellStyle name="20% - Accent1 7 2 2 2 2 3" xfId="12648"/>
    <cellStyle name="20% - Accent1 7 2 2 2 2 4" xfId="20603"/>
    <cellStyle name="20% - Accent1 7 2 2 2 3" xfId="6456"/>
    <cellStyle name="20% - Accent1 7 2 2 2 3 2" xfId="14428"/>
    <cellStyle name="20% - Accent1 7 2 2 2 3 3" xfId="22375"/>
    <cellStyle name="20% - Accent1 7 2 2 2 4" xfId="10892"/>
    <cellStyle name="20% - Accent1 7 2 2 2 5" xfId="18847"/>
    <cellStyle name="20% - Accent1 7 2 2 2_Exh G" xfId="2038"/>
    <cellStyle name="20% - Accent1 7 2 2 3" xfId="3745"/>
    <cellStyle name="20% - Accent1 7 2 2 3 2" xfId="7337"/>
    <cellStyle name="20% - Accent1 7 2 2 3 2 2" xfId="15308"/>
    <cellStyle name="20% - Accent1 7 2 2 3 2 3" xfId="23254"/>
    <cellStyle name="20% - Accent1 7 2 2 3 3" xfId="11770"/>
    <cellStyle name="20% - Accent1 7 2 2 3 4" xfId="19725"/>
    <cellStyle name="20% - Accent1 7 2 2 4" xfId="5565"/>
    <cellStyle name="20% - Accent1 7 2 2 4 2" xfId="13549"/>
    <cellStyle name="20% - Accent1 7 2 2 4 3" xfId="21497"/>
    <cellStyle name="20% - Accent1 7 2 2 5" xfId="9118"/>
    <cellStyle name="20% - Accent1 7 2 2 5 2" xfId="17076"/>
    <cellStyle name="20% - Accent1 7 2 2 5 3" xfId="25020"/>
    <cellStyle name="20% - Accent1 7 2 2 6" xfId="10014"/>
    <cellStyle name="20% - Accent1 7 2 2 7" xfId="17969"/>
    <cellStyle name="20% - Accent1 7 2 2_Exh G" xfId="2037"/>
    <cellStyle name="20% - Accent1 7 2 3" xfId="1093"/>
    <cellStyle name="20% - Accent1 7 2 3 2" xfId="4623"/>
    <cellStyle name="20% - Accent1 7 2 3 2 2" xfId="8214"/>
    <cellStyle name="20% - Accent1 7 2 3 2 2 2" xfId="16185"/>
    <cellStyle name="20% - Accent1 7 2 3 2 2 3" xfId="24131"/>
    <cellStyle name="20% - Accent1 7 2 3 2 3" xfId="12647"/>
    <cellStyle name="20% - Accent1 7 2 3 2 4" xfId="20602"/>
    <cellStyle name="20% - Accent1 7 2 3 3" xfId="6455"/>
    <cellStyle name="20% - Accent1 7 2 3 3 2" xfId="14427"/>
    <cellStyle name="20% - Accent1 7 2 3 3 3" xfId="22374"/>
    <cellStyle name="20% - Accent1 7 2 3 4" xfId="10891"/>
    <cellStyle name="20% - Accent1 7 2 3 5" xfId="18846"/>
    <cellStyle name="20% - Accent1 7 2 3_Exh G" xfId="2039"/>
    <cellStyle name="20% - Accent1 7 2 4" xfId="3744"/>
    <cellStyle name="20% - Accent1 7 2 4 2" xfId="7336"/>
    <cellStyle name="20% - Accent1 7 2 4 2 2" xfId="15307"/>
    <cellStyle name="20% - Accent1 7 2 4 2 3" xfId="23253"/>
    <cellStyle name="20% - Accent1 7 2 4 3" xfId="11769"/>
    <cellStyle name="20% - Accent1 7 2 4 4" xfId="19724"/>
    <cellStyle name="20% - Accent1 7 2 5" xfId="5564"/>
    <cellStyle name="20% - Accent1 7 2 5 2" xfId="13548"/>
    <cellStyle name="20% - Accent1 7 2 5 3" xfId="21496"/>
    <cellStyle name="20% - Accent1 7 2 6" xfId="9117"/>
    <cellStyle name="20% - Accent1 7 2 6 2" xfId="17075"/>
    <cellStyle name="20% - Accent1 7 2 6 3" xfId="25019"/>
    <cellStyle name="20% - Accent1 7 2 7" xfId="10013"/>
    <cellStyle name="20% - Accent1 7 2 8" xfId="17968"/>
    <cellStyle name="20% - Accent1 7 2_Exh G" xfId="2036"/>
    <cellStyle name="20% - Accent1 7 3" xfId="67"/>
    <cellStyle name="20% - Accent1 7 3 2" xfId="1095"/>
    <cellStyle name="20% - Accent1 7 3 2 2" xfId="4625"/>
    <cellStyle name="20% - Accent1 7 3 2 2 2" xfId="8216"/>
    <cellStyle name="20% - Accent1 7 3 2 2 2 2" xfId="16187"/>
    <cellStyle name="20% - Accent1 7 3 2 2 2 3" xfId="24133"/>
    <cellStyle name="20% - Accent1 7 3 2 2 3" xfId="12649"/>
    <cellStyle name="20% - Accent1 7 3 2 2 4" xfId="20604"/>
    <cellStyle name="20% - Accent1 7 3 2 3" xfId="6457"/>
    <cellStyle name="20% - Accent1 7 3 2 3 2" xfId="14429"/>
    <cellStyle name="20% - Accent1 7 3 2 3 3" xfId="22376"/>
    <cellStyle name="20% - Accent1 7 3 2 4" xfId="10893"/>
    <cellStyle name="20% - Accent1 7 3 2 5" xfId="18848"/>
    <cellStyle name="20% - Accent1 7 3 2_Exh G" xfId="2041"/>
    <cellStyle name="20% - Accent1 7 3 3" xfId="3746"/>
    <cellStyle name="20% - Accent1 7 3 3 2" xfId="7338"/>
    <cellStyle name="20% - Accent1 7 3 3 2 2" xfId="15309"/>
    <cellStyle name="20% - Accent1 7 3 3 2 3" xfId="23255"/>
    <cellStyle name="20% - Accent1 7 3 3 3" xfId="11771"/>
    <cellStyle name="20% - Accent1 7 3 3 4" xfId="19726"/>
    <cellStyle name="20% - Accent1 7 3 4" xfId="5566"/>
    <cellStyle name="20% - Accent1 7 3 4 2" xfId="13550"/>
    <cellStyle name="20% - Accent1 7 3 4 3" xfId="21498"/>
    <cellStyle name="20% - Accent1 7 3 5" xfId="9119"/>
    <cellStyle name="20% - Accent1 7 3 5 2" xfId="17077"/>
    <cellStyle name="20% - Accent1 7 3 5 3" xfId="25021"/>
    <cellStyle name="20% - Accent1 7 3 6" xfId="10015"/>
    <cellStyle name="20% - Accent1 7 3 7" xfId="17970"/>
    <cellStyle name="20% - Accent1 7 3_Exh G" xfId="2040"/>
    <cellStyle name="20% - Accent1 7 4" xfId="871"/>
    <cellStyle name="20% - Accent1 7 4 2" xfId="1806"/>
    <cellStyle name="20% - Accent1 7 4 2 2" xfId="5324"/>
    <cellStyle name="20% - Accent1 7 4 2 2 2" xfId="8915"/>
    <cellStyle name="20% - Accent1 7 4 2 2 2 2" xfId="16886"/>
    <cellStyle name="20% - Accent1 7 4 2 2 2 3" xfId="24832"/>
    <cellStyle name="20% - Accent1 7 4 2 2 3" xfId="13348"/>
    <cellStyle name="20% - Accent1 7 4 2 2 4" xfId="21303"/>
    <cellStyle name="20% - Accent1 7 4 2 3" xfId="7156"/>
    <cellStyle name="20% - Accent1 7 4 2 3 2" xfId="15128"/>
    <cellStyle name="20% - Accent1 7 4 2 3 3" xfId="23075"/>
    <cellStyle name="20% - Accent1 7 4 2 4" xfId="11592"/>
    <cellStyle name="20% - Accent1 7 4 2 5" xfId="19547"/>
    <cellStyle name="20% - Accent1 7 4 2_Exh G" xfId="2043"/>
    <cellStyle name="20% - Accent1 7 4 3" xfId="4445"/>
    <cellStyle name="20% - Accent1 7 4 3 2" xfId="8037"/>
    <cellStyle name="20% - Accent1 7 4 3 2 2" xfId="16008"/>
    <cellStyle name="20% - Accent1 7 4 3 2 3" xfId="23954"/>
    <cellStyle name="20% - Accent1 7 4 3 3" xfId="12470"/>
    <cellStyle name="20% - Accent1 7 4 3 4" xfId="20425"/>
    <cellStyle name="20% - Accent1 7 4 4" xfId="6275"/>
    <cellStyle name="20% - Accent1 7 4 4 2" xfId="14250"/>
    <cellStyle name="20% - Accent1 7 4 4 3" xfId="22197"/>
    <cellStyle name="20% - Accent1 7 4 5" xfId="9818"/>
    <cellStyle name="20% - Accent1 7 4 5 2" xfId="17776"/>
    <cellStyle name="20% - Accent1 7 4 5 3" xfId="25720"/>
    <cellStyle name="20% - Accent1 7 4 6" xfId="10714"/>
    <cellStyle name="20% - Accent1 7 4 7" xfId="18669"/>
    <cellStyle name="20% - Accent1 7 4_Exh G" xfId="2042"/>
    <cellStyle name="20% - Accent1 7 5" xfId="1092"/>
    <cellStyle name="20% - Accent1 7 5 2" xfId="4622"/>
    <cellStyle name="20% - Accent1 7 5 2 2" xfId="8213"/>
    <cellStyle name="20% - Accent1 7 5 2 2 2" xfId="16184"/>
    <cellStyle name="20% - Accent1 7 5 2 2 3" xfId="24130"/>
    <cellStyle name="20% - Accent1 7 5 2 3" xfId="12646"/>
    <cellStyle name="20% - Accent1 7 5 2 4" xfId="20601"/>
    <cellStyle name="20% - Accent1 7 5 3" xfId="6454"/>
    <cellStyle name="20% - Accent1 7 5 3 2" xfId="14426"/>
    <cellStyle name="20% - Accent1 7 5 3 3" xfId="22373"/>
    <cellStyle name="20% - Accent1 7 5 4" xfId="10890"/>
    <cellStyle name="20% - Accent1 7 5 5" xfId="18845"/>
    <cellStyle name="20% - Accent1 7 5_Exh G" xfId="2044"/>
    <cellStyle name="20% - Accent1 7 6" xfId="3743"/>
    <cellStyle name="20% - Accent1 7 6 2" xfId="7335"/>
    <cellStyle name="20% - Accent1 7 6 2 2" xfId="15306"/>
    <cellStyle name="20% - Accent1 7 6 2 3" xfId="23252"/>
    <cellStyle name="20% - Accent1 7 6 3" xfId="11768"/>
    <cellStyle name="20% - Accent1 7 6 4" xfId="19723"/>
    <cellStyle name="20% - Accent1 7 7" xfId="5563"/>
    <cellStyle name="20% - Accent1 7 7 2" xfId="13547"/>
    <cellStyle name="20% - Accent1 7 7 3" xfId="21495"/>
    <cellStyle name="20% - Accent1 7 8" xfId="9116"/>
    <cellStyle name="20% - Accent1 7 8 2" xfId="17074"/>
    <cellStyle name="20% - Accent1 7 8 3" xfId="25018"/>
    <cellStyle name="20% - Accent1 7 9" xfId="10012"/>
    <cellStyle name="20% - Accent1 7_Exh G" xfId="2035"/>
    <cellStyle name="20% - Accent1 8" xfId="68"/>
    <cellStyle name="20% - Accent1 8 10" xfId="17971"/>
    <cellStyle name="20% - Accent1 8 2" xfId="69"/>
    <cellStyle name="20% - Accent1 8 2 2" xfId="70"/>
    <cellStyle name="20% - Accent1 8 2 2 2" xfId="1098"/>
    <cellStyle name="20% - Accent1 8 2 2 2 2" xfId="4628"/>
    <cellStyle name="20% - Accent1 8 2 2 2 2 2" xfId="8219"/>
    <cellStyle name="20% - Accent1 8 2 2 2 2 2 2" xfId="16190"/>
    <cellStyle name="20% - Accent1 8 2 2 2 2 2 3" xfId="24136"/>
    <cellStyle name="20% - Accent1 8 2 2 2 2 3" xfId="12652"/>
    <cellStyle name="20% - Accent1 8 2 2 2 2 4" xfId="20607"/>
    <cellStyle name="20% - Accent1 8 2 2 2 3" xfId="6460"/>
    <cellStyle name="20% - Accent1 8 2 2 2 3 2" xfId="14432"/>
    <cellStyle name="20% - Accent1 8 2 2 2 3 3" xfId="22379"/>
    <cellStyle name="20% - Accent1 8 2 2 2 4" xfId="10896"/>
    <cellStyle name="20% - Accent1 8 2 2 2 5" xfId="18851"/>
    <cellStyle name="20% - Accent1 8 2 2 2_Exh G" xfId="2048"/>
    <cellStyle name="20% - Accent1 8 2 2 3" xfId="3749"/>
    <cellStyle name="20% - Accent1 8 2 2 3 2" xfId="7341"/>
    <cellStyle name="20% - Accent1 8 2 2 3 2 2" xfId="15312"/>
    <cellStyle name="20% - Accent1 8 2 2 3 2 3" xfId="23258"/>
    <cellStyle name="20% - Accent1 8 2 2 3 3" xfId="11774"/>
    <cellStyle name="20% - Accent1 8 2 2 3 4" xfId="19729"/>
    <cellStyle name="20% - Accent1 8 2 2 4" xfId="5569"/>
    <cellStyle name="20% - Accent1 8 2 2 4 2" xfId="13553"/>
    <cellStyle name="20% - Accent1 8 2 2 4 3" xfId="21501"/>
    <cellStyle name="20% - Accent1 8 2 2 5" xfId="9122"/>
    <cellStyle name="20% - Accent1 8 2 2 5 2" xfId="17080"/>
    <cellStyle name="20% - Accent1 8 2 2 5 3" xfId="25024"/>
    <cellStyle name="20% - Accent1 8 2 2 6" xfId="10018"/>
    <cellStyle name="20% - Accent1 8 2 2 7" xfId="17973"/>
    <cellStyle name="20% - Accent1 8 2 2_Exh G" xfId="2047"/>
    <cellStyle name="20% - Accent1 8 2 3" xfId="1097"/>
    <cellStyle name="20% - Accent1 8 2 3 2" xfId="4627"/>
    <cellStyle name="20% - Accent1 8 2 3 2 2" xfId="8218"/>
    <cellStyle name="20% - Accent1 8 2 3 2 2 2" xfId="16189"/>
    <cellStyle name="20% - Accent1 8 2 3 2 2 3" xfId="24135"/>
    <cellStyle name="20% - Accent1 8 2 3 2 3" xfId="12651"/>
    <cellStyle name="20% - Accent1 8 2 3 2 4" xfId="20606"/>
    <cellStyle name="20% - Accent1 8 2 3 3" xfId="6459"/>
    <cellStyle name="20% - Accent1 8 2 3 3 2" xfId="14431"/>
    <cellStyle name="20% - Accent1 8 2 3 3 3" xfId="22378"/>
    <cellStyle name="20% - Accent1 8 2 3 4" xfId="10895"/>
    <cellStyle name="20% - Accent1 8 2 3 5" xfId="18850"/>
    <cellStyle name="20% - Accent1 8 2 3_Exh G" xfId="2049"/>
    <cellStyle name="20% - Accent1 8 2 4" xfId="3748"/>
    <cellStyle name="20% - Accent1 8 2 4 2" xfId="7340"/>
    <cellStyle name="20% - Accent1 8 2 4 2 2" xfId="15311"/>
    <cellStyle name="20% - Accent1 8 2 4 2 3" xfId="23257"/>
    <cellStyle name="20% - Accent1 8 2 4 3" xfId="11773"/>
    <cellStyle name="20% - Accent1 8 2 4 4" xfId="19728"/>
    <cellStyle name="20% - Accent1 8 2 5" xfId="5568"/>
    <cellStyle name="20% - Accent1 8 2 5 2" xfId="13552"/>
    <cellStyle name="20% - Accent1 8 2 5 3" xfId="21500"/>
    <cellStyle name="20% - Accent1 8 2 6" xfId="9121"/>
    <cellStyle name="20% - Accent1 8 2 6 2" xfId="17079"/>
    <cellStyle name="20% - Accent1 8 2 6 3" xfId="25023"/>
    <cellStyle name="20% - Accent1 8 2 7" xfId="10017"/>
    <cellStyle name="20% - Accent1 8 2 8" xfId="17972"/>
    <cellStyle name="20% - Accent1 8 2_Exh G" xfId="2046"/>
    <cellStyle name="20% - Accent1 8 3" xfId="71"/>
    <cellStyle name="20% - Accent1 8 3 2" xfId="1099"/>
    <cellStyle name="20% - Accent1 8 3 2 2" xfId="4629"/>
    <cellStyle name="20% - Accent1 8 3 2 2 2" xfId="8220"/>
    <cellStyle name="20% - Accent1 8 3 2 2 2 2" xfId="16191"/>
    <cellStyle name="20% - Accent1 8 3 2 2 2 3" xfId="24137"/>
    <cellStyle name="20% - Accent1 8 3 2 2 3" xfId="12653"/>
    <cellStyle name="20% - Accent1 8 3 2 2 4" xfId="20608"/>
    <cellStyle name="20% - Accent1 8 3 2 3" xfId="6461"/>
    <cellStyle name="20% - Accent1 8 3 2 3 2" xfId="14433"/>
    <cellStyle name="20% - Accent1 8 3 2 3 3" xfId="22380"/>
    <cellStyle name="20% - Accent1 8 3 2 4" xfId="10897"/>
    <cellStyle name="20% - Accent1 8 3 2 5" xfId="18852"/>
    <cellStyle name="20% - Accent1 8 3 2_Exh G" xfId="2051"/>
    <cellStyle name="20% - Accent1 8 3 3" xfId="3750"/>
    <cellStyle name="20% - Accent1 8 3 3 2" xfId="7342"/>
    <cellStyle name="20% - Accent1 8 3 3 2 2" xfId="15313"/>
    <cellStyle name="20% - Accent1 8 3 3 2 3" xfId="23259"/>
    <cellStyle name="20% - Accent1 8 3 3 3" xfId="11775"/>
    <cellStyle name="20% - Accent1 8 3 3 4" xfId="19730"/>
    <cellStyle name="20% - Accent1 8 3 4" xfId="5570"/>
    <cellStyle name="20% - Accent1 8 3 4 2" xfId="13554"/>
    <cellStyle name="20% - Accent1 8 3 4 3" xfId="21502"/>
    <cellStyle name="20% - Accent1 8 3 5" xfId="9123"/>
    <cellStyle name="20% - Accent1 8 3 5 2" xfId="17081"/>
    <cellStyle name="20% - Accent1 8 3 5 3" xfId="25025"/>
    <cellStyle name="20% - Accent1 8 3 6" xfId="10019"/>
    <cellStyle name="20% - Accent1 8 3 7" xfId="17974"/>
    <cellStyle name="20% - Accent1 8 3_Exh G" xfId="2050"/>
    <cellStyle name="20% - Accent1 8 4" xfId="872"/>
    <cellStyle name="20% - Accent1 8 4 2" xfId="1807"/>
    <cellStyle name="20% - Accent1 8 4 2 2" xfId="5325"/>
    <cellStyle name="20% - Accent1 8 4 2 2 2" xfId="8916"/>
    <cellStyle name="20% - Accent1 8 4 2 2 2 2" xfId="16887"/>
    <cellStyle name="20% - Accent1 8 4 2 2 2 3" xfId="24833"/>
    <cellStyle name="20% - Accent1 8 4 2 2 3" xfId="13349"/>
    <cellStyle name="20% - Accent1 8 4 2 2 4" xfId="21304"/>
    <cellStyle name="20% - Accent1 8 4 2 3" xfId="7157"/>
    <cellStyle name="20% - Accent1 8 4 2 3 2" xfId="15129"/>
    <cellStyle name="20% - Accent1 8 4 2 3 3" xfId="23076"/>
    <cellStyle name="20% - Accent1 8 4 2 4" xfId="11593"/>
    <cellStyle name="20% - Accent1 8 4 2 5" xfId="19548"/>
    <cellStyle name="20% - Accent1 8 4 2_Exh G" xfId="2053"/>
    <cellStyle name="20% - Accent1 8 4 3" xfId="4446"/>
    <cellStyle name="20% - Accent1 8 4 3 2" xfId="8038"/>
    <cellStyle name="20% - Accent1 8 4 3 2 2" xfId="16009"/>
    <cellStyle name="20% - Accent1 8 4 3 2 3" xfId="23955"/>
    <cellStyle name="20% - Accent1 8 4 3 3" xfId="12471"/>
    <cellStyle name="20% - Accent1 8 4 3 4" xfId="20426"/>
    <cellStyle name="20% - Accent1 8 4 4" xfId="6276"/>
    <cellStyle name="20% - Accent1 8 4 4 2" xfId="14251"/>
    <cellStyle name="20% - Accent1 8 4 4 3" xfId="22198"/>
    <cellStyle name="20% - Accent1 8 4 5" xfId="9819"/>
    <cellStyle name="20% - Accent1 8 4 5 2" xfId="17777"/>
    <cellStyle name="20% - Accent1 8 4 5 3" xfId="25721"/>
    <cellStyle name="20% - Accent1 8 4 6" xfId="10715"/>
    <cellStyle name="20% - Accent1 8 4 7" xfId="18670"/>
    <cellStyle name="20% - Accent1 8 4_Exh G" xfId="2052"/>
    <cellStyle name="20% - Accent1 8 5" xfId="1096"/>
    <cellStyle name="20% - Accent1 8 5 2" xfId="4626"/>
    <cellStyle name="20% - Accent1 8 5 2 2" xfId="8217"/>
    <cellStyle name="20% - Accent1 8 5 2 2 2" xfId="16188"/>
    <cellStyle name="20% - Accent1 8 5 2 2 3" xfId="24134"/>
    <cellStyle name="20% - Accent1 8 5 2 3" xfId="12650"/>
    <cellStyle name="20% - Accent1 8 5 2 4" xfId="20605"/>
    <cellStyle name="20% - Accent1 8 5 3" xfId="6458"/>
    <cellStyle name="20% - Accent1 8 5 3 2" xfId="14430"/>
    <cellStyle name="20% - Accent1 8 5 3 3" xfId="22377"/>
    <cellStyle name="20% - Accent1 8 5 4" xfId="10894"/>
    <cellStyle name="20% - Accent1 8 5 5" xfId="18849"/>
    <cellStyle name="20% - Accent1 8 5_Exh G" xfId="2054"/>
    <cellStyle name="20% - Accent1 8 6" xfId="3747"/>
    <cellStyle name="20% - Accent1 8 6 2" xfId="7339"/>
    <cellStyle name="20% - Accent1 8 6 2 2" xfId="15310"/>
    <cellStyle name="20% - Accent1 8 6 2 3" xfId="23256"/>
    <cellStyle name="20% - Accent1 8 6 3" xfId="11772"/>
    <cellStyle name="20% - Accent1 8 6 4" xfId="19727"/>
    <cellStyle name="20% - Accent1 8 7" xfId="5567"/>
    <cellStyle name="20% - Accent1 8 7 2" xfId="13551"/>
    <cellStyle name="20% - Accent1 8 7 3" xfId="21499"/>
    <cellStyle name="20% - Accent1 8 8" xfId="9120"/>
    <cellStyle name="20% - Accent1 8 8 2" xfId="17078"/>
    <cellStyle name="20% - Accent1 8 8 3" xfId="25022"/>
    <cellStyle name="20% - Accent1 8 9" xfId="10016"/>
    <cellStyle name="20% - Accent1 8_Exh G" xfId="2045"/>
    <cellStyle name="20% - Accent1 9" xfId="72"/>
    <cellStyle name="20% - Accent1 9 10" xfId="17975"/>
    <cellStyle name="20% - Accent1 9 2" xfId="73"/>
    <cellStyle name="20% - Accent1 9 2 2" xfId="74"/>
    <cellStyle name="20% - Accent1 9 2 2 2" xfId="1102"/>
    <cellStyle name="20% - Accent1 9 2 2 2 2" xfId="4632"/>
    <cellStyle name="20% - Accent1 9 2 2 2 2 2" xfId="8223"/>
    <cellStyle name="20% - Accent1 9 2 2 2 2 2 2" xfId="16194"/>
    <cellStyle name="20% - Accent1 9 2 2 2 2 2 3" xfId="24140"/>
    <cellStyle name="20% - Accent1 9 2 2 2 2 3" xfId="12656"/>
    <cellStyle name="20% - Accent1 9 2 2 2 2 4" xfId="20611"/>
    <cellStyle name="20% - Accent1 9 2 2 2 3" xfId="6464"/>
    <cellStyle name="20% - Accent1 9 2 2 2 3 2" xfId="14436"/>
    <cellStyle name="20% - Accent1 9 2 2 2 3 3" xfId="22383"/>
    <cellStyle name="20% - Accent1 9 2 2 2 4" xfId="10900"/>
    <cellStyle name="20% - Accent1 9 2 2 2 5" xfId="18855"/>
    <cellStyle name="20% - Accent1 9 2 2 2_Exh G" xfId="2058"/>
    <cellStyle name="20% - Accent1 9 2 2 3" xfId="3753"/>
    <cellStyle name="20% - Accent1 9 2 2 3 2" xfId="7345"/>
    <cellStyle name="20% - Accent1 9 2 2 3 2 2" xfId="15316"/>
    <cellStyle name="20% - Accent1 9 2 2 3 2 3" xfId="23262"/>
    <cellStyle name="20% - Accent1 9 2 2 3 3" xfId="11778"/>
    <cellStyle name="20% - Accent1 9 2 2 3 4" xfId="19733"/>
    <cellStyle name="20% - Accent1 9 2 2 4" xfId="5573"/>
    <cellStyle name="20% - Accent1 9 2 2 4 2" xfId="13557"/>
    <cellStyle name="20% - Accent1 9 2 2 4 3" xfId="21505"/>
    <cellStyle name="20% - Accent1 9 2 2 5" xfId="9126"/>
    <cellStyle name="20% - Accent1 9 2 2 5 2" xfId="17084"/>
    <cellStyle name="20% - Accent1 9 2 2 5 3" xfId="25028"/>
    <cellStyle name="20% - Accent1 9 2 2 6" xfId="10022"/>
    <cellStyle name="20% - Accent1 9 2 2 7" xfId="17977"/>
    <cellStyle name="20% - Accent1 9 2 2_Exh G" xfId="2057"/>
    <cellStyle name="20% - Accent1 9 2 3" xfId="1101"/>
    <cellStyle name="20% - Accent1 9 2 3 2" xfId="4631"/>
    <cellStyle name="20% - Accent1 9 2 3 2 2" xfId="8222"/>
    <cellStyle name="20% - Accent1 9 2 3 2 2 2" xfId="16193"/>
    <cellStyle name="20% - Accent1 9 2 3 2 2 3" xfId="24139"/>
    <cellStyle name="20% - Accent1 9 2 3 2 3" xfId="12655"/>
    <cellStyle name="20% - Accent1 9 2 3 2 4" xfId="20610"/>
    <cellStyle name="20% - Accent1 9 2 3 3" xfId="6463"/>
    <cellStyle name="20% - Accent1 9 2 3 3 2" xfId="14435"/>
    <cellStyle name="20% - Accent1 9 2 3 3 3" xfId="22382"/>
    <cellStyle name="20% - Accent1 9 2 3 4" xfId="10899"/>
    <cellStyle name="20% - Accent1 9 2 3 5" xfId="18854"/>
    <cellStyle name="20% - Accent1 9 2 3_Exh G" xfId="2059"/>
    <cellStyle name="20% - Accent1 9 2 4" xfId="3752"/>
    <cellStyle name="20% - Accent1 9 2 4 2" xfId="7344"/>
    <cellStyle name="20% - Accent1 9 2 4 2 2" xfId="15315"/>
    <cellStyle name="20% - Accent1 9 2 4 2 3" xfId="23261"/>
    <cellStyle name="20% - Accent1 9 2 4 3" xfId="11777"/>
    <cellStyle name="20% - Accent1 9 2 4 4" xfId="19732"/>
    <cellStyle name="20% - Accent1 9 2 5" xfId="5572"/>
    <cellStyle name="20% - Accent1 9 2 5 2" xfId="13556"/>
    <cellStyle name="20% - Accent1 9 2 5 3" xfId="21504"/>
    <cellStyle name="20% - Accent1 9 2 6" xfId="9125"/>
    <cellStyle name="20% - Accent1 9 2 6 2" xfId="17083"/>
    <cellStyle name="20% - Accent1 9 2 6 3" xfId="25027"/>
    <cellStyle name="20% - Accent1 9 2 7" xfId="10021"/>
    <cellStyle name="20% - Accent1 9 2 8" xfId="17976"/>
    <cellStyle name="20% - Accent1 9 2_Exh G" xfId="2056"/>
    <cellStyle name="20% - Accent1 9 3" xfId="75"/>
    <cellStyle name="20% - Accent1 9 3 2" xfId="1103"/>
    <cellStyle name="20% - Accent1 9 3 2 2" xfId="4633"/>
    <cellStyle name="20% - Accent1 9 3 2 2 2" xfId="8224"/>
    <cellStyle name="20% - Accent1 9 3 2 2 2 2" xfId="16195"/>
    <cellStyle name="20% - Accent1 9 3 2 2 2 3" xfId="24141"/>
    <cellStyle name="20% - Accent1 9 3 2 2 3" xfId="12657"/>
    <cellStyle name="20% - Accent1 9 3 2 2 4" xfId="20612"/>
    <cellStyle name="20% - Accent1 9 3 2 3" xfId="6465"/>
    <cellStyle name="20% - Accent1 9 3 2 3 2" xfId="14437"/>
    <cellStyle name="20% - Accent1 9 3 2 3 3" xfId="22384"/>
    <cellStyle name="20% - Accent1 9 3 2 4" xfId="10901"/>
    <cellStyle name="20% - Accent1 9 3 2 5" xfId="18856"/>
    <cellStyle name="20% - Accent1 9 3 2_Exh G" xfId="2061"/>
    <cellStyle name="20% - Accent1 9 3 3" xfId="3754"/>
    <cellStyle name="20% - Accent1 9 3 3 2" xfId="7346"/>
    <cellStyle name="20% - Accent1 9 3 3 2 2" xfId="15317"/>
    <cellStyle name="20% - Accent1 9 3 3 2 3" xfId="23263"/>
    <cellStyle name="20% - Accent1 9 3 3 3" xfId="11779"/>
    <cellStyle name="20% - Accent1 9 3 3 4" xfId="19734"/>
    <cellStyle name="20% - Accent1 9 3 4" xfId="5574"/>
    <cellStyle name="20% - Accent1 9 3 4 2" xfId="13558"/>
    <cellStyle name="20% - Accent1 9 3 4 3" xfId="21506"/>
    <cellStyle name="20% - Accent1 9 3 5" xfId="9127"/>
    <cellStyle name="20% - Accent1 9 3 5 2" xfId="17085"/>
    <cellStyle name="20% - Accent1 9 3 5 3" xfId="25029"/>
    <cellStyle name="20% - Accent1 9 3 6" xfId="10023"/>
    <cellStyle name="20% - Accent1 9 3 7" xfId="17978"/>
    <cellStyle name="20% - Accent1 9 3_Exh G" xfId="2060"/>
    <cellStyle name="20% - Accent1 9 4" xfId="873"/>
    <cellStyle name="20% - Accent1 9 4 2" xfId="1808"/>
    <cellStyle name="20% - Accent1 9 4 2 2" xfId="5326"/>
    <cellStyle name="20% - Accent1 9 4 2 2 2" xfId="8917"/>
    <cellStyle name="20% - Accent1 9 4 2 2 2 2" xfId="16888"/>
    <cellStyle name="20% - Accent1 9 4 2 2 2 3" xfId="24834"/>
    <cellStyle name="20% - Accent1 9 4 2 2 3" xfId="13350"/>
    <cellStyle name="20% - Accent1 9 4 2 2 4" xfId="21305"/>
    <cellStyle name="20% - Accent1 9 4 2 3" xfId="7158"/>
    <cellStyle name="20% - Accent1 9 4 2 3 2" xfId="15130"/>
    <cellStyle name="20% - Accent1 9 4 2 3 3" xfId="23077"/>
    <cellStyle name="20% - Accent1 9 4 2 4" xfId="11594"/>
    <cellStyle name="20% - Accent1 9 4 2 5" xfId="19549"/>
    <cellStyle name="20% - Accent1 9 4 2_Exh G" xfId="2063"/>
    <cellStyle name="20% - Accent1 9 4 3" xfId="4447"/>
    <cellStyle name="20% - Accent1 9 4 3 2" xfId="8039"/>
    <cellStyle name="20% - Accent1 9 4 3 2 2" xfId="16010"/>
    <cellStyle name="20% - Accent1 9 4 3 2 3" xfId="23956"/>
    <cellStyle name="20% - Accent1 9 4 3 3" xfId="12472"/>
    <cellStyle name="20% - Accent1 9 4 3 4" xfId="20427"/>
    <cellStyle name="20% - Accent1 9 4 4" xfId="6277"/>
    <cellStyle name="20% - Accent1 9 4 4 2" xfId="14252"/>
    <cellStyle name="20% - Accent1 9 4 4 3" xfId="22199"/>
    <cellStyle name="20% - Accent1 9 4 5" xfId="9820"/>
    <cellStyle name="20% - Accent1 9 4 5 2" xfId="17778"/>
    <cellStyle name="20% - Accent1 9 4 5 3" xfId="25722"/>
    <cellStyle name="20% - Accent1 9 4 6" xfId="10716"/>
    <cellStyle name="20% - Accent1 9 4 7" xfId="18671"/>
    <cellStyle name="20% - Accent1 9 4_Exh G" xfId="2062"/>
    <cellStyle name="20% - Accent1 9 5" xfId="1100"/>
    <cellStyle name="20% - Accent1 9 5 2" xfId="4630"/>
    <cellStyle name="20% - Accent1 9 5 2 2" xfId="8221"/>
    <cellStyle name="20% - Accent1 9 5 2 2 2" xfId="16192"/>
    <cellStyle name="20% - Accent1 9 5 2 2 3" xfId="24138"/>
    <cellStyle name="20% - Accent1 9 5 2 3" xfId="12654"/>
    <cellStyle name="20% - Accent1 9 5 2 4" xfId="20609"/>
    <cellStyle name="20% - Accent1 9 5 3" xfId="6462"/>
    <cellStyle name="20% - Accent1 9 5 3 2" xfId="14434"/>
    <cellStyle name="20% - Accent1 9 5 3 3" xfId="22381"/>
    <cellStyle name="20% - Accent1 9 5 4" xfId="10898"/>
    <cellStyle name="20% - Accent1 9 5 5" xfId="18853"/>
    <cellStyle name="20% - Accent1 9 5_Exh G" xfId="2064"/>
    <cellStyle name="20% - Accent1 9 6" xfId="3751"/>
    <cellStyle name="20% - Accent1 9 6 2" xfId="7343"/>
    <cellStyle name="20% - Accent1 9 6 2 2" xfId="15314"/>
    <cellStyle name="20% - Accent1 9 6 2 3" xfId="23260"/>
    <cellStyle name="20% - Accent1 9 6 3" xfId="11776"/>
    <cellStyle name="20% - Accent1 9 6 4" xfId="19731"/>
    <cellStyle name="20% - Accent1 9 7" xfId="5571"/>
    <cellStyle name="20% - Accent1 9 7 2" xfId="13555"/>
    <cellStyle name="20% - Accent1 9 7 3" xfId="21503"/>
    <cellStyle name="20% - Accent1 9 8" xfId="9124"/>
    <cellStyle name="20% - Accent1 9 8 2" xfId="17082"/>
    <cellStyle name="20% - Accent1 9 8 3" xfId="25026"/>
    <cellStyle name="20% - Accent1 9 9" xfId="10020"/>
    <cellStyle name="20% - Accent1 9_Exh G" xfId="2055"/>
    <cellStyle name="20% - Accent2 10" xfId="76"/>
    <cellStyle name="20% - Accent2 10 10" xfId="17979"/>
    <cellStyle name="20% - Accent2 10 2" xfId="77"/>
    <cellStyle name="20% - Accent2 10 2 2" xfId="78"/>
    <cellStyle name="20% - Accent2 10 2 2 2" xfId="1106"/>
    <cellStyle name="20% - Accent2 10 2 2 2 2" xfId="4636"/>
    <cellStyle name="20% - Accent2 10 2 2 2 2 2" xfId="8227"/>
    <cellStyle name="20% - Accent2 10 2 2 2 2 2 2" xfId="16198"/>
    <cellStyle name="20% - Accent2 10 2 2 2 2 2 3" xfId="24144"/>
    <cellStyle name="20% - Accent2 10 2 2 2 2 3" xfId="12660"/>
    <cellStyle name="20% - Accent2 10 2 2 2 2 4" xfId="20615"/>
    <cellStyle name="20% - Accent2 10 2 2 2 3" xfId="6468"/>
    <cellStyle name="20% - Accent2 10 2 2 2 3 2" xfId="14440"/>
    <cellStyle name="20% - Accent2 10 2 2 2 3 3" xfId="22387"/>
    <cellStyle name="20% - Accent2 10 2 2 2 4" xfId="10904"/>
    <cellStyle name="20% - Accent2 10 2 2 2 5" xfId="18859"/>
    <cellStyle name="20% - Accent2 10 2 2 2_Exh G" xfId="2068"/>
    <cellStyle name="20% - Accent2 10 2 2 3" xfId="3757"/>
    <cellStyle name="20% - Accent2 10 2 2 3 2" xfId="7349"/>
    <cellStyle name="20% - Accent2 10 2 2 3 2 2" xfId="15320"/>
    <cellStyle name="20% - Accent2 10 2 2 3 2 3" xfId="23266"/>
    <cellStyle name="20% - Accent2 10 2 2 3 3" xfId="11782"/>
    <cellStyle name="20% - Accent2 10 2 2 3 4" xfId="19737"/>
    <cellStyle name="20% - Accent2 10 2 2 4" xfId="5577"/>
    <cellStyle name="20% - Accent2 10 2 2 4 2" xfId="13561"/>
    <cellStyle name="20% - Accent2 10 2 2 4 3" xfId="21509"/>
    <cellStyle name="20% - Accent2 10 2 2 5" xfId="9130"/>
    <cellStyle name="20% - Accent2 10 2 2 5 2" xfId="17088"/>
    <cellStyle name="20% - Accent2 10 2 2 5 3" xfId="25032"/>
    <cellStyle name="20% - Accent2 10 2 2 6" xfId="10026"/>
    <cellStyle name="20% - Accent2 10 2 2 7" xfId="17981"/>
    <cellStyle name="20% - Accent2 10 2 2_Exh G" xfId="2067"/>
    <cellStyle name="20% - Accent2 10 2 3" xfId="1105"/>
    <cellStyle name="20% - Accent2 10 2 3 2" xfId="4635"/>
    <cellStyle name="20% - Accent2 10 2 3 2 2" xfId="8226"/>
    <cellStyle name="20% - Accent2 10 2 3 2 2 2" xfId="16197"/>
    <cellStyle name="20% - Accent2 10 2 3 2 2 3" xfId="24143"/>
    <cellStyle name="20% - Accent2 10 2 3 2 3" xfId="12659"/>
    <cellStyle name="20% - Accent2 10 2 3 2 4" xfId="20614"/>
    <cellStyle name="20% - Accent2 10 2 3 3" xfId="6467"/>
    <cellStyle name="20% - Accent2 10 2 3 3 2" xfId="14439"/>
    <cellStyle name="20% - Accent2 10 2 3 3 3" xfId="22386"/>
    <cellStyle name="20% - Accent2 10 2 3 4" xfId="10903"/>
    <cellStyle name="20% - Accent2 10 2 3 5" xfId="18858"/>
    <cellStyle name="20% - Accent2 10 2 3_Exh G" xfId="2069"/>
    <cellStyle name="20% - Accent2 10 2 4" xfId="3756"/>
    <cellStyle name="20% - Accent2 10 2 4 2" xfId="7348"/>
    <cellStyle name="20% - Accent2 10 2 4 2 2" xfId="15319"/>
    <cellStyle name="20% - Accent2 10 2 4 2 3" xfId="23265"/>
    <cellStyle name="20% - Accent2 10 2 4 3" xfId="11781"/>
    <cellStyle name="20% - Accent2 10 2 4 4" xfId="19736"/>
    <cellStyle name="20% - Accent2 10 2 5" xfId="5576"/>
    <cellStyle name="20% - Accent2 10 2 5 2" xfId="13560"/>
    <cellStyle name="20% - Accent2 10 2 5 3" xfId="21508"/>
    <cellStyle name="20% - Accent2 10 2 6" xfId="9129"/>
    <cellStyle name="20% - Accent2 10 2 6 2" xfId="17087"/>
    <cellStyle name="20% - Accent2 10 2 6 3" xfId="25031"/>
    <cellStyle name="20% - Accent2 10 2 7" xfId="10025"/>
    <cellStyle name="20% - Accent2 10 2 8" xfId="17980"/>
    <cellStyle name="20% - Accent2 10 2_Exh G" xfId="2066"/>
    <cellStyle name="20% - Accent2 10 3" xfId="79"/>
    <cellStyle name="20% - Accent2 10 3 2" xfId="1107"/>
    <cellStyle name="20% - Accent2 10 3 2 2" xfId="4637"/>
    <cellStyle name="20% - Accent2 10 3 2 2 2" xfId="8228"/>
    <cellStyle name="20% - Accent2 10 3 2 2 2 2" xfId="16199"/>
    <cellStyle name="20% - Accent2 10 3 2 2 2 3" xfId="24145"/>
    <cellStyle name="20% - Accent2 10 3 2 2 3" xfId="12661"/>
    <cellStyle name="20% - Accent2 10 3 2 2 4" xfId="20616"/>
    <cellStyle name="20% - Accent2 10 3 2 3" xfId="6469"/>
    <cellStyle name="20% - Accent2 10 3 2 3 2" xfId="14441"/>
    <cellStyle name="20% - Accent2 10 3 2 3 3" xfId="22388"/>
    <cellStyle name="20% - Accent2 10 3 2 4" xfId="10905"/>
    <cellStyle name="20% - Accent2 10 3 2 5" xfId="18860"/>
    <cellStyle name="20% - Accent2 10 3 2_Exh G" xfId="2071"/>
    <cellStyle name="20% - Accent2 10 3 3" xfId="3758"/>
    <cellStyle name="20% - Accent2 10 3 3 2" xfId="7350"/>
    <cellStyle name="20% - Accent2 10 3 3 2 2" xfId="15321"/>
    <cellStyle name="20% - Accent2 10 3 3 2 3" xfId="23267"/>
    <cellStyle name="20% - Accent2 10 3 3 3" xfId="11783"/>
    <cellStyle name="20% - Accent2 10 3 3 4" xfId="19738"/>
    <cellStyle name="20% - Accent2 10 3 4" xfId="5578"/>
    <cellStyle name="20% - Accent2 10 3 4 2" xfId="13562"/>
    <cellStyle name="20% - Accent2 10 3 4 3" xfId="21510"/>
    <cellStyle name="20% - Accent2 10 3 5" xfId="9131"/>
    <cellStyle name="20% - Accent2 10 3 5 2" xfId="17089"/>
    <cellStyle name="20% - Accent2 10 3 5 3" xfId="25033"/>
    <cellStyle name="20% - Accent2 10 3 6" xfId="10027"/>
    <cellStyle name="20% - Accent2 10 3 7" xfId="17982"/>
    <cellStyle name="20% - Accent2 10 3_Exh G" xfId="2070"/>
    <cellStyle name="20% - Accent2 10 4" xfId="874"/>
    <cellStyle name="20% - Accent2 10 5" xfId="1104"/>
    <cellStyle name="20% - Accent2 10 5 2" xfId="4634"/>
    <cellStyle name="20% - Accent2 10 5 2 2" xfId="8225"/>
    <cellStyle name="20% - Accent2 10 5 2 2 2" xfId="16196"/>
    <cellStyle name="20% - Accent2 10 5 2 2 3" xfId="24142"/>
    <cellStyle name="20% - Accent2 10 5 2 3" xfId="12658"/>
    <cellStyle name="20% - Accent2 10 5 2 4" xfId="20613"/>
    <cellStyle name="20% - Accent2 10 5 3" xfId="6466"/>
    <cellStyle name="20% - Accent2 10 5 3 2" xfId="14438"/>
    <cellStyle name="20% - Accent2 10 5 3 3" xfId="22385"/>
    <cellStyle name="20% - Accent2 10 5 4" xfId="10902"/>
    <cellStyle name="20% - Accent2 10 5 5" xfId="18857"/>
    <cellStyle name="20% - Accent2 10 5_Exh G" xfId="2072"/>
    <cellStyle name="20% - Accent2 10 6" xfId="3755"/>
    <cellStyle name="20% - Accent2 10 6 2" xfId="7347"/>
    <cellStyle name="20% - Accent2 10 6 2 2" xfId="15318"/>
    <cellStyle name="20% - Accent2 10 6 2 3" xfId="23264"/>
    <cellStyle name="20% - Accent2 10 6 3" xfId="11780"/>
    <cellStyle name="20% - Accent2 10 6 4" xfId="19735"/>
    <cellStyle name="20% - Accent2 10 7" xfId="5575"/>
    <cellStyle name="20% - Accent2 10 7 2" xfId="13559"/>
    <cellStyle name="20% - Accent2 10 7 3" xfId="21507"/>
    <cellStyle name="20% - Accent2 10 8" xfId="9128"/>
    <cellStyle name="20% - Accent2 10 8 2" xfId="17086"/>
    <cellStyle name="20% - Accent2 10 8 3" xfId="25030"/>
    <cellStyle name="20% - Accent2 10 9" xfId="10024"/>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 2 2" xfId="8231"/>
    <cellStyle name="20% - Accent2 11 2 2 2 2 2 2" xfId="16202"/>
    <cellStyle name="20% - Accent2 11 2 2 2 2 2 3" xfId="24148"/>
    <cellStyle name="20% - Accent2 11 2 2 2 2 3" xfId="12664"/>
    <cellStyle name="20% - Accent2 11 2 2 2 2 4" xfId="20619"/>
    <cellStyle name="20% - Accent2 11 2 2 2 3" xfId="6472"/>
    <cellStyle name="20% - Accent2 11 2 2 2 3 2" xfId="14444"/>
    <cellStyle name="20% - Accent2 11 2 2 2 3 3" xfId="22391"/>
    <cellStyle name="20% - Accent2 11 2 2 2 4" xfId="10908"/>
    <cellStyle name="20% - Accent2 11 2 2 2 5" xfId="18863"/>
    <cellStyle name="20% - Accent2 11 2 2 2_Exh G" xfId="2076"/>
    <cellStyle name="20% - Accent2 11 2 2 3" xfId="3761"/>
    <cellStyle name="20% - Accent2 11 2 2 3 2" xfId="7353"/>
    <cellStyle name="20% - Accent2 11 2 2 3 2 2" xfId="15324"/>
    <cellStyle name="20% - Accent2 11 2 2 3 2 3" xfId="23270"/>
    <cellStyle name="20% - Accent2 11 2 2 3 3" xfId="11786"/>
    <cellStyle name="20% - Accent2 11 2 2 3 4" xfId="19741"/>
    <cellStyle name="20% - Accent2 11 2 2 4" xfId="5581"/>
    <cellStyle name="20% - Accent2 11 2 2 4 2" xfId="13565"/>
    <cellStyle name="20% - Accent2 11 2 2 4 3" xfId="21513"/>
    <cellStyle name="20% - Accent2 11 2 2 5" xfId="9134"/>
    <cellStyle name="20% - Accent2 11 2 2 5 2" xfId="17092"/>
    <cellStyle name="20% - Accent2 11 2 2 5 3" xfId="25036"/>
    <cellStyle name="20% - Accent2 11 2 2 6" xfId="10030"/>
    <cellStyle name="20% - Accent2 11 2 2 7" xfId="17985"/>
    <cellStyle name="20% - Accent2 11 2 2_Exh G" xfId="2075"/>
    <cellStyle name="20% - Accent2 11 2 3" xfId="1109"/>
    <cellStyle name="20% - Accent2 11 2 3 2" xfId="4639"/>
    <cellStyle name="20% - Accent2 11 2 3 2 2" xfId="8230"/>
    <cellStyle name="20% - Accent2 11 2 3 2 2 2" xfId="16201"/>
    <cellStyle name="20% - Accent2 11 2 3 2 2 3" xfId="24147"/>
    <cellStyle name="20% - Accent2 11 2 3 2 3" xfId="12663"/>
    <cellStyle name="20% - Accent2 11 2 3 2 4" xfId="20618"/>
    <cellStyle name="20% - Accent2 11 2 3 3" xfId="6471"/>
    <cellStyle name="20% - Accent2 11 2 3 3 2" xfId="14443"/>
    <cellStyle name="20% - Accent2 11 2 3 3 3" xfId="22390"/>
    <cellStyle name="20% - Accent2 11 2 3 4" xfId="10907"/>
    <cellStyle name="20% - Accent2 11 2 3 5" xfId="18862"/>
    <cellStyle name="20% - Accent2 11 2 3_Exh G" xfId="2077"/>
    <cellStyle name="20% - Accent2 11 2 4" xfId="3760"/>
    <cellStyle name="20% - Accent2 11 2 4 2" xfId="7352"/>
    <cellStyle name="20% - Accent2 11 2 4 2 2" xfId="15323"/>
    <cellStyle name="20% - Accent2 11 2 4 2 3" xfId="23269"/>
    <cellStyle name="20% - Accent2 11 2 4 3" xfId="11785"/>
    <cellStyle name="20% - Accent2 11 2 4 4" xfId="19740"/>
    <cellStyle name="20% - Accent2 11 2 5" xfId="5580"/>
    <cellStyle name="20% - Accent2 11 2 5 2" xfId="13564"/>
    <cellStyle name="20% - Accent2 11 2 5 3" xfId="21512"/>
    <cellStyle name="20% - Accent2 11 2 6" xfId="9133"/>
    <cellStyle name="20% - Accent2 11 2 6 2" xfId="17091"/>
    <cellStyle name="20% - Accent2 11 2 6 3" xfId="25035"/>
    <cellStyle name="20% - Accent2 11 2 7" xfId="10029"/>
    <cellStyle name="20% - Accent2 11 2 8" xfId="17984"/>
    <cellStyle name="20% - Accent2 11 2_Exh G" xfId="2074"/>
    <cellStyle name="20% - Accent2 11 3" xfId="83"/>
    <cellStyle name="20% - Accent2 11 3 2" xfId="1111"/>
    <cellStyle name="20% - Accent2 11 3 2 2" xfId="4641"/>
    <cellStyle name="20% - Accent2 11 3 2 2 2" xfId="8232"/>
    <cellStyle name="20% - Accent2 11 3 2 2 2 2" xfId="16203"/>
    <cellStyle name="20% - Accent2 11 3 2 2 2 3" xfId="24149"/>
    <cellStyle name="20% - Accent2 11 3 2 2 3" xfId="12665"/>
    <cellStyle name="20% - Accent2 11 3 2 2 4" xfId="20620"/>
    <cellStyle name="20% - Accent2 11 3 2 3" xfId="6473"/>
    <cellStyle name="20% - Accent2 11 3 2 3 2" xfId="14445"/>
    <cellStyle name="20% - Accent2 11 3 2 3 3" xfId="22392"/>
    <cellStyle name="20% - Accent2 11 3 2 4" xfId="10909"/>
    <cellStyle name="20% - Accent2 11 3 2 5" xfId="18864"/>
    <cellStyle name="20% - Accent2 11 3 2_Exh G" xfId="2079"/>
    <cellStyle name="20% - Accent2 11 3 3" xfId="3762"/>
    <cellStyle name="20% - Accent2 11 3 3 2" xfId="7354"/>
    <cellStyle name="20% - Accent2 11 3 3 2 2" xfId="15325"/>
    <cellStyle name="20% - Accent2 11 3 3 2 3" xfId="23271"/>
    <cellStyle name="20% - Accent2 11 3 3 3" xfId="11787"/>
    <cellStyle name="20% - Accent2 11 3 3 4" xfId="19742"/>
    <cellStyle name="20% - Accent2 11 3 4" xfId="5582"/>
    <cellStyle name="20% - Accent2 11 3 4 2" xfId="13566"/>
    <cellStyle name="20% - Accent2 11 3 4 3" xfId="21514"/>
    <cellStyle name="20% - Accent2 11 3 5" xfId="9135"/>
    <cellStyle name="20% - Accent2 11 3 5 2" xfId="17093"/>
    <cellStyle name="20% - Accent2 11 3 5 3" xfId="25037"/>
    <cellStyle name="20% - Accent2 11 3 6" xfId="10031"/>
    <cellStyle name="20% - Accent2 11 3 7" xfId="17986"/>
    <cellStyle name="20% - Accent2 11 3_Exh G" xfId="2078"/>
    <cellStyle name="20% - Accent2 11 4" xfId="1108"/>
    <cellStyle name="20% - Accent2 11 4 2" xfId="4638"/>
    <cellStyle name="20% - Accent2 11 4 2 2" xfId="8229"/>
    <cellStyle name="20% - Accent2 11 4 2 2 2" xfId="16200"/>
    <cellStyle name="20% - Accent2 11 4 2 2 3" xfId="24146"/>
    <cellStyle name="20% - Accent2 11 4 2 3" xfId="12662"/>
    <cellStyle name="20% - Accent2 11 4 2 4" xfId="20617"/>
    <cellStyle name="20% - Accent2 11 4 3" xfId="6470"/>
    <cellStyle name="20% - Accent2 11 4 3 2" xfId="14442"/>
    <cellStyle name="20% - Accent2 11 4 3 3" xfId="22389"/>
    <cellStyle name="20% - Accent2 11 4 4" xfId="10906"/>
    <cellStyle name="20% - Accent2 11 4 5" xfId="18861"/>
    <cellStyle name="20% - Accent2 11 4_Exh G" xfId="2080"/>
    <cellStyle name="20% - Accent2 11 5" xfId="3759"/>
    <cellStyle name="20% - Accent2 11 5 2" xfId="7351"/>
    <cellStyle name="20% - Accent2 11 5 2 2" xfId="15322"/>
    <cellStyle name="20% - Accent2 11 5 2 3" xfId="23268"/>
    <cellStyle name="20% - Accent2 11 5 3" xfId="11784"/>
    <cellStyle name="20% - Accent2 11 5 4" xfId="19739"/>
    <cellStyle name="20% - Accent2 11 6" xfId="5579"/>
    <cellStyle name="20% - Accent2 11 6 2" xfId="13563"/>
    <cellStyle name="20% - Accent2 11 6 3" xfId="21511"/>
    <cellStyle name="20% - Accent2 11 7" xfId="9132"/>
    <cellStyle name="20% - Accent2 11 7 2" xfId="17090"/>
    <cellStyle name="20% - Accent2 11 7 3" xfId="25034"/>
    <cellStyle name="20% - Accent2 11 8" xfId="10028"/>
    <cellStyle name="20% - Accent2 11 9" xfId="17983"/>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 2 2" xfId="8235"/>
    <cellStyle name="20% - Accent2 12 2 2 2 2 2 2" xfId="16206"/>
    <cellStyle name="20% - Accent2 12 2 2 2 2 2 3" xfId="24152"/>
    <cellStyle name="20% - Accent2 12 2 2 2 2 3" xfId="12668"/>
    <cellStyle name="20% - Accent2 12 2 2 2 2 4" xfId="20623"/>
    <cellStyle name="20% - Accent2 12 2 2 2 3" xfId="6476"/>
    <cellStyle name="20% - Accent2 12 2 2 2 3 2" xfId="14448"/>
    <cellStyle name="20% - Accent2 12 2 2 2 3 3" xfId="22395"/>
    <cellStyle name="20% - Accent2 12 2 2 2 4" xfId="10912"/>
    <cellStyle name="20% - Accent2 12 2 2 2 5" xfId="18867"/>
    <cellStyle name="20% - Accent2 12 2 2 2_Exh G" xfId="2084"/>
    <cellStyle name="20% - Accent2 12 2 2 3" xfId="3765"/>
    <cellStyle name="20% - Accent2 12 2 2 3 2" xfId="7357"/>
    <cellStyle name="20% - Accent2 12 2 2 3 2 2" xfId="15328"/>
    <cellStyle name="20% - Accent2 12 2 2 3 2 3" xfId="23274"/>
    <cellStyle name="20% - Accent2 12 2 2 3 3" xfId="11790"/>
    <cellStyle name="20% - Accent2 12 2 2 3 4" xfId="19745"/>
    <cellStyle name="20% - Accent2 12 2 2 4" xfId="5585"/>
    <cellStyle name="20% - Accent2 12 2 2 4 2" xfId="13569"/>
    <cellStyle name="20% - Accent2 12 2 2 4 3" xfId="21517"/>
    <cellStyle name="20% - Accent2 12 2 2 5" xfId="9138"/>
    <cellStyle name="20% - Accent2 12 2 2 5 2" xfId="17096"/>
    <cellStyle name="20% - Accent2 12 2 2 5 3" xfId="25040"/>
    <cellStyle name="20% - Accent2 12 2 2 6" xfId="10034"/>
    <cellStyle name="20% - Accent2 12 2 2 7" xfId="17989"/>
    <cellStyle name="20% - Accent2 12 2 2_Exh G" xfId="2083"/>
    <cellStyle name="20% - Accent2 12 2 3" xfId="1113"/>
    <cellStyle name="20% - Accent2 12 2 3 2" xfId="4643"/>
    <cellStyle name="20% - Accent2 12 2 3 2 2" xfId="8234"/>
    <cellStyle name="20% - Accent2 12 2 3 2 2 2" xfId="16205"/>
    <cellStyle name="20% - Accent2 12 2 3 2 2 3" xfId="24151"/>
    <cellStyle name="20% - Accent2 12 2 3 2 3" xfId="12667"/>
    <cellStyle name="20% - Accent2 12 2 3 2 4" xfId="20622"/>
    <cellStyle name="20% - Accent2 12 2 3 3" xfId="6475"/>
    <cellStyle name="20% - Accent2 12 2 3 3 2" xfId="14447"/>
    <cellStyle name="20% - Accent2 12 2 3 3 3" xfId="22394"/>
    <cellStyle name="20% - Accent2 12 2 3 4" xfId="10911"/>
    <cellStyle name="20% - Accent2 12 2 3 5" xfId="18866"/>
    <cellStyle name="20% - Accent2 12 2 3_Exh G" xfId="2085"/>
    <cellStyle name="20% - Accent2 12 2 4" xfId="3764"/>
    <cellStyle name="20% - Accent2 12 2 4 2" xfId="7356"/>
    <cellStyle name="20% - Accent2 12 2 4 2 2" xfId="15327"/>
    <cellStyle name="20% - Accent2 12 2 4 2 3" xfId="23273"/>
    <cellStyle name="20% - Accent2 12 2 4 3" xfId="11789"/>
    <cellStyle name="20% - Accent2 12 2 4 4" xfId="19744"/>
    <cellStyle name="20% - Accent2 12 2 5" xfId="5584"/>
    <cellStyle name="20% - Accent2 12 2 5 2" xfId="13568"/>
    <cellStyle name="20% - Accent2 12 2 5 3" xfId="21516"/>
    <cellStyle name="20% - Accent2 12 2 6" xfId="9137"/>
    <cellStyle name="20% - Accent2 12 2 6 2" xfId="17095"/>
    <cellStyle name="20% - Accent2 12 2 6 3" xfId="25039"/>
    <cellStyle name="20% - Accent2 12 2 7" xfId="10033"/>
    <cellStyle name="20% - Accent2 12 2 8" xfId="17988"/>
    <cellStyle name="20% - Accent2 12 2_Exh G" xfId="2082"/>
    <cellStyle name="20% - Accent2 12 3" xfId="87"/>
    <cellStyle name="20% - Accent2 12 3 2" xfId="1115"/>
    <cellStyle name="20% - Accent2 12 3 2 2" xfId="4645"/>
    <cellStyle name="20% - Accent2 12 3 2 2 2" xfId="8236"/>
    <cellStyle name="20% - Accent2 12 3 2 2 2 2" xfId="16207"/>
    <cellStyle name="20% - Accent2 12 3 2 2 2 3" xfId="24153"/>
    <cellStyle name="20% - Accent2 12 3 2 2 3" xfId="12669"/>
    <cellStyle name="20% - Accent2 12 3 2 2 4" xfId="20624"/>
    <cellStyle name="20% - Accent2 12 3 2 3" xfId="6477"/>
    <cellStyle name="20% - Accent2 12 3 2 3 2" xfId="14449"/>
    <cellStyle name="20% - Accent2 12 3 2 3 3" xfId="22396"/>
    <cellStyle name="20% - Accent2 12 3 2 4" xfId="10913"/>
    <cellStyle name="20% - Accent2 12 3 2 5" xfId="18868"/>
    <cellStyle name="20% - Accent2 12 3 2_Exh G" xfId="2087"/>
    <cellStyle name="20% - Accent2 12 3 3" xfId="3766"/>
    <cellStyle name="20% - Accent2 12 3 3 2" xfId="7358"/>
    <cellStyle name="20% - Accent2 12 3 3 2 2" xfId="15329"/>
    <cellStyle name="20% - Accent2 12 3 3 2 3" xfId="23275"/>
    <cellStyle name="20% - Accent2 12 3 3 3" xfId="11791"/>
    <cellStyle name="20% - Accent2 12 3 3 4" xfId="19746"/>
    <cellStyle name="20% - Accent2 12 3 4" xfId="5586"/>
    <cellStyle name="20% - Accent2 12 3 4 2" xfId="13570"/>
    <cellStyle name="20% - Accent2 12 3 4 3" xfId="21518"/>
    <cellStyle name="20% - Accent2 12 3 5" xfId="9139"/>
    <cellStyle name="20% - Accent2 12 3 5 2" xfId="17097"/>
    <cellStyle name="20% - Accent2 12 3 5 3" xfId="25041"/>
    <cellStyle name="20% - Accent2 12 3 6" xfId="10035"/>
    <cellStyle name="20% - Accent2 12 3 7" xfId="17990"/>
    <cellStyle name="20% - Accent2 12 3_Exh G" xfId="2086"/>
    <cellStyle name="20% - Accent2 12 4" xfId="1112"/>
    <cellStyle name="20% - Accent2 12 4 2" xfId="4642"/>
    <cellStyle name="20% - Accent2 12 4 2 2" xfId="8233"/>
    <cellStyle name="20% - Accent2 12 4 2 2 2" xfId="16204"/>
    <cellStyle name="20% - Accent2 12 4 2 2 3" xfId="24150"/>
    <cellStyle name="20% - Accent2 12 4 2 3" xfId="12666"/>
    <cellStyle name="20% - Accent2 12 4 2 4" xfId="20621"/>
    <cellStyle name="20% - Accent2 12 4 3" xfId="6474"/>
    <cellStyle name="20% - Accent2 12 4 3 2" xfId="14446"/>
    <cellStyle name="20% - Accent2 12 4 3 3" xfId="22393"/>
    <cellStyle name="20% - Accent2 12 4 4" xfId="10910"/>
    <cellStyle name="20% - Accent2 12 4 5" xfId="18865"/>
    <cellStyle name="20% - Accent2 12 4_Exh G" xfId="2088"/>
    <cellStyle name="20% - Accent2 12 5" xfId="3763"/>
    <cellStyle name="20% - Accent2 12 5 2" xfId="7355"/>
    <cellStyle name="20% - Accent2 12 5 2 2" xfId="15326"/>
    <cellStyle name="20% - Accent2 12 5 2 3" xfId="23272"/>
    <cellStyle name="20% - Accent2 12 5 3" xfId="11788"/>
    <cellStyle name="20% - Accent2 12 5 4" xfId="19743"/>
    <cellStyle name="20% - Accent2 12 6" xfId="5583"/>
    <cellStyle name="20% - Accent2 12 6 2" xfId="13567"/>
    <cellStyle name="20% - Accent2 12 6 3" xfId="21515"/>
    <cellStyle name="20% - Accent2 12 7" xfId="9136"/>
    <cellStyle name="20% - Accent2 12 7 2" xfId="17094"/>
    <cellStyle name="20% - Accent2 12 7 3" xfId="25038"/>
    <cellStyle name="20% - Accent2 12 8" xfId="10032"/>
    <cellStyle name="20% - Accent2 12 9" xfId="17987"/>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 2 2" xfId="8239"/>
    <cellStyle name="20% - Accent2 13 2 2 2 2 2 2" xfId="16210"/>
    <cellStyle name="20% - Accent2 13 2 2 2 2 2 3" xfId="24156"/>
    <cellStyle name="20% - Accent2 13 2 2 2 2 3" xfId="12672"/>
    <cellStyle name="20% - Accent2 13 2 2 2 2 4" xfId="20627"/>
    <cellStyle name="20% - Accent2 13 2 2 2 3" xfId="6480"/>
    <cellStyle name="20% - Accent2 13 2 2 2 3 2" xfId="14452"/>
    <cellStyle name="20% - Accent2 13 2 2 2 3 3" xfId="22399"/>
    <cellStyle name="20% - Accent2 13 2 2 2 4" xfId="10916"/>
    <cellStyle name="20% - Accent2 13 2 2 2 5" xfId="18871"/>
    <cellStyle name="20% - Accent2 13 2 2 2_Exh G" xfId="2092"/>
    <cellStyle name="20% - Accent2 13 2 2 3" xfId="3769"/>
    <cellStyle name="20% - Accent2 13 2 2 3 2" xfId="7361"/>
    <cellStyle name="20% - Accent2 13 2 2 3 2 2" xfId="15332"/>
    <cellStyle name="20% - Accent2 13 2 2 3 2 3" xfId="23278"/>
    <cellStyle name="20% - Accent2 13 2 2 3 3" xfId="11794"/>
    <cellStyle name="20% - Accent2 13 2 2 3 4" xfId="19749"/>
    <cellStyle name="20% - Accent2 13 2 2 4" xfId="5589"/>
    <cellStyle name="20% - Accent2 13 2 2 4 2" xfId="13573"/>
    <cellStyle name="20% - Accent2 13 2 2 4 3" xfId="21521"/>
    <cellStyle name="20% - Accent2 13 2 2 5" xfId="9142"/>
    <cellStyle name="20% - Accent2 13 2 2 5 2" xfId="17100"/>
    <cellStyle name="20% - Accent2 13 2 2 5 3" xfId="25044"/>
    <cellStyle name="20% - Accent2 13 2 2 6" xfId="10038"/>
    <cellStyle name="20% - Accent2 13 2 2 7" xfId="17993"/>
    <cellStyle name="20% - Accent2 13 2 2_Exh G" xfId="2091"/>
    <cellStyle name="20% - Accent2 13 2 3" xfId="1117"/>
    <cellStyle name="20% - Accent2 13 2 3 2" xfId="4647"/>
    <cellStyle name="20% - Accent2 13 2 3 2 2" xfId="8238"/>
    <cellStyle name="20% - Accent2 13 2 3 2 2 2" xfId="16209"/>
    <cellStyle name="20% - Accent2 13 2 3 2 2 3" xfId="24155"/>
    <cellStyle name="20% - Accent2 13 2 3 2 3" xfId="12671"/>
    <cellStyle name="20% - Accent2 13 2 3 2 4" xfId="20626"/>
    <cellStyle name="20% - Accent2 13 2 3 3" xfId="6479"/>
    <cellStyle name="20% - Accent2 13 2 3 3 2" xfId="14451"/>
    <cellStyle name="20% - Accent2 13 2 3 3 3" xfId="22398"/>
    <cellStyle name="20% - Accent2 13 2 3 4" xfId="10915"/>
    <cellStyle name="20% - Accent2 13 2 3 5" xfId="18870"/>
    <cellStyle name="20% - Accent2 13 2 3_Exh G" xfId="2093"/>
    <cellStyle name="20% - Accent2 13 2 4" xfId="3768"/>
    <cellStyle name="20% - Accent2 13 2 4 2" xfId="7360"/>
    <cellStyle name="20% - Accent2 13 2 4 2 2" xfId="15331"/>
    <cellStyle name="20% - Accent2 13 2 4 2 3" xfId="23277"/>
    <cellStyle name="20% - Accent2 13 2 4 3" xfId="11793"/>
    <cellStyle name="20% - Accent2 13 2 4 4" xfId="19748"/>
    <cellStyle name="20% - Accent2 13 2 5" xfId="5588"/>
    <cellStyle name="20% - Accent2 13 2 5 2" xfId="13572"/>
    <cellStyle name="20% - Accent2 13 2 5 3" xfId="21520"/>
    <cellStyle name="20% - Accent2 13 2 6" xfId="9141"/>
    <cellStyle name="20% - Accent2 13 2 6 2" xfId="17099"/>
    <cellStyle name="20% - Accent2 13 2 6 3" xfId="25043"/>
    <cellStyle name="20% - Accent2 13 2 7" xfId="10037"/>
    <cellStyle name="20% - Accent2 13 2 8" xfId="17992"/>
    <cellStyle name="20% - Accent2 13 2_Exh G" xfId="2090"/>
    <cellStyle name="20% - Accent2 13 3" xfId="91"/>
    <cellStyle name="20% - Accent2 13 3 2" xfId="1119"/>
    <cellStyle name="20% - Accent2 13 3 2 2" xfId="4649"/>
    <cellStyle name="20% - Accent2 13 3 2 2 2" xfId="8240"/>
    <cellStyle name="20% - Accent2 13 3 2 2 2 2" xfId="16211"/>
    <cellStyle name="20% - Accent2 13 3 2 2 2 3" xfId="24157"/>
    <cellStyle name="20% - Accent2 13 3 2 2 3" xfId="12673"/>
    <cellStyle name="20% - Accent2 13 3 2 2 4" xfId="20628"/>
    <cellStyle name="20% - Accent2 13 3 2 3" xfId="6481"/>
    <cellStyle name="20% - Accent2 13 3 2 3 2" xfId="14453"/>
    <cellStyle name="20% - Accent2 13 3 2 3 3" xfId="22400"/>
    <cellStyle name="20% - Accent2 13 3 2 4" xfId="10917"/>
    <cellStyle name="20% - Accent2 13 3 2 5" xfId="18872"/>
    <cellStyle name="20% - Accent2 13 3 2_Exh G" xfId="2095"/>
    <cellStyle name="20% - Accent2 13 3 3" xfId="3770"/>
    <cellStyle name="20% - Accent2 13 3 3 2" xfId="7362"/>
    <cellStyle name="20% - Accent2 13 3 3 2 2" xfId="15333"/>
    <cellStyle name="20% - Accent2 13 3 3 2 3" xfId="23279"/>
    <cellStyle name="20% - Accent2 13 3 3 3" xfId="11795"/>
    <cellStyle name="20% - Accent2 13 3 3 4" xfId="19750"/>
    <cellStyle name="20% - Accent2 13 3 4" xfId="5590"/>
    <cellStyle name="20% - Accent2 13 3 4 2" xfId="13574"/>
    <cellStyle name="20% - Accent2 13 3 4 3" xfId="21522"/>
    <cellStyle name="20% - Accent2 13 3 5" xfId="9143"/>
    <cellStyle name="20% - Accent2 13 3 5 2" xfId="17101"/>
    <cellStyle name="20% - Accent2 13 3 5 3" xfId="25045"/>
    <cellStyle name="20% - Accent2 13 3 6" xfId="10039"/>
    <cellStyle name="20% - Accent2 13 3 7" xfId="17994"/>
    <cellStyle name="20% - Accent2 13 3_Exh G" xfId="2094"/>
    <cellStyle name="20% - Accent2 13 4" xfId="1116"/>
    <cellStyle name="20% - Accent2 13 4 2" xfId="4646"/>
    <cellStyle name="20% - Accent2 13 4 2 2" xfId="8237"/>
    <cellStyle name="20% - Accent2 13 4 2 2 2" xfId="16208"/>
    <cellStyle name="20% - Accent2 13 4 2 2 3" xfId="24154"/>
    <cellStyle name="20% - Accent2 13 4 2 3" xfId="12670"/>
    <cellStyle name="20% - Accent2 13 4 2 4" xfId="20625"/>
    <cellStyle name="20% - Accent2 13 4 3" xfId="6478"/>
    <cellStyle name="20% - Accent2 13 4 3 2" xfId="14450"/>
    <cellStyle name="20% - Accent2 13 4 3 3" xfId="22397"/>
    <cellStyle name="20% - Accent2 13 4 4" xfId="10914"/>
    <cellStyle name="20% - Accent2 13 4 5" xfId="18869"/>
    <cellStyle name="20% - Accent2 13 4_Exh G" xfId="2096"/>
    <cellStyle name="20% - Accent2 13 5" xfId="3767"/>
    <cellStyle name="20% - Accent2 13 5 2" xfId="7359"/>
    <cellStyle name="20% - Accent2 13 5 2 2" xfId="15330"/>
    <cellStyle name="20% - Accent2 13 5 2 3" xfId="23276"/>
    <cellStyle name="20% - Accent2 13 5 3" xfId="11792"/>
    <cellStyle name="20% - Accent2 13 5 4" xfId="19747"/>
    <cellStyle name="20% - Accent2 13 6" xfId="5587"/>
    <cellStyle name="20% - Accent2 13 6 2" xfId="13571"/>
    <cellStyle name="20% - Accent2 13 6 3" xfId="21519"/>
    <cellStyle name="20% - Accent2 13 7" xfId="9140"/>
    <cellStyle name="20% - Accent2 13 7 2" xfId="17098"/>
    <cellStyle name="20% - Accent2 13 7 3" xfId="25042"/>
    <cellStyle name="20% - Accent2 13 8" xfId="10036"/>
    <cellStyle name="20% - Accent2 13 9" xfId="17991"/>
    <cellStyle name="20% - Accent2 13_Exh G" xfId="2089"/>
    <cellStyle name="20% - Accent2 14" xfId="92"/>
    <cellStyle name="20% - Accent2 14 2" xfId="93"/>
    <cellStyle name="20% - Accent2 14 2 2" xfId="1121"/>
    <cellStyle name="20% - Accent2 14 2 2 2" xfId="4651"/>
    <cellStyle name="20% - Accent2 14 2 2 2 2" xfId="8242"/>
    <cellStyle name="20% - Accent2 14 2 2 2 2 2" xfId="16213"/>
    <cellStyle name="20% - Accent2 14 2 2 2 2 3" xfId="24159"/>
    <cellStyle name="20% - Accent2 14 2 2 2 3" xfId="12675"/>
    <cellStyle name="20% - Accent2 14 2 2 2 4" xfId="20630"/>
    <cellStyle name="20% - Accent2 14 2 2 3" xfId="6483"/>
    <cellStyle name="20% - Accent2 14 2 2 3 2" xfId="14455"/>
    <cellStyle name="20% - Accent2 14 2 2 3 3" xfId="22402"/>
    <cellStyle name="20% - Accent2 14 2 2 4" xfId="10919"/>
    <cellStyle name="20% - Accent2 14 2 2 5" xfId="18874"/>
    <cellStyle name="20% - Accent2 14 2 2_Exh G" xfId="2099"/>
    <cellStyle name="20% - Accent2 14 2 3" xfId="3772"/>
    <cellStyle name="20% - Accent2 14 2 3 2" xfId="7364"/>
    <cellStyle name="20% - Accent2 14 2 3 2 2" xfId="15335"/>
    <cellStyle name="20% - Accent2 14 2 3 2 3" xfId="23281"/>
    <cellStyle name="20% - Accent2 14 2 3 3" xfId="11797"/>
    <cellStyle name="20% - Accent2 14 2 3 4" xfId="19752"/>
    <cellStyle name="20% - Accent2 14 2 4" xfId="5592"/>
    <cellStyle name="20% - Accent2 14 2 4 2" xfId="13576"/>
    <cellStyle name="20% - Accent2 14 2 4 3" xfId="21524"/>
    <cellStyle name="20% - Accent2 14 2 5" xfId="9145"/>
    <cellStyle name="20% - Accent2 14 2 5 2" xfId="17103"/>
    <cellStyle name="20% - Accent2 14 2 5 3" xfId="25047"/>
    <cellStyle name="20% - Accent2 14 2 6" xfId="10041"/>
    <cellStyle name="20% - Accent2 14 2 7" xfId="17996"/>
    <cellStyle name="20% - Accent2 14 2_Exh G" xfId="2098"/>
    <cellStyle name="20% - Accent2 14 3" xfId="1120"/>
    <cellStyle name="20% - Accent2 14 3 2" xfId="4650"/>
    <cellStyle name="20% - Accent2 14 3 2 2" xfId="8241"/>
    <cellStyle name="20% - Accent2 14 3 2 2 2" xfId="16212"/>
    <cellStyle name="20% - Accent2 14 3 2 2 3" xfId="24158"/>
    <cellStyle name="20% - Accent2 14 3 2 3" xfId="12674"/>
    <cellStyle name="20% - Accent2 14 3 2 4" xfId="20629"/>
    <cellStyle name="20% - Accent2 14 3 3" xfId="6482"/>
    <cellStyle name="20% - Accent2 14 3 3 2" xfId="14454"/>
    <cellStyle name="20% - Accent2 14 3 3 3" xfId="22401"/>
    <cellStyle name="20% - Accent2 14 3 4" xfId="10918"/>
    <cellStyle name="20% - Accent2 14 3 5" xfId="18873"/>
    <cellStyle name="20% - Accent2 14 3_Exh G" xfId="2100"/>
    <cellStyle name="20% - Accent2 14 4" xfId="3771"/>
    <cellStyle name="20% - Accent2 14 4 2" xfId="7363"/>
    <cellStyle name="20% - Accent2 14 4 2 2" xfId="15334"/>
    <cellStyle name="20% - Accent2 14 4 2 3" xfId="23280"/>
    <cellStyle name="20% - Accent2 14 4 3" xfId="11796"/>
    <cellStyle name="20% - Accent2 14 4 4" xfId="19751"/>
    <cellStyle name="20% - Accent2 14 5" xfId="5591"/>
    <cellStyle name="20% - Accent2 14 5 2" xfId="13575"/>
    <cellStyle name="20% - Accent2 14 5 3" xfId="21523"/>
    <cellStyle name="20% - Accent2 14 6" xfId="9144"/>
    <cellStyle name="20% - Accent2 14 6 2" xfId="17102"/>
    <cellStyle name="20% - Accent2 14 6 3" xfId="25046"/>
    <cellStyle name="20% - Accent2 14 7" xfId="10040"/>
    <cellStyle name="20% - Accent2 14 8" xfId="17995"/>
    <cellStyle name="20% - Accent2 14_Exh G" xfId="2097"/>
    <cellStyle name="20% - Accent2 15" xfId="94"/>
    <cellStyle name="20% - Accent2 15 2" xfId="1122"/>
    <cellStyle name="20% - Accent2 15 2 2" xfId="4652"/>
    <cellStyle name="20% - Accent2 15 2 2 2" xfId="8243"/>
    <cellStyle name="20% - Accent2 15 2 2 2 2" xfId="16214"/>
    <cellStyle name="20% - Accent2 15 2 2 2 3" xfId="24160"/>
    <cellStyle name="20% - Accent2 15 2 2 3" xfId="12676"/>
    <cellStyle name="20% - Accent2 15 2 2 4" xfId="20631"/>
    <cellStyle name="20% - Accent2 15 2 3" xfId="6484"/>
    <cellStyle name="20% - Accent2 15 2 3 2" xfId="14456"/>
    <cellStyle name="20% - Accent2 15 2 3 3" xfId="22403"/>
    <cellStyle name="20% - Accent2 15 2 4" xfId="10920"/>
    <cellStyle name="20% - Accent2 15 2 5" xfId="18875"/>
    <cellStyle name="20% - Accent2 15 2_Exh G" xfId="2102"/>
    <cellStyle name="20% - Accent2 15 3" xfId="3773"/>
    <cellStyle name="20% - Accent2 15 3 2" xfId="7365"/>
    <cellStyle name="20% - Accent2 15 3 2 2" xfId="15336"/>
    <cellStyle name="20% - Accent2 15 3 2 3" xfId="23282"/>
    <cellStyle name="20% - Accent2 15 3 3" xfId="11798"/>
    <cellStyle name="20% - Accent2 15 3 4" xfId="19753"/>
    <cellStyle name="20% - Accent2 15 4" xfId="5593"/>
    <cellStyle name="20% - Accent2 15 4 2" xfId="13577"/>
    <cellStyle name="20% - Accent2 15 4 3" xfId="21525"/>
    <cellStyle name="20% - Accent2 15 5" xfId="9146"/>
    <cellStyle name="20% - Accent2 15 5 2" xfId="17104"/>
    <cellStyle name="20% - Accent2 15 5 3" xfId="25048"/>
    <cellStyle name="20% - Accent2 15 6" xfId="10042"/>
    <cellStyle name="20% - Accent2 15 7" xfId="17997"/>
    <cellStyle name="20% - Accent2 15_Exh G" xfId="2101"/>
    <cellStyle name="20% - Accent2 16" xfId="844"/>
    <cellStyle name="20% - Accent2 16 2" xfId="1783"/>
    <cellStyle name="20% - Accent2 16 2 2" xfId="5304"/>
    <cellStyle name="20% - Accent2 16 2 2 2" xfId="8895"/>
    <cellStyle name="20% - Accent2 16 2 2 2 2" xfId="16866"/>
    <cellStyle name="20% - Accent2 16 2 2 2 3" xfId="24812"/>
    <cellStyle name="20% - Accent2 16 2 2 3" xfId="13328"/>
    <cellStyle name="20% - Accent2 16 2 2 4" xfId="21283"/>
    <cellStyle name="20% - Accent2 16 2 3" xfId="7136"/>
    <cellStyle name="20% - Accent2 16 2 3 2" xfId="15108"/>
    <cellStyle name="20% - Accent2 16 2 3 3" xfId="23055"/>
    <cellStyle name="20% - Accent2 16 2 4" xfId="11572"/>
    <cellStyle name="20% - Accent2 16 2 5" xfId="19527"/>
    <cellStyle name="20% - Accent2 16 2_Exh G" xfId="2104"/>
    <cellStyle name="20% - Accent2 16 3" xfId="4425"/>
    <cellStyle name="20% - Accent2 16 3 2" xfId="8017"/>
    <cellStyle name="20% - Accent2 16 3 2 2" xfId="15988"/>
    <cellStyle name="20% - Accent2 16 3 2 3" xfId="23934"/>
    <cellStyle name="20% - Accent2 16 3 3" xfId="12450"/>
    <cellStyle name="20% - Accent2 16 3 4" xfId="20405"/>
    <cellStyle name="20% - Accent2 16 4" xfId="6255"/>
    <cellStyle name="20% - Accent2 16 4 2" xfId="14230"/>
    <cellStyle name="20% - Accent2 16 4 3" xfId="22177"/>
    <cellStyle name="20% - Accent2 16 5" xfId="9798"/>
    <cellStyle name="20% - Accent2 16 5 2" xfId="17756"/>
    <cellStyle name="20% - Accent2 16 5 3" xfId="25700"/>
    <cellStyle name="20% - Accent2 16 6" xfId="10694"/>
    <cellStyle name="20% - Accent2 16 7" xfId="18649"/>
    <cellStyle name="20% - Accent2 16_Exh G" xfId="2103"/>
    <cellStyle name="20% - Accent2 2" xfId="95"/>
    <cellStyle name="20% - Accent2 2 10" xfId="17998"/>
    <cellStyle name="20% - Accent2 2 2" xfId="96"/>
    <cellStyle name="20% - Accent2 2 2 2" xfId="97"/>
    <cellStyle name="20% - Accent2 2 2 2 2" xfId="1125"/>
    <cellStyle name="20% - Accent2 2 2 2 2 2" xfId="4655"/>
    <cellStyle name="20% - Accent2 2 2 2 2 2 2" xfId="8246"/>
    <cellStyle name="20% - Accent2 2 2 2 2 2 2 2" xfId="16217"/>
    <cellStyle name="20% - Accent2 2 2 2 2 2 2 3" xfId="24163"/>
    <cellStyle name="20% - Accent2 2 2 2 2 2 3" xfId="12679"/>
    <cellStyle name="20% - Accent2 2 2 2 2 2 4" xfId="20634"/>
    <cellStyle name="20% - Accent2 2 2 2 2 3" xfId="6487"/>
    <cellStyle name="20% - Accent2 2 2 2 2 3 2" xfId="14459"/>
    <cellStyle name="20% - Accent2 2 2 2 2 3 3" xfId="22406"/>
    <cellStyle name="20% - Accent2 2 2 2 2 4" xfId="10923"/>
    <cellStyle name="20% - Accent2 2 2 2 2 5" xfId="18878"/>
    <cellStyle name="20% - Accent2 2 2 2 2_Exh G" xfId="2108"/>
    <cellStyle name="20% - Accent2 2 2 2 3" xfId="3776"/>
    <cellStyle name="20% - Accent2 2 2 2 3 2" xfId="7368"/>
    <cellStyle name="20% - Accent2 2 2 2 3 2 2" xfId="15339"/>
    <cellStyle name="20% - Accent2 2 2 2 3 2 3" xfId="23285"/>
    <cellStyle name="20% - Accent2 2 2 2 3 3" xfId="11801"/>
    <cellStyle name="20% - Accent2 2 2 2 3 4" xfId="19756"/>
    <cellStyle name="20% - Accent2 2 2 2 4" xfId="5596"/>
    <cellStyle name="20% - Accent2 2 2 2 4 2" xfId="13580"/>
    <cellStyle name="20% - Accent2 2 2 2 4 3" xfId="21528"/>
    <cellStyle name="20% - Accent2 2 2 2 5" xfId="9149"/>
    <cellStyle name="20% - Accent2 2 2 2 5 2" xfId="17107"/>
    <cellStyle name="20% - Accent2 2 2 2 5 3" xfId="25051"/>
    <cellStyle name="20% - Accent2 2 2 2 6" xfId="10045"/>
    <cellStyle name="20% - Accent2 2 2 2 7" xfId="18000"/>
    <cellStyle name="20% - Accent2 2 2 2_Exh G" xfId="2107"/>
    <cellStyle name="20% - Accent2 2 2 3" xfId="876"/>
    <cellStyle name="20% - Accent2 2 2 3 2" xfId="1810"/>
    <cellStyle name="20% - Accent2 2 2 3 2 2" xfId="5328"/>
    <cellStyle name="20% - Accent2 2 2 3 2 2 2" xfId="8919"/>
    <cellStyle name="20% - Accent2 2 2 3 2 2 2 2" xfId="16890"/>
    <cellStyle name="20% - Accent2 2 2 3 2 2 2 3" xfId="24836"/>
    <cellStyle name="20% - Accent2 2 2 3 2 2 3" xfId="13352"/>
    <cellStyle name="20% - Accent2 2 2 3 2 2 4" xfId="21307"/>
    <cellStyle name="20% - Accent2 2 2 3 2 3" xfId="7160"/>
    <cellStyle name="20% - Accent2 2 2 3 2 3 2" xfId="15132"/>
    <cellStyle name="20% - Accent2 2 2 3 2 3 3" xfId="23079"/>
    <cellStyle name="20% - Accent2 2 2 3 2 4" xfId="11596"/>
    <cellStyle name="20% - Accent2 2 2 3 2 5" xfId="19551"/>
    <cellStyle name="20% - Accent2 2 2 3 2_Exh G" xfId="2110"/>
    <cellStyle name="20% - Accent2 2 2 3 3" xfId="4449"/>
    <cellStyle name="20% - Accent2 2 2 3 3 2" xfId="8041"/>
    <cellStyle name="20% - Accent2 2 2 3 3 2 2" xfId="16012"/>
    <cellStyle name="20% - Accent2 2 2 3 3 2 3" xfId="23958"/>
    <cellStyle name="20% - Accent2 2 2 3 3 3" xfId="12474"/>
    <cellStyle name="20% - Accent2 2 2 3 3 4" xfId="20429"/>
    <cellStyle name="20% - Accent2 2 2 3 4" xfId="6279"/>
    <cellStyle name="20% - Accent2 2 2 3 4 2" xfId="14254"/>
    <cellStyle name="20% - Accent2 2 2 3 4 3" xfId="22201"/>
    <cellStyle name="20% - Accent2 2 2 3 5" xfId="9822"/>
    <cellStyle name="20% - Accent2 2 2 3 5 2" xfId="17780"/>
    <cellStyle name="20% - Accent2 2 2 3 5 3" xfId="25724"/>
    <cellStyle name="20% - Accent2 2 2 3 6" xfId="10718"/>
    <cellStyle name="20% - Accent2 2 2 3 7" xfId="18673"/>
    <cellStyle name="20% - Accent2 2 2 3_Exh G" xfId="2109"/>
    <cellStyle name="20% - Accent2 2 2 4" xfId="1124"/>
    <cellStyle name="20% - Accent2 2 2 4 2" xfId="4654"/>
    <cellStyle name="20% - Accent2 2 2 4 2 2" xfId="8245"/>
    <cellStyle name="20% - Accent2 2 2 4 2 2 2" xfId="16216"/>
    <cellStyle name="20% - Accent2 2 2 4 2 2 3" xfId="24162"/>
    <cellStyle name="20% - Accent2 2 2 4 2 3" xfId="12678"/>
    <cellStyle name="20% - Accent2 2 2 4 2 4" xfId="20633"/>
    <cellStyle name="20% - Accent2 2 2 4 3" xfId="6486"/>
    <cellStyle name="20% - Accent2 2 2 4 3 2" xfId="14458"/>
    <cellStyle name="20% - Accent2 2 2 4 3 3" xfId="22405"/>
    <cellStyle name="20% - Accent2 2 2 4 4" xfId="10922"/>
    <cellStyle name="20% - Accent2 2 2 4 5" xfId="18877"/>
    <cellStyle name="20% - Accent2 2 2 4_Exh G" xfId="2111"/>
    <cellStyle name="20% - Accent2 2 2 5" xfId="3775"/>
    <cellStyle name="20% - Accent2 2 2 5 2" xfId="7367"/>
    <cellStyle name="20% - Accent2 2 2 5 2 2" xfId="15338"/>
    <cellStyle name="20% - Accent2 2 2 5 2 3" xfId="23284"/>
    <cellStyle name="20% - Accent2 2 2 5 3" xfId="11800"/>
    <cellStyle name="20% - Accent2 2 2 5 4" xfId="19755"/>
    <cellStyle name="20% - Accent2 2 2 6" xfId="5595"/>
    <cellStyle name="20% - Accent2 2 2 6 2" xfId="13579"/>
    <cellStyle name="20% - Accent2 2 2 6 3" xfId="21527"/>
    <cellStyle name="20% - Accent2 2 2 7" xfId="9148"/>
    <cellStyle name="20% - Accent2 2 2 7 2" xfId="17106"/>
    <cellStyle name="20% - Accent2 2 2 7 3" xfId="25050"/>
    <cellStyle name="20% - Accent2 2 2 8" xfId="10044"/>
    <cellStyle name="20% - Accent2 2 2 9" xfId="17999"/>
    <cellStyle name="20% - Accent2 2 2_Exh G" xfId="2106"/>
    <cellStyle name="20% - Accent2 2 3" xfId="98"/>
    <cellStyle name="20% - Accent2 2 3 2" xfId="1126"/>
    <cellStyle name="20% - Accent2 2 3 2 2" xfId="4656"/>
    <cellStyle name="20% - Accent2 2 3 2 2 2" xfId="8247"/>
    <cellStyle name="20% - Accent2 2 3 2 2 2 2" xfId="16218"/>
    <cellStyle name="20% - Accent2 2 3 2 2 2 3" xfId="24164"/>
    <cellStyle name="20% - Accent2 2 3 2 2 3" xfId="12680"/>
    <cellStyle name="20% - Accent2 2 3 2 2 4" xfId="20635"/>
    <cellStyle name="20% - Accent2 2 3 2 3" xfId="6488"/>
    <cellStyle name="20% - Accent2 2 3 2 3 2" xfId="14460"/>
    <cellStyle name="20% - Accent2 2 3 2 3 3" xfId="22407"/>
    <cellStyle name="20% - Accent2 2 3 2 4" xfId="10924"/>
    <cellStyle name="20% - Accent2 2 3 2 5" xfId="18879"/>
    <cellStyle name="20% - Accent2 2 3 2_Exh G" xfId="2113"/>
    <cellStyle name="20% - Accent2 2 3 3" xfId="3777"/>
    <cellStyle name="20% - Accent2 2 3 3 2" xfId="7369"/>
    <cellStyle name="20% - Accent2 2 3 3 2 2" xfId="15340"/>
    <cellStyle name="20% - Accent2 2 3 3 2 3" xfId="23286"/>
    <cellStyle name="20% - Accent2 2 3 3 3" xfId="11802"/>
    <cellStyle name="20% - Accent2 2 3 3 4" xfId="19757"/>
    <cellStyle name="20% - Accent2 2 3 4" xfId="5597"/>
    <cellStyle name="20% - Accent2 2 3 4 2" xfId="13581"/>
    <cellStyle name="20% - Accent2 2 3 4 3" xfId="21529"/>
    <cellStyle name="20% - Accent2 2 3 5" xfId="9150"/>
    <cellStyle name="20% - Accent2 2 3 5 2" xfId="17108"/>
    <cellStyle name="20% - Accent2 2 3 5 3" xfId="25052"/>
    <cellStyle name="20% - Accent2 2 3 6" xfId="10046"/>
    <cellStyle name="20% - Accent2 2 3 7" xfId="18001"/>
    <cellStyle name="20% - Accent2 2 3_Exh G" xfId="2112"/>
    <cellStyle name="20% - Accent2 2 4" xfId="875"/>
    <cellStyle name="20% - Accent2 2 4 2" xfId="1809"/>
    <cellStyle name="20% - Accent2 2 4 2 2" xfId="5327"/>
    <cellStyle name="20% - Accent2 2 4 2 2 2" xfId="8918"/>
    <cellStyle name="20% - Accent2 2 4 2 2 2 2" xfId="16889"/>
    <cellStyle name="20% - Accent2 2 4 2 2 2 3" xfId="24835"/>
    <cellStyle name="20% - Accent2 2 4 2 2 3" xfId="13351"/>
    <cellStyle name="20% - Accent2 2 4 2 2 4" xfId="21306"/>
    <cellStyle name="20% - Accent2 2 4 2 3" xfId="7159"/>
    <cellStyle name="20% - Accent2 2 4 2 3 2" xfId="15131"/>
    <cellStyle name="20% - Accent2 2 4 2 3 3" xfId="23078"/>
    <cellStyle name="20% - Accent2 2 4 2 4" xfId="11595"/>
    <cellStyle name="20% - Accent2 2 4 2 5" xfId="19550"/>
    <cellStyle name="20% - Accent2 2 4 2_Exh G" xfId="2115"/>
    <cellStyle name="20% - Accent2 2 4 3" xfId="4448"/>
    <cellStyle name="20% - Accent2 2 4 3 2" xfId="8040"/>
    <cellStyle name="20% - Accent2 2 4 3 2 2" xfId="16011"/>
    <cellStyle name="20% - Accent2 2 4 3 2 3" xfId="23957"/>
    <cellStyle name="20% - Accent2 2 4 3 3" xfId="12473"/>
    <cellStyle name="20% - Accent2 2 4 3 4" xfId="20428"/>
    <cellStyle name="20% - Accent2 2 4 4" xfId="6278"/>
    <cellStyle name="20% - Accent2 2 4 4 2" xfId="14253"/>
    <cellStyle name="20% - Accent2 2 4 4 3" xfId="22200"/>
    <cellStyle name="20% - Accent2 2 4 5" xfId="9821"/>
    <cellStyle name="20% - Accent2 2 4 5 2" xfId="17779"/>
    <cellStyle name="20% - Accent2 2 4 5 3" xfId="25723"/>
    <cellStyle name="20% - Accent2 2 4 6" xfId="10717"/>
    <cellStyle name="20% - Accent2 2 4 7" xfId="18672"/>
    <cellStyle name="20% - Accent2 2 4_Exh G" xfId="2114"/>
    <cellStyle name="20% - Accent2 2 5" xfId="1123"/>
    <cellStyle name="20% - Accent2 2 5 2" xfId="4653"/>
    <cellStyle name="20% - Accent2 2 5 2 2" xfId="8244"/>
    <cellStyle name="20% - Accent2 2 5 2 2 2" xfId="16215"/>
    <cellStyle name="20% - Accent2 2 5 2 2 3" xfId="24161"/>
    <cellStyle name="20% - Accent2 2 5 2 3" xfId="12677"/>
    <cellStyle name="20% - Accent2 2 5 2 4" xfId="20632"/>
    <cellStyle name="20% - Accent2 2 5 3" xfId="6485"/>
    <cellStyle name="20% - Accent2 2 5 3 2" xfId="14457"/>
    <cellStyle name="20% - Accent2 2 5 3 3" xfId="22404"/>
    <cellStyle name="20% - Accent2 2 5 4" xfId="10921"/>
    <cellStyle name="20% - Accent2 2 5 5" xfId="18876"/>
    <cellStyle name="20% - Accent2 2 5_Exh G" xfId="2116"/>
    <cellStyle name="20% - Accent2 2 6" xfId="3774"/>
    <cellStyle name="20% - Accent2 2 6 2" xfId="7366"/>
    <cellStyle name="20% - Accent2 2 6 2 2" xfId="15337"/>
    <cellStyle name="20% - Accent2 2 6 2 3" xfId="23283"/>
    <cellStyle name="20% - Accent2 2 6 3" xfId="11799"/>
    <cellStyle name="20% - Accent2 2 6 4" xfId="19754"/>
    <cellStyle name="20% - Accent2 2 7" xfId="5594"/>
    <cellStyle name="20% - Accent2 2 7 2" xfId="13578"/>
    <cellStyle name="20% - Accent2 2 7 3" xfId="21526"/>
    <cellStyle name="20% - Accent2 2 8" xfId="9147"/>
    <cellStyle name="20% - Accent2 2 8 2" xfId="17105"/>
    <cellStyle name="20% - Accent2 2 8 3" xfId="25049"/>
    <cellStyle name="20% - Accent2 2 9" xfId="10043"/>
    <cellStyle name="20% - Accent2 2_Exh G" xfId="2105"/>
    <cellStyle name="20% - Accent2 3" xfId="99"/>
    <cellStyle name="20% - Accent2 3 10" xfId="18002"/>
    <cellStyle name="20% - Accent2 3 2" xfId="100"/>
    <cellStyle name="20% - Accent2 3 2 2" xfId="101"/>
    <cellStyle name="20% - Accent2 3 2 2 2" xfId="1129"/>
    <cellStyle name="20% - Accent2 3 2 2 2 2" xfId="4659"/>
    <cellStyle name="20% - Accent2 3 2 2 2 2 2" xfId="8250"/>
    <cellStyle name="20% - Accent2 3 2 2 2 2 2 2" xfId="16221"/>
    <cellStyle name="20% - Accent2 3 2 2 2 2 2 3" xfId="24167"/>
    <cellStyle name="20% - Accent2 3 2 2 2 2 3" xfId="12683"/>
    <cellStyle name="20% - Accent2 3 2 2 2 2 4" xfId="20638"/>
    <cellStyle name="20% - Accent2 3 2 2 2 3" xfId="6491"/>
    <cellStyle name="20% - Accent2 3 2 2 2 3 2" xfId="14463"/>
    <cellStyle name="20% - Accent2 3 2 2 2 3 3" xfId="22410"/>
    <cellStyle name="20% - Accent2 3 2 2 2 4" xfId="10927"/>
    <cellStyle name="20% - Accent2 3 2 2 2 5" xfId="18882"/>
    <cellStyle name="20% - Accent2 3 2 2 2_Exh G" xfId="2120"/>
    <cellStyle name="20% - Accent2 3 2 2 3" xfId="3780"/>
    <cellStyle name="20% - Accent2 3 2 2 3 2" xfId="7372"/>
    <cellStyle name="20% - Accent2 3 2 2 3 2 2" xfId="15343"/>
    <cellStyle name="20% - Accent2 3 2 2 3 2 3" xfId="23289"/>
    <cellStyle name="20% - Accent2 3 2 2 3 3" xfId="11805"/>
    <cellStyle name="20% - Accent2 3 2 2 3 4" xfId="19760"/>
    <cellStyle name="20% - Accent2 3 2 2 4" xfId="5600"/>
    <cellStyle name="20% - Accent2 3 2 2 4 2" xfId="13584"/>
    <cellStyle name="20% - Accent2 3 2 2 4 3" xfId="21532"/>
    <cellStyle name="20% - Accent2 3 2 2 5" xfId="9153"/>
    <cellStyle name="20% - Accent2 3 2 2 5 2" xfId="17111"/>
    <cellStyle name="20% - Accent2 3 2 2 5 3" xfId="25055"/>
    <cellStyle name="20% - Accent2 3 2 2 6" xfId="10049"/>
    <cellStyle name="20% - Accent2 3 2 2 7" xfId="18004"/>
    <cellStyle name="20% - Accent2 3 2 2_Exh G" xfId="2119"/>
    <cellStyle name="20% - Accent2 3 2 3" xfId="878"/>
    <cellStyle name="20% - Accent2 3 2 3 2" xfId="1812"/>
    <cellStyle name="20% - Accent2 3 2 3 2 2" xfId="5330"/>
    <cellStyle name="20% - Accent2 3 2 3 2 2 2" xfId="8921"/>
    <cellStyle name="20% - Accent2 3 2 3 2 2 2 2" xfId="16892"/>
    <cellStyle name="20% - Accent2 3 2 3 2 2 2 3" xfId="24838"/>
    <cellStyle name="20% - Accent2 3 2 3 2 2 3" xfId="13354"/>
    <cellStyle name="20% - Accent2 3 2 3 2 2 4" xfId="21309"/>
    <cellStyle name="20% - Accent2 3 2 3 2 3" xfId="7162"/>
    <cellStyle name="20% - Accent2 3 2 3 2 3 2" xfId="15134"/>
    <cellStyle name="20% - Accent2 3 2 3 2 3 3" xfId="23081"/>
    <cellStyle name="20% - Accent2 3 2 3 2 4" xfId="11598"/>
    <cellStyle name="20% - Accent2 3 2 3 2 5" xfId="19553"/>
    <cellStyle name="20% - Accent2 3 2 3 2_Exh G" xfId="2122"/>
    <cellStyle name="20% - Accent2 3 2 3 3" xfId="4451"/>
    <cellStyle name="20% - Accent2 3 2 3 3 2" xfId="8043"/>
    <cellStyle name="20% - Accent2 3 2 3 3 2 2" xfId="16014"/>
    <cellStyle name="20% - Accent2 3 2 3 3 2 3" xfId="23960"/>
    <cellStyle name="20% - Accent2 3 2 3 3 3" xfId="12476"/>
    <cellStyle name="20% - Accent2 3 2 3 3 4" xfId="20431"/>
    <cellStyle name="20% - Accent2 3 2 3 4" xfId="6281"/>
    <cellStyle name="20% - Accent2 3 2 3 4 2" xfId="14256"/>
    <cellStyle name="20% - Accent2 3 2 3 4 3" xfId="22203"/>
    <cellStyle name="20% - Accent2 3 2 3 5" xfId="9824"/>
    <cellStyle name="20% - Accent2 3 2 3 5 2" xfId="17782"/>
    <cellStyle name="20% - Accent2 3 2 3 5 3" xfId="25726"/>
    <cellStyle name="20% - Accent2 3 2 3 6" xfId="10720"/>
    <cellStyle name="20% - Accent2 3 2 3 7" xfId="18675"/>
    <cellStyle name="20% - Accent2 3 2 3_Exh G" xfId="2121"/>
    <cellStyle name="20% - Accent2 3 2 4" xfId="1128"/>
    <cellStyle name="20% - Accent2 3 2 4 2" xfId="4658"/>
    <cellStyle name="20% - Accent2 3 2 4 2 2" xfId="8249"/>
    <cellStyle name="20% - Accent2 3 2 4 2 2 2" xfId="16220"/>
    <cellStyle name="20% - Accent2 3 2 4 2 2 3" xfId="24166"/>
    <cellStyle name="20% - Accent2 3 2 4 2 3" xfId="12682"/>
    <cellStyle name="20% - Accent2 3 2 4 2 4" xfId="20637"/>
    <cellStyle name="20% - Accent2 3 2 4 3" xfId="6490"/>
    <cellStyle name="20% - Accent2 3 2 4 3 2" xfId="14462"/>
    <cellStyle name="20% - Accent2 3 2 4 3 3" xfId="22409"/>
    <cellStyle name="20% - Accent2 3 2 4 4" xfId="10926"/>
    <cellStyle name="20% - Accent2 3 2 4 5" xfId="18881"/>
    <cellStyle name="20% - Accent2 3 2 4_Exh G" xfId="2123"/>
    <cellStyle name="20% - Accent2 3 2 5" xfId="3779"/>
    <cellStyle name="20% - Accent2 3 2 5 2" xfId="7371"/>
    <cellStyle name="20% - Accent2 3 2 5 2 2" xfId="15342"/>
    <cellStyle name="20% - Accent2 3 2 5 2 3" xfId="23288"/>
    <cellStyle name="20% - Accent2 3 2 5 3" xfId="11804"/>
    <cellStyle name="20% - Accent2 3 2 5 4" xfId="19759"/>
    <cellStyle name="20% - Accent2 3 2 6" xfId="5599"/>
    <cellStyle name="20% - Accent2 3 2 6 2" xfId="13583"/>
    <cellStyle name="20% - Accent2 3 2 6 3" xfId="21531"/>
    <cellStyle name="20% - Accent2 3 2 7" xfId="9152"/>
    <cellStyle name="20% - Accent2 3 2 7 2" xfId="17110"/>
    <cellStyle name="20% - Accent2 3 2 7 3" xfId="25054"/>
    <cellStyle name="20% - Accent2 3 2 8" xfId="10048"/>
    <cellStyle name="20% - Accent2 3 2 9" xfId="18003"/>
    <cellStyle name="20% - Accent2 3 2_Exh G" xfId="2118"/>
    <cellStyle name="20% - Accent2 3 3" xfId="102"/>
    <cellStyle name="20% - Accent2 3 3 2" xfId="1130"/>
    <cellStyle name="20% - Accent2 3 3 2 2" xfId="4660"/>
    <cellStyle name="20% - Accent2 3 3 2 2 2" xfId="8251"/>
    <cellStyle name="20% - Accent2 3 3 2 2 2 2" xfId="16222"/>
    <cellStyle name="20% - Accent2 3 3 2 2 2 3" xfId="24168"/>
    <cellStyle name="20% - Accent2 3 3 2 2 3" xfId="12684"/>
    <cellStyle name="20% - Accent2 3 3 2 2 4" xfId="20639"/>
    <cellStyle name="20% - Accent2 3 3 2 3" xfId="6492"/>
    <cellStyle name="20% - Accent2 3 3 2 3 2" xfId="14464"/>
    <cellStyle name="20% - Accent2 3 3 2 3 3" xfId="22411"/>
    <cellStyle name="20% - Accent2 3 3 2 4" xfId="10928"/>
    <cellStyle name="20% - Accent2 3 3 2 5" xfId="18883"/>
    <cellStyle name="20% - Accent2 3 3 2_Exh G" xfId="2125"/>
    <cellStyle name="20% - Accent2 3 3 3" xfId="3781"/>
    <cellStyle name="20% - Accent2 3 3 3 2" xfId="7373"/>
    <cellStyle name="20% - Accent2 3 3 3 2 2" xfId="15344"/>
    <cellStyle name="20% - Accent2 3 3 3 2 3" xfId="23290"/>
    <cellStyle name="20% - Accent2 3 3 3 3" xfId="11806"/>
    <cellStyle name="20% - Accent2 3 3 3 4" xfId="19761"/>
    <cellStyle name="20% - Accent2 3 3 4" xfId="5601"/>
    <cellStyle name="20% - Accent2 3 3 4 2" xfId="13585"/>
    <cellStyle name="20% - Accent2 3 3 4 3" xfId="21533"/>
    <cellStyle name="20% - Accent2 3 3 5" xfId="9154"/>
    <cellStyle name="20% - Accent2 3 3 5 2" xfId="17112"/>
    <cellStyle name="20% - Accent2 3 3 5 3" xfId="25056"/>
    <cellStyle name="20% - Accent2 3 3 6" xfId="10050"/>
    <cellStyle name="20% - Accent2 3 3 7" xfId="18005"/>
    <cellStyle name="20% - Accent2 3 3_Exh G" xfId="2124"/>
    <cellStyle name="20% - Accent2 3 4" xfId="877"/>
    <cellStyle name="20% - Accent2 3 4 2" xfId="1811"/>
    <cellStyle name="20% - Accent2 3 4 2 2" xfId="5329"/>
    <cellStyle name="20% - Accent2 3 4 2 2 2" xfId="8920"/>
    <cellStyle name="20% - Accent2 3 4 2 2 2 2" xfId="16891"/>
    <cellStyle name="20% - Accent2 3 4 2 2 2 3" xfId="24837"/>
    <cellStyle name="20% - Accent2 3 4 2 2 3" xfId="13353"/>
    <cellStyle name="20% - Accent2 3 4 2 2 4" xfId="21308"/>
    <cellStyle name="20% - Accent2 3 4 2 3" xfId="7161"/>
    <cellStyle name="20% - Accent2 3 4 2 3 2" xfId="15133"/>
    <cellStyle name="20% - Accent2 3 4 2 3 3" xfId="23080"/>
    <cellStyle name="20% - Accent2 3 4 2 4" xfId="11597"/>
    <cellStyle name="20% - Accent2 3 4 2 5" xfId="19552"/>
    <cellStyle name="20% - Accent2 3 4 2_Exh G" xfId="2127"/>
    <cellStyle name="20% - Accent2 3 4 3" xfId="4450"/>
    <cellStyle name="20% - Accent2 3 4 3 2" xfId="8042"/>
    <cellStyle name="20% - Accent2 3 4 3 2 2" xfId="16013"/>
    <cellStyle name="20% - Accent2 3 4 3 2 3" xfId="23959"/>
    <cellStyle name="20% - Accent2 3 4 3 3" xfId="12475"/>
    <cellStyle name="20% - Accent2 3 4 3 4" xfId="20430"/>
    <cellStyle name="20% - Accent2 3 4 4" xfId="6280"/>
    <cellStyle name="20% - Accent2 3 4 4 2" xfId="14255"/>
    <cellStyle name="20% - Accent2 3 4 4 3" xfId="22202"/>
    <cellStyle name="20% - Accent2 3 4 5" xfId="9823"/>
    <cellStyle name="20% - Accent2 3 4 5 2" xfId="17781"/>
    <cellStyle name="20% - Accent2 3 4 5 3" xfId="25725"/>
    <cellStyle name="20% - Accent2 3 4 6" xfId="10719"/>
    <cellStyle name="20% - Accent2 3 4 7" xfId="18674"/>
    <cellStyle name="20% - Accent2 3 4_Exh G" xfId="2126"/>
    <cellStyle name="20% - Accent2 3 5" xfId="1127"/>
    <cellStyle name="20% - Accent2 3 5 2" xfId="4657"/>
    <cellStyle name="20% - Accent2 3 5 2 2" xfId="8248"/>
    <cellStyle name="20% - Accent2 3 5 2 2 2" xfId="16219"/>
    <cellStyle name="20% - Accent2 3 5 2 2 3" xfId="24165"/>
    <cellStyle name="20% - Accent2 3 5 2 3" xfId="12681"/>
    <cellStyle name="20% - Accent2 3 5 2 4" xfId="20636"/>
    <cellStyle name="20% - Accent2 3 5 3" xfId="6489"/>
    <cellStyle name="20% - Accent2 3 5 3 2" xfId="14461"/>
    <cellStyle name="20% - Accent2 3 5 3 3" xfId="22408"/>
    <cellStyle name="20% - Accent2 3 5 4" xfId="10925"/>
    <cellStyle name="20% - Accent2 3 5 5" xfId="18880"/>
    <cellStyle name="20% - Accent2 3 5_Exh G" xfId="2128"/>
    <cellStyle name="20% - Accent2 3 6" xfId="3778"/>
    <cellStyle name="20% - Accent2 3 6 2" xfId="7370"/>
    <cellStyle name="20% - Accent2 3 6 2 2" xfId="15341"/>
    <cellStyle name="20% - Accent2 3 6 2 3" xfId="23287"/>
    <cellStyle name="20% - Accent2 3 6 3" xfId="11803"/>
    <cellStyle name="20% - Accent2 3 6 4" xfId="19758"/>
    <cellStyle name="20% - Accent2 3 7" xfId="5598"/>
    <cellStyle name="20% - Accent2 3 7 2" xfId="13582"/>
    <cellStyle name="20% - Accent2 3 7 3" xfId="21530"/>
    <cellStyle name="20% - Accent2 3 8" xfId="9151"/>
    <cellStyle name="20% - Accent2 3 8 2" xfId="17109"/>
    <cellStyle name="20% - Accent2 3 8 3" xfId="25053"/>
    <cellStyle name="20% - Accent2 3 9" xfId="10047"/>
    <cellStyle name="20% - Accent2 3_Exh G" xfId="2117"/>
    <cellStyle name="20% - Accent2 4" xfId="103"/>
    <cellStyle name="20% - Accent2 4 10" xfId="18006"/>
    <cellStyle name="20% - Accent2 4 2" xfId="104"/>
    <cellStyle name="20% - Accent2 4 2 2" xfId="105"/>
    <cellStyle name="20% - Accent2 4 2 2 2" xfId="1133"/>
    <cellStyle name="20% - Accent2 4 2 2 2 2" xfId="4663"/>
    <cellStyle name="20% - Accent2 4 2 2 2 2 2" xfId="8254"/>
    <cellStyle name="20% - Accent2 4 2 2 2 2 2 2" xfId="16225"/>
    <cellStyle name="20% - Accent2 4 2 2 2 2 2 3" xfId="24171"/>
    <cellStyle name="20% - Accent2 4 2 2 2 2 3" xfId="12687"/>
    <cellStyle name="20% - Accent2 4 2 2 2 2 4" xfId="20642"/>
    <cellStyle name="20% - Accent2 4 2 2 2 3" xfId="6495"/>
    <cellStyle name="20% - Accent2 4 2 2 2 3 2" xfId="14467"/>
    <cellStyle name="20% - Accent2 4 2 2 2 3 3" xfId="22414"/>
    <cellStyle name="20% - Accent2 4 2 2 2 4" xfId="10931"/>
    <cellStyle name="20% - Accent2 4 2 2 2 5" xfId="18886"/>
    <cellStyle name="20% - Accent2 4 2 2 2_Exh G" xfId="2132"/>
    <cellStyle name="20% - Accent2 4 2 2 3" xfId="3784"/>
    <cellStyle name="20% - Accent2 4 2 2 3 2" xfId="7376"/>
    <cellStyle name="20% - Accent2 4 2 2 3 2 2" xfId="15347"/>
    <cellStyle name="20% - Accent2 4 2 2 3 2 3" xfId="23293"/>
    <cellStyle name="20% - Accent2 4 2 2 3 3" xfId="11809"/>
    <cellStyle name="20% - Accent2 4 2 2 3 4" xfId="19764"/>
    <cellStyle name="20% - Accent2 4 2 2 4" xfId="5604"/>
    <cellStyle name="20% - Accent2 4 2 2 4 2" xfId="13588"/>
    <cellStyle name="20% - Accent2 4 2 2 4 3" xfId="21536"/>
    <cellStyle name="20% - Accent2 4 2 2 5" xfId="9157"/>
    <cellStyle name="20% - Accent2 4 2 2 5 2" xfId="17115"/>
    <cellStyle name="20% - Accent2 4 2 2 5 3" xfId="25059"/>
    <cellStyle name="20% - Accent2 4 2 2 6" xfId="10053"/>
    <cellStyle name="20% - Accent2 4 2 2 7" xfId="18008"/>
    <cellStyle name="20% - Accent2 4 2 2_Exh G" xfId="2131"/>
    <cellStyle name="20% - Accent2 4 2 3" xfId="880"/>
    <cellStyle name="20% - Accent2 4 2 3 2" xfId="1814"/>
    <cellStyle name="20% - Accent2 4 2 3 2 2" xfId="5332"/>
    <cellStyle name="20% - Accent2 4 2 3 2 2 2" xfId="8923"/>
    <cellStyle name="20% - Accent2 4 2 3 2 2 2 2" xfId="16894"/>
    <cellStyle name="20% - Accent2 4 2 3 2 2 2 3" xfId="24840"/>
    <cellStyle name="20% - Accent2 4 2 3 2 2 3" xfId="13356"/>
    <cellStyle name="20% - Accent2 4 2 3 2 2 4" xfId="21311"/>
    <cellStyle name="20% - Accent2 4 2 3 2 3" xfId="7164"/>
    <cellStyle name="20% - Accent2 4 2 3 2 3 2" xfId="15136"/>
    <cellStyle name="20% - Accent2 4 2 3 2 3 3" xfId="23083"/>
    <cellStyle name="20% - Accent2 4 2 3 2 4" xfId="11600"/>
    <cellStyle name="20% - Accent2 4 2 3 2 5" xfId="19555"/>
    <cellStyle name="20% - Accent2 4 2 3 2_Exh G" xfId="2134"/>
    <cellStyle name="20% - Accent2 4 2 3 3" xfId="4453"/>
    <cellStyle name="20% - Accent2 4 2 3 3 2" xfId="8045"/>
    <cellStyle name="20% - Accent2 4 2 3 3 2 2" xfId="16016"/>
    <cellStyle name="20% - Accent2 4 2 3 3 2 3" xfId="23962"/>
    <cellStyle name="20% - Accent2 4 2 3 3 3" xfId="12478"/>
    <cellStyle name="20% - Accent2 4 2 3 3 4" xfId="20433"/>
    <cellStyle name="20% - Accent2 4 2 3 4" xfId="6283"/>
    <cellStyle name="20% - Accent2 4 2 3 4 2" xfId="14258"/>
    <cellStyle name="20% - Accent2 4 2 3 4 3" xfId="22205"/>
    <cellStyle name="20% - Accent2 4 2 3 5" xfId="9826"/>
    <cellStyle name="20% - Accent2 4 2 3 5 2" xfId="17784"/>
    <cellStyle name="20% - Accent2 4 2 3 5 3" xfId="25728"/>
    <cellStyle name="20% - Accent2 4 2 3 6" xfId="10722"/>
    <cellStyle name="20% - Accent2 4 2 3 7" xfId="18677"/>
    <cellStyle name="20% - Accent2 4 2 3_Exh G" xfId="2133"/>
    <cellStyle name="20% - Accent2 4 2 4" xfId="1132"/>
    <cellStyle name="20% - Accent2 4 2 4 2" xfId="4662"/>
    <cellStyle name="20% - Accent2 4 2 4 2 2" xfId="8253"/>
    <cellStyle name="20% - Accent2 4 2 4 2 2 2" xfId="16224"/>
    <cellStyle name="20% - Accent2 4 2 4 2 2 3" xfId="24170"/>
    <cellStyle name="20% - Accent2 4 2 4 2 3" xfId="12686"/>
    <cellStyle name="20% - Accent2 4 2 4 2 4" xfId="20641"/>
    <cellStyle name="20% - Accent2 4 2 4 3" xfId="6494"/>
    <cellStyle name="20% - Accent2 4 2 4 3 2" xfId="14466"/>
    <cellStyle name="20% - Accent2 4 2 4 3 3" xfId="22413"/>
    <cellStyle name="20% - Accent2 4 2 4 4" xfId="10930"/>
    <cellStyle name="20% - Accent2 4 2 4 5" xfId="18885"/>
    <cellStyle name="20% - Accent2 4 2 4_Exh G" xfId="2135"/>
    <cellStyle name="20% - Accent2 4 2 5" xfId="3783"/>
    <cellStyle name="20% - Accent2 4 2 5 2" xfId="7375"/>
    <cellStyle name="20% - Accent2 4 2 5 2 2" xfId="15346"/>
    <cellStyle name="20% - Accent2 4 2 5 2 3" xfId="23292"/>
    <cellStyle name="20% - Accent2 4 2 5 3" xfId="11808"/>
    <cellStyle name="20% - Accent2 4 2 5 4" xfId="19763"/>
    <cellStyle name="20% - Accent2 4 2 6" xfId="5603"/>
    <cellStyle name="20% - Accent2 4 2 6 2" xfId="13587"/>
    <cellStyle name="20% - Accent2 4 2 6 3" xfId="21535"/>
    <cellStyle name="20% - Accent2 4 2 7" xfId="9156"/>
    <cellStyle name="20% - Accent2 4 2 7 2" xfId="17114"/>
    <cellStyle name="20% - Accent2 4 2 7 3" xfId="25058"/>
    <cellStyle name="20% - Accent2 4 2 8" xfId="10052"/>
    <cellStyle name="20% - Accent2 4 2 9" xfId="18007"/>
    <cellStyle name="20% - Accent2 4 2_Exh G" xfId="2130"/>
    <cellStyle name="20% - Accent2 4 3" xfId="106"/>
    <cellStyle name="20% - Accent2 4 3 2" xfId="1134"/>
    <cellStyle name="20% - Accent2 4 3 2 2" xfId="4664"/>
    <cellStyle name="20% - Accent2 4 3 2 2 2" xfId="8255"/>
    <cellStyle name="20% - Accent2 4 3 2 2 2 2" xfId="16226"/>
    <cellStyle name="20% - Accent2 4 3 2 2 2 3" xfId="24172"/>
    <cellStyle name="20% - Accent2 4 3 2 2 3" xfId="12688"/>
    <cellStyle name="20% - Accent2 4 3 2 2 4" xfId="20643"/>
    <cellStyle name="20% - Accent2 4 3 2 3" xfId="6496"/>
    <cellStyle name="20% - Accent2 4 3 2 3 2" xfId="14468"/>
    <cellStyle name="20% - Accent2 4 3 2 3 3" xfId="22415"/>
    <cellStyle name="20% - Accent2 4 3 2 4" xfId="10932"/>
    <cellStyle name="20% - Accent2 4 3 2 5" xfId="18887"/>
    <cellStyle name="20% - Accent2 4 3 2_Exh G" xfId="2137"/>
    <cellStyle name="20% - Accent2 4 3 3" xfId="3785"/>
    <cellStyle name="20% - Accent2 4 3 3 2" xfId="7377"/>
    <cellStyle name="20% - Accent2 4 3 3 2 2" xfId="15348"/>
    <cellStyle name="20% - Accent2 4 3 3 2 3" xfId="23294"/>
    <cellStyle name="20% - Accent2 4 3 3 3" xfId="11810"/>
    <cellStyle name="20% - Accent2 4 3 3 4" xfId="19765"/>
    <cellStyle name="20% - Accent2 4 3 4" xfId="5605"/>
    <cellStyle name="20% - Accent2 4 3 4 2" xfId="13589"/>
    <cellStyle name="20% - Accent2 4 3 4 3" xfId="21537"/>
    <cellStyle name="20% - Accent2 4 3 5" xfId="9158"/>
    <cellStyle name="20% - Accent2 4 3 5 2" xfId="17116"/>
    <cellStyle name="20% - Accent2 4 3 5 3" xfId="25060"/>
    <cellStyle name="20% - Accent2 4 3 6" xfId="10054"/>
    <cellStyle name="20% - Accent2 4 3 7" xfId="18009"/>
    <cellStyle name="20% - Accent2 4 3_Exh G" xfId="2136"/>
    <cellStyle name="20% - Accent2 4 4" xfId="879"/>
    <cellStyle name="20% - Accent2 4 4 2" xfId="1813"/>
    <cellStyle name="20% - Accent2 4 4 2 2" xfId="5331"/>
    <cellStyle name="20% - Accent2 4 4 2 2 2" xfId="8922"/>
    <cellStyle name="20% - Accent2 4 4 2 2 2 2" xfId="16893"/>
    <cellStyle name="20% - Accent2 4 4 2 2 2 3" xfId="24839"/>
    <cellStyle name="20% - Accent2 4 4 2 2 3" xfId="13355"/>
    <cellStyle name="20% - Accent2 4 4 2 2 4" xfId="21310"/>
    <cellStyle name="20% - Accent2 4 4 2 3" xfId="7163"/>
    <cellStyle name="20% - Accent2 4 4 2 3 2" xfId="15135"/>
    <cellStyle name="20% - Accent2 4 4 2 3 3" xfId="23082"/>
    <cellStyle name="20% - Accent2 4 4 2 4" xfId="11599"/>
    <cellStyle name="20% - Accent2 4 4 2 5" xfId="19554"/>
    <cellStyle name="20% - Accent2 4 4 2_Exh G" xfId="2139"/>
    <cellStyle name="20% - Accent2 4 4 3" xfId="4452"/>
    <cellStyle name="20% - Accent2 4 4 3 2" xfId="8044"/>
    <cellStyle name="20% - Accent2 4 4 3 2 2" xfId="16015"/>
    <cellStyle name="20% - Accent2 4 4 3 2 3" xfId="23961"/>
    <cellStyle name="20% - Accent2 4 4 3 3" xfId="12477"/>
    <cellStyle name="20% - Accent2 4 4 3 4" xfId="20432"/>
    <cellStyle name="20% - Accent2 4 4 4" xfId="6282"/>
    <cellStyle name="20% - Accent2 4 4 4 2" xfId="14257"/>
    <cellStyle name="20% - Accent2 4 4 4 3" xfId="22204"/>
    <cellStyle name="20% - Accent2 4 4 5" xfId="9825"/>
    <cellStyle name="20% - Accent2 4 4 5 2" xfId="17783"/>
    <cellStyle name="20% - Accent2 4 4 5 3" xfId="25727"/>
    <cellStyle name="20% - Accent2 4 4 6" xfId="10721"/>
    <cellStyle name="20% - Accent2 4 4 7" xfId="18676"/>
    <cellStyle name="20% - Accent2 4 4_Exh G" xfId="2138"/>
    <cellStyle name="20% - Accent2 4 5" xfId="1131"/>
    <cellStyle name="20% - Accent2 4 5 2" xfId="4661"/>
    <cellStyle name="20% - Accent2 4 5 2 2" xfId="8252"/>
    <cellStyle name="20% - Accent2 4 5 2 2 2" xfId="16223"/>
    <cellStyle name="20% - Accent2 4 5 2 2 3" xfId="24169"/>
    <cellStyle name="20% - Accent2 4 5 2 3" xfId="12685"/>
    <cellStyle name="20% - Accent2 4 5 2 4" xfId="20640"/>
    <cellStyle name="20% - Accent2 4 5 3" xfId="6493"/>
    <cellStyle name="20% - Accent2 4 5 3 2" xfId="14465"/>
    <cellStyle name="20% - Accent2 4 5 3 3" xfId="22412"/>
    <cellStyle name="20% - Accent2 4 5 4" xfId="10929"/>
    <cellStyle name="20% - Accent2 4 5 5" xfId="18884"/>
    <cellStyle name="20% - Accent2 4 5_Exh G" xfId="2140"/>
    <cellStyle name="20% - Accent2 4 6" xfId="3782"/>
    <cellStyle name="20% - Accent2 4 6 2" xfId="7374"/>
    <cellStyle name="20% - Accent2 4 6 2 2" xfId="15345"/>
    <cellStyle name="20% - Accent2 4 6 2 3" xfId="23291"/>
    <cellStyle name="20% - Accent2 4 6 3" xfId="11807"/>
    <cellStyle name="20% - Accent2 4 6 4" xfId="19762"/>
    <cellStyle name="20% - Accent2 4 7" xfId="5602"/>
    <cellStyle name="20% - Accent2 4 7 2" xfId="13586"/>
    <cellStyle name="20% - Accent2 4 7 3" xfId="21534"/>
    <cellStyle name="20% - Accent2 4 8" xfId="9155"/>
    <cellStyle name="20% - Accent2 4 8 2" xfId="17113"/>
    <cellStyle name="20% - Accent2 4 8 3" xfId="25057"/>
    <cellStyle name="20% - Accent2 4 9" xfId="10051"/>
    <cellStyle name="20% - Accent2 4_Exh G" xfId="2129"/>
    <cellStyle name="20% - Accent2 5" xfId="107"/>
    <cellStyle name="20% - Accent2 5 10" xfId="18010"/>
    <cellStyle name="20% - Accent2 5 2" xfId="108"/>
    <cellStyle name="20% - Accent2 5 2 2" xfId="109"/>
    <cellStyle name="20% - Accent2 5 2 2 2" xfId="1137"/>
    <cellStyle name="20% - Accent2 5 2 2 2 2" xfId="4667"/>
    <cellStyle name="20% - Accent2 5 2 2 2 2 2" xfId="8258"/>
    <cellStyle name="20% - Accent2 5 2 2 2 2 2 2" xfId="16229"/>
    <cellStyle name="20% - Accent2 5 2 2 2 2 2 3" xfId="24175"/>
    <cellStyle name="20% - Accent2 5 2 2 2 2 3" xfId="12691"/>
    <cellStyle name="20% - Accent2 5 2 2 2 2 4" xfId="20646"/>
    <cellStyle name="20% - Accent2 5 2 2 2 3" xfId="6499"/>
    <cellStyle name="20% - Accent2 5 2 2 2 3 2" xfId="14471"/>
    <cellStyle name="20% - Accent2 5 2 2 2 3 3" xfId="22418"/>
    <cellStyle name="20% - Accent2 5 2 2 2 4" xfId="10935"/>
    <cellStyle name="20% - Accent2 5 2 2 2 5" xfId="18890"/>
    <cellStyle name="20% - Accent2 5 2 2 2_Exh G" xfId="2144"/>
    <cellStyle name="20% - Accent2 5 2 2 3" xfId="3788"/>
    <cellStyle name="20% - Accent2 5 2 2 3 2" xfId="7380"/>
    <cellStyle name="20% - Accent2 5 2 2 3 2 2" xfId="15351"/>
    <cellStyle name="20% - Accent2 5 2 2 3 2 3" xfId="23297"/>
    <cellStyle name="20% - Accent2 5 2 2 3 3" xfId="11813"/>
    <cellStyle name="20% - Accent2 5 2 2 3 4" xfId="19768"/>
    <cellStyle name="20% - Accent2 5 2 2 4" xfId="5608"/>
    <cellStyle name="20% - Accent2 5 2 2 4 2" xfId="13592"/>
    <cellStyle name="20% - Accent2 5 2 2 4 3" xfId="21540"/>
    <cellStyle name="20% - Accent2 5 2 2 5" xfId="9161"/>
    <cellStyle name="20% - Accent2 5 2 2 5 2" xfId="17119"/>
    <cellStyle name="20% - Accent2 5 2 2 5 3" xfId="25063"/>
    <cellStyle name="20% - Accent2 5 2 2 6" xfId="10057"/>
    <cellStyle name="20% - Accent2 5 2 2 7" xfId="18012"/>
    <cellStyle name="20% - Accent2 5 2 2_Exh G" xfId="2143"/>
    <cellStyle name="20% - Accent2 5 2 3" xfId="1136"/>
    <cellStyle name="20% - Accent2 5 2 3 2" xfId="4666"/>
    <cellStyle name="20% - Accent2 5 2 3 2 2" xfId="8257"/>
    <cellStyle name="20% - Accent2 5 2 3 2 2 2" xfId="16228"/>
    <cellStyle name="20% - Accent2 5 2 3 2 2 3" xfId="24174"/>
    <cellStyle name="20% - Accent2 5 2 3 2 3" xfId="12690"/>
    <cellStyle name="20% - Accent2 5 2 3 2 4" xfId="20645"/>
    <cellStyle name="20% - Accent2 5 2 3 3" xfId="6498"/>
    <cellStyle name="20% - Accent2 5 2 3 3 2" xfId="14470"/>
    <cellStyle name="20% - Accent2 5 2 3 3 3" xfId="22417"/>
    <cellStyle name="20% - Accent2 5 2 3 4" xfId="10934"/>
    <cellStyle name="20% - Accent2 5 2 3 5" xfId="18889"/>
    <cellStyle name="20% - Accent2 5 2 3_Exh G" xfId="2145"/>
    <cellStyle name="20% - Accent2 5 2 4" xfId="3787"/>
    <cellStyle name="20% - Accent2 5 2 4 2" xfId="7379"/>
    <cellStyle name="20% - Accent2 5 2 4 2 2" xfId="15350"/>
    <cellStyle name="20% - Accent2 5 2 4 2 3" xfId="23296"/>
    <cellStyle name="20% - Accent2 5 2 4 3" xfId="11812"/>
    <cellStyle name="20% - Accent2 5 2 4 4" xfId="19767"/>
    <cellStyle name="20% - Accent2 5 2 5" xfId="5607"/>
    <cellStyle name="20% - Accent2 5 2 5 2" xfId="13591"/>
    <cellStyle name="20% - Accent2 5 2 5 3" xfId="21539"/>
    <cellStyle name="20% - Accent2 5 2 6" xfId="9160"/>
    <cellStyle name="20% - Accent2 5 2 6 2" xfId="17118"/>
    <cellStyle name="20% - Accent2 5 2 6 3" xfId="25062"/>
    <cellStyle name="20% - Accent2 5 2 7" xfId="10056"/>
    <cellStyle name="20% - Accent2 5 2 8" xfId="18011"/>
    <cellStyle name="20% - Accent2 5 2_Exh G" xfId="2142"/>
    <cellStyle name="20% - Accent2 5 3" xfId="110"/>
    <cellStyle name="20% - Accent2 5 3 2" xfId="1138"/>
    <cellStyle name="20% - Accent2 5 3 2 2" xfId="4668"/>
    <cellStyle name="20% - Accent2 5 3 2 2 2" xfId="8259"/>
    <cellStyle name="20% - Accent2 5 3 2 2 2 2" xfId="16230"/>
    <cellStyle name="20% - Accent2 5 3 2 2 2 3" xfId="24176"/>
    <cellStyle name="20% - Accent2 5 3 2 2 3" xfId="12692"/>
    <cellStyle name="20% - Accent2 5 3 2 2 4" xfId="20647"/>
    <cellStyle name="20% - Accent2 5 3 2 3" xfId="6500"/>
    <cellStyle name="20% - Accent2 5 3 2 3 2" xfId="14472"/>
    <cellStyle name="20% - Accent2 5 3 2 3 3" xfId="22419"/>
    <cellStyle name="20% - Accent2 5 3 2 4" xfId="10936"/>
    <cellStyle name="20% - Accent2 5 3 2 5" xfId="18891"/>
    <cellStyle name="20% - Accent2 5 3 2_Exh G" xfId="2147"/>
    <cellStyle name="20% - Accent2 5 3 3" xfId="3789"/>
    <cellStyle name="20% - Accent2 5 3 3 2" xfId="7381"/>
    <cellStyle name="20% - Accent2 5 3 3 2 2" xfId="15352"/>
    <cellStyle name="20% - Accent2 5 3 3 2 3" xfId="23298"/>
    <cellStyle name="20% - Accent2 5 3 3 3" xfId="11814"/>
    <cellStyle name="20% - Accent2 5 3 3 4" xfId="19769"/>
    <cellStyle name="20% - Accent2 5 3 4" xfId="5609"/>
    <cellStyle name="20% - Accent2 5 3 4 2" xfId="13593"/>
    <cellStyle name="20% - Accent2 5 3 4 3" xfId="21541"/>
    <cellStyle name="20% - Accent2 5 3 5" xfId="9162"/>
    <cellStyle name="20% - Accent2 5 3 5 2" xfId="17120"/>
    <cellStyle name="20% - Accent2 5 3 5 3" xfId="25064"/>
    <cellStyle name="20% - Accent2 5 3 6" xfId="10058"/>
    <cellStyle name="20% - Accent2 5 3 7" xfId="18013"/>
    <cellStyle name="20% - Accent2 5 3_Exh G" xfId="2146"/>
    <cellStyle name="20% - Accent2 5 4" xfId="881"/>
    <cellStyle name="20% - Accent2 5 5" xfId="1135"/>
    <cellStyle name="20% - Accent2 5 5 2" xfId="4665"/>
    <cellStyle name="20% - Accent2 5 5 2 2" xfId="8256"/>
    <cellStyle name="20% - Accent2 5 5 2 2 2" xfId="16227"/>
    <cellStyle name="20% - Accent2 5 5 2 2 3" xfId="24173"/>
    <cellStyle name="20% - Accent2 5 5 2 3" xfId="12689"/>
    <cellStyle name="20% - Accent2 5 5 2 4" xfId="20644"/>
    <cellStyle name="20% - Accent2 5 5 3" xfId="6497"/>
    <cellStyle name="20% - Accent2 5 5 3 2" xfId="14469"/>
    <cellStyle name="20% - Accent2 5 5 3 3" xfId="22416"/>
    <cellStyle name="20% - Accent2 5 5 4" xfId="10933"/>
    <cellStyle name="20% - Accent2 5 5 5" xfId="18888"/>
    <cellStyle name="20% - Accent2 5 5_Exh G" xfId="2148"/>
    <cellStyle name="20% - Accent2 5 6" xfId="3786"/>
    <cellStyle name="20% - Accent2 5 6 2" xfId="7378"/>
    <cellStyle name="20% - Accent2 5 6 2 2" xfId="15349"/>
    <cellStyle name="20% - Accent2 5 6 2 3" xfId="23295"/>
    <cellStyle name="20% - Accent2 5 6 3" xfId="11811"/>
    <cellStyle name="20% - Accent2 5 6 4" xfId="19766"/>
    <cellStyle name="20% - Accent2 5 7" xfId="5606"/>
    <cellStyle name="20% - Accent2 5 7 2" xfId="13590"/>
    <cellStyle name="20% - Accent2 5 7 3" xfId="21538"/>
    <cellStyle name="20% - Accent2 5 8" xfId="9159"/>
    <cellStyle name="20% - Accent2 5 8 2" xfId="17117"/>
    <cellStyle name="20% - Accent2 5 8 3" xfId="25061"/>
    <cellStyle name="20% - Accent2 5 9" xfId="10055"/>
    <cellStyle name="20% - Accent2 5_Exh G" xfId="2141"/>
    <cellStyle name="20% - Accent2 6" xfId="111"/>
    <cellStyle name="20% - Accent2 6 10" xfId="18014"/>
    <cellStyle name="20% - Accent2 6 2" xfId="112"/>
    <cellStyle name="20% - Accent2 6 2 2" xfId="113"/>
    <cellStyle name="20% - Accent2 6 2 2 2" xfId="1141"/>
    <cellStyle name="20% - Accent2 6 2 2 2 2" xfId="4671"/>
    <cellStyle name="20% - Accent2 6 2 2 2 2 2" xfId="8262"/>
    <cellStyle name="20% - Accent2 6 2 2 2 2 2 2" xfId="16233"/>
    <cellStyle name="20% - Accent2 6 2 2 2 2 2 3" xfId="24179"/>
    <cellStyle name="20% - Accent2 6 2 2 2 2 3" xfId="12695"/>
    <cellStyle name="20% - Accent2 6 2 2 2 2 4" xfId="20650"/>
    <cellStyle name="20% - Accent2 6 2 2 2 3" xfId="6503"/>
    <cellStyle name="20% - Accent2 6 2 2 2 3 2" xfId="14475"/>
    <cellStyle name="20% - Accent2 6 2 2 2 3 3" xfId="22422"/>
    <cellStyle name="20% - Accent2 6 2 2 2 4" xfId="10939"/>
    <cellStyle name="20% - Accent2 6 2 2 2 5" xfId="18894"/>
    <cellStyle name="20% - Accent2 6 2 2 2_Exh G" xfId="2152"/>
    <cellStyle name="20% - Accent2 6 2 2 3" xfId="3792"/>
    <cellStyle name="20% - Accent2 6 2 2 3 2" xfId="7384"/>
    <cellStyle name="20% - Accent2 6 2 2 3 2 2" xfId="15355"/>
    <cellStyle name="20% - Accent2 6 2 2 3 2 3" xfId="23301"/>
    <cellStyle name="20% - Accent2 6 2 2 3 3" xfId="11817"/>
    <cellStyle name="20% - Accent2 6 2 2 3 4" xfId="19772"/>
    <cellStyle name="20% - Accent2 6 2 2 4" xfId="5612"/>
    <cellStyle name="20% - Accent2 6 2 2 4 2" xfId="13596"/>
    <cellStyle name="20% - Accent2 6 2 2 4 3" xfId="21544"/>
    <cellStyle name="20% - Accent2 6 2 2 5" xfId="9165"/>
    <cellStyle name="20% - Accent2 6 2 2 5 2" xfId="17123"/>
    <cellStyle name="20% - Accent2 6 2 2 5 3" xfId="25067"/>
    <cellStyle name="20% - Accent2 6 2 2 6" xfId="10061"/>
    <cellStyle name="20% - Accent2 6 2 2 7" xfId="18016"/>
    <cellStyle name="20% - Accent2 6 2 2_Exh G" xfId="2151"/>
    <cellStyle name="20% - Accent2 6 2 3" xfId="1140"/>
    <cellStyle name="20% - Accent2 6 2 3 2" xfId="4670"/>
    <cellStyle name="20% - Accent2 6 2 3 2 2" xfId="8261"/>
    <cellStyle name="20% - Accent2 6 2 3 2 2 2" xfId="16232"/>
    <cellStyle name="20% - Accent2 6 2 3 2 2 3" xfId="24178"/>
    <cellStyle name="20% - Accent2 6 2 3 2 3" xfId="12694"/>
    <cellStyle name="20% - Accent2 6 2 3 2 4" xfId="20649"/>
    <cellStyle name="20% - Accent2 6 2 3 3" xfId="6502"/>
    <cellStyle name="20% - Accent2 6 2 3 3 2" xfId="14474"/>
    <cellStyle name="20% - Accent2 6 2 3 3 3" xfId="22421"/>
    <cellStyle name="20% - Accent2 6 2 3 4" xfId="10938"/>
    <cellStyle name="20% - Accent2 6 2 3 5" xfId="18893"/>
    <cellStyle name="20% - Accent2 6 2 3_Exh G" xfId="2153"/>
    <cellStyle name="20% - Accent2 6 2 4" xfId="3791"/>
    <cellStyle name="20% - Accent2 6 2 4 2" xfId="7383"/>
    <cellStyle name="20% - Accent2 6 2 4 2 2" xfId="15354"/>
    <cellStyle name="20% - Accent2 6 2 4 2 3" xfId="23300"/>
    <cellStyle name="20% - Accent2 6 2 4 3" xfId="11816"/>
    <cellStyle name="20% - Accent2 6 2 4 4" xfId="19771"/>
    <cellStyle name="20% - Accent2 6 2 5" xfId="5611"/>
    <cellStyle name="20% - Accent2 6 2 5 2" xfId="13595"/>
    <cellStyle name="20% - Accent2 6 2 5 3" xfId="21543"/>
    <cellStyle name="20% - Accent2 6 2 6" xfId="9164"/>
    <cellStyle name="20% - Accent2 6 2 6 2" xfId="17122"/>
    <cellStyle name="20% - Accent2 6 2 6 3" xfId="25066"/>
    <cellStyle name="20% - Accent2 6 2 7" xfId="10060"/>
    <cellStyle name="20% - Accent2 6 2 8" xfId="18015"/>
    <cellStyle name="20% - Accent2 6 2_Exh G" xfId="2150"/>
    <cellStyle name="20% - Accent2 6 3" xfId="114"/>
    <cellStyle name="20% - Accent2 6 3 2" xfId="1142"/>
    <cellStyle name="20% - Accent2 6 3 2 2" xfId="4672"/>
    <cellStyle name="20% - Accent2 6 3 2 2 2" xfId="8263"/>
    <cellStyle name="20% - Accent2 6 3 2 2 2 2" xfId="16234"/>
    <cellStyle name="20% - Accent2 6 3 2 2 2 3" xfId="24180"/>
    <cellStyle name="20% - Accent2 6 3 2 2 3" xfId="12696"/>
    <cellStyle name="20% - Accent2 6 3 2 2 4" xfId="20651"/>
    <cellStyle name="20% - Accent2 6 3 2 3" xfId="6504"/>
    <cellStyle name="20% - Accent2 6 3 2 3 2" xfId="14476"/>
    <cellStyle name="20% - Accent2 6 3 2 3 3" xfId="22423"/>
    <cellStyle name="20% - Accent2 6 3 2 4" xfId="10940"/>
    <cellStyle name="20% - Accent2 6 3 2 5" xfId="18895"/>
    <cellStyle name="20% - Accent2 6 3 2_Exh G" xfId="2155"/>
    <cellStyle name="20% - Accent2 6 3 3" xfId="3793"/>
    <cellStyle name="20% - Accent2 6 3 3 2" xfId="7385"/>
    <cellStyle name="20% - Accent2 6 3 3 2 2" xfId="15356"/>
    <cellStyle name="20% - Accent2 6 3 3 2 3" xfId="23302"/>
    <cellStyle name="20% - Accent2 6 3 3 3" xfId="11818"/>
    <cellStyle name="20% - Accent2 6 3 3 4" xfId="19773"/>
    <cellStyle name="20% - Accent2 6 3 4" xfId="5613"/>
    <cellStyle name="20% - Accent2 6 3 4 2" xfId="13597"/>
    <cellStyle name="20% - Accent2 6 3 4 3" xfId="21545"/>
    <cellStyle name="20% - Accent2 6 3 5" xfId="9166"/>
    <cellStyle name="20% - Accent2 6 3 5 2" xfId="17124"/>
    <cellStyle name="20% - Accent2 6 3 5 3" xfId="25068"/>
    <cellStyle name="20% - Accent2 6 3 6" xfId="10062"/>
    <cellStyle name="20% - Accent2 6 3 7" xfId="18017"/>
    <cellStyle name="20% - Accent2 6 3_Exh G" xfId="2154"/>
    <cellStyle name="20% - Accent2 6 4" xfId="882"/>
    <cellStyle name="20% - Accent2 6 4 2" xfId="1815"/>
    <cellStyle name="20% - Accent2 6 4 2 2" xfId="5333"/>
    <cellStyle name="20% - Accent2 6 4 2 2 2" xfId="8924"/>
    <cellStyle name="20% - Accent2 6 4 2 2 2 2" xfId="16895"/>
    <cellStyle name="20% - Accent2 6 4 2 2 2 3" xfId="24841"/>
    <cellStyle name="20% - Accent2 6 4 2 2 3" xfId="13357"/>
    <cellStyle name="20% - Accent2 6 4 2 2 4" xfId="21312"/>
    <cellStyle name="20% - Accent2 6 4 2 3" xfId="7165"/>
    <cellStyle name="20% - Accent2 6 4 2 3 2" xfId="15137"/>
    <cellStyle name="20% - Accent2 6 4 2 3 3" xfId="23084"/>
    <cellStyle name="20% - Accent2 6 4 2 4" xfId="11601"/>
    <cellStyle name="20% - Accent2 6 4 2 5" xfId="19556"/>
    <cellStyle name="20% - Accent2 6 4 2_Exh G" xfId="2157"/>
    <cellStyle name="20% - Accent2 6 4 3" xfId="4454"/>
    <cellStyle name="20% - Accent2 6 4 3 2" xfId="8046"/>
    <cellStyle name="20% - Accent2 6 4 3 2 2" xfId="16017"/>
    <cellStyle name="20% - Accent2 6 4 3 2 3" xfId="23963"/>
    <cellStyle name="20% - Accent2 6 4 3 3" xfId="12479"/>
    <cellStyle name="20% - Accent2 6 4 3 4" xfId="20434"/>
    <cellStyle name="20% - Accent2 6 4 4" xfId="6284"/>
    <cellStyle name="20% - Accent2 6 4 4 2" xfId="14259"/>
    <cellStyle name="20% - Accent2 6 4 4 3" xfId="22206"/>
    <cellStyle name="20% - Accent2 6 4 5" xfId="9827"/>
    <cellStyle name="20% - Accent2 6 4 5 2" xfId="17785"/>
    <cellStyle name="20% - Accent2 6 4 5 3" xfId="25729"/>
    <cellStyle name="20% - Accent2 6 4 6" xfId="10723"/>
    <cellStyle name="20% - Accent2 6 4 7" xfId="18678"/>
    <cellStyle name="20% - Accent2 6 4_Exh G" xfId="2156"/>
    <cellStyle name="20% - Accent2 6 5" xfId="1139"/>
    <cellStyle name="20% - Accent2 6 5 2" xfId="4669"/>
    <cellStyle name="20% - Accent2 6 5 2 2" xfId="8260"/>
    <cellStyle name="20% - Accent2 6 5 2 2 2" xfId="16231"/>
    <cellStyle name="20% - Accent2 6 5 2 2 3" xfId="24177"/>
    <cellStyle name="20% - Accent2 6 5 2 3" xfId="12693"/>
    <cellStyle name="20% - Accent2 6 5 2 4" xfId="20648"/>
    <cellStyle name="20% - Accent2 6 5 3" xfId="6501"/>
    <cellStyle name="20% - Accent2 6 5 3 2" xfId="14473"/>
    <cellStyle name="20% - Accent2 6 5 3 3" xfId="22420"/>
    <cellStyle name="20% - Accent2 6 5 4" xfId="10937"/>
    <cellStyle name="20% - Accent2 6 5 5" xfId="18892"/>
    <cellStyle name="20% - Accent2 6 5_Exh G" xfId="2158"/>
    <cellStyle name="20% - Accent2 6 6" xfId="3790"/>
    <cellStyle name="20% - Accent2 6 6 2" xfId="7382"/>
    <cellStyle name="20% - Accent2 6 6 2 2" xfId="15353"/>
    <cellStyle name="20% - Accent2 6 6 2 3" xfId="23299"/>
    <cellStyle name="20% - Accent2 6 6 3" xfId="11815"/>
    <cellStyle name="20% - Accent2 6 6 4" xfId="19770"/>
    <cellStyle name="20% - Accent2 6 7" xfId="5610"/>
    <cellStyle name="20% - Accent2 6 7 2" xfId="13594"/>
    <cellStyle name="20% - Accent2 6 7 3" xfId="21542"/>
    <cellStyle name="20% - Accent2 6 8" xfId="9163"/>
    <cellStyle name="20% - Accent2 6 8 2" xfId="17121"/>
    <cellStyle name="20% - Accent2 6 8 3" xfId="25065"/>
    <cellStyle name="20% - Accent2 6 9" xfId="10059"/>
    <cellStyle name="20% - Accent2 6_Exh G" xfId="2149"/>
    <cellStyle name="20% - Accent2 7" xfId="115"/>
    <cellStyle name="20% - Accent2 7 10" xfId="18018"/>
    <cellStyle name="20% - Accent2 7 2" xfId="116"/>
    <cellStyle name="20% - Accent2 7 2 2" xfId="117"/>
    <cellStyle name="20% - Accent2 7 2 2 2" xfId="1145"/>
    <cellStyle name="20% - Accent2 7 2 2 2 2" xfId="4675"/>
    <cellStyle name="20% - Accent2 7 2 2 2 2 2" xfId="8266"/>
    <cellStyle name="20% - Accent2 7 2 2 2 2 2 2" xfId="16237"/>
    <cellStyle name="20% - Accent2 7 2 2 2 2 2 3" xfId="24183"/>
    <cellStyle name="20% - Accent2 7 2 2 2 2 3" xfId="12699"/>
    <cellStyle name="20% - Accent2 7 2 2 2 2 4" xfId="20654"/>
    <cellStyle name="20% - Accent2 7 2 2 2 3" xfId="6507"/>
    <cellStyle name="20% - Accent2 7 2 2 2 3 2" xfId="14479"/>
    <cellStyle name="20% - Accent2 7 2 2 2 3 3" xfId="22426"/>
    <cellStyle name="20% - Accent2 7 2 2 2 4" xfId="10943"/>
    <cellStyle name="20% - Accent2 7 2 2 2 5" xfId="18898"/>
    <cellStyle name="20% - Accent2 7 2 2 2_Exh G" xfId="2162"/>
    <cellStyle name="20% - Accent2 7 2 2 3" xfId="3796"/>
    <cellStyle name="20% - Accent2 7 2 2 3 2" xfId="7388"/>
    <cellStyle name="20% - Accent2 7 2 2 3 2 2" xfId="15359"/>
    <cellStyle name="20% - Accent2 7 2 2 3 2 3" xfId="23305"/>
    <cellStyle name="20% - Accent2 7 2 2 3 3" xfId="11821"/>
    <cellStyle name="20% - Accent2 7 2 2 3 4" xfId="19776"/>
    <cellStyle name="20% - Accent2 7 2 2 4" xfId="5616"/>
    <cellStyle name="20% - Accent2 7 2 2 4 2" xfId="13600"/>
    <cellStyle name="20% - Accent2 7 2 2 4 3" xfId="21548"/>
    <cellStyle name="20% - Accent2 7 2 2 5" xfId="9169"/>
    <cellStyle name="20% - Accent2 7 2 2 5 2" xfId="17127"/>
    <cellStyle name="20% - Accent2 7 2 2 5 3" xfId="25071"/>
    <cellStyle name="20% - Accent2 7 2 2 6" xfId="10065"/>
    <cellStyle name="20% - Accent2 7 2 2 7" xfId="18020"/>
    <cellStyle name="20% - Accent2 7 2 2_Exh G" xfId="2161"/>
    <cellStyle name="20% - Accent2 7 2 3" xfId="1144"/>
    <cellStyle name="20% - Accent2 7 2 3 2" xfId="4674"/>
    <cellStyle name="20% - Accent2 7 2 3 2 2" xfId="8265"/>
    <cellStyle name="20% - Accent2 7 2 3 2 2 2" xfId="16236"/>
    <cellStyle name="20% - Accent2 7 2 3 2 2 3" xfId="24182"/>
    <cellStyle name="20% - Accent2 7 2 3 2 3" xfId="12698"/>
    <cellStyle name="20% - Accent2 7 2 3 2 4" xfId="20653"/>
    <cellStyle name="20% - Accent2 7 2 3 3" xfId="6506"/>
    <cellStyle name="20% - Accent2 7 2 3 3 2" xfId="14478"/>
    <cellStyle name="20% - Accent2 7 2 3 3 3" xfId="22425"/>
    <cellStyle name="20% - Accent2 7 2 3 4" xfId="10942"/>
    <cellStyle name="20% - Accent2 7 2 3 5" xfId="18897"/>
    <cellStyle name="20% - Accent2 7 2 3_Exh G" xfId="2163"/>
    <cellStyle name="20% - Accent2 7 2 4" xfId="3795"/>
    <cellStyle name="20% - Accent2 7 2 4 2" xfId="7387"/>
    <cellStyle name="20% - Accent2 7 2 4 2 2" xfId="15358"/>
    <cellStyle name="20% - Accent2 7 2 4 2 3" xfId="23304"/>
    <cellStyle name="20% - Accent2 7 2 4 3" xfId="11820"/>
    <cellStyle name="20% - Accent2 7 2 4 4" xfId="19775"/>
    <cellStyle name="20% - Accent2 7 2 5" xfId="5615"/>
    <cellStyle name="20% - Accent2 7 2 5 2" xfId="13599"/>
    <cellStyle name="20% - Accent2 7 2 5 3" xfId="21547"/>
    <cellStyle name="20% - Accent2 7 2 6" xfId="9168"/>
    <cellStyle name="20% - Accent2 7 2 6 2" xfId="17126"/>
    <cellStyle name="20% - Accent2 7 2 6 3" xfId="25070"/>
    <cellStyle name="20% - Accent2 7 2 7" xfId="10064"/>
    <cellStyle name="20% - Accent2 7 2 8" xfId="18019"/>
    <cellStyle name="20% - Accent2 7 2_Exh G" xfId="2160"/>
    <cellStyle name="20% - Accent2 7 3" xfId="118"/>
    <cellStyle name="20% - Accent2 7 3 2" xfId="1146"/>
    <cellStyle name="20% - Accent2 7 3 2 2" xfId="4676"/>
    <cellStyle name="20% - Accent2 7 3 2 2 2" xfId="8267"/>
    <cellStyle name="20% - Accent2 7 3 2 2 2 2" xfId="16238"/>
    <cellStyle name="20% - Accent2 7 3 2 2 2 3" xfId="24184"/>
    <cellStyle name="20% - Accent2 7 3 2 2 3" xfId="12700"/>
    <cellStyle name="20% - Accent2 7 3 2 2 4" xfId="20655"/>
    <cellStyle name="20% - Accent2 7 3 2 3" xfId="6508"/>
    <cellStyle name="20% - Accent2 7 3 2 3 2" xfId="14480"/>
    <cellStyle name="20% - Accent2 7 3 2 3 3" xfId="22427"/>
    <cellStyle name="20% - Accent2 7 3 2 4" xfId="10944"/>
    <cellStyle name="20% - Accent2 7 3 2 5" xfId="18899"/>
    <cellStyle name="20% - Accent2 7 3 2_Exh G" xfId="2165"/>
    <cellStyle name="20% - Accent2 7 3 3" xfId="3797"/>
    <cellStyle name="20% - Accent2 7 3 3 2" xfId="7389"/>
    <cellStyle name="20% - Accent2 7 3 3 2 2" xfId="15360"/>
    <cellStyle name="20% - Accent2 7 3 3 2 3" xfId="23306"/>
    <cellStyle name="20% - Accent2 7 3 3 3" xfId="11822"/>
    <cellStyle name="20% - Accent2 7 3 3 4" xfId="19777"/>
    <cellStyle name="20% - Accent2 7 3 4" xfId="5617"/>
    <cellStyle name="20% - Accent2 7 3 4 2" xfId="13601"/>
    <cellStyle name="20% - Accent2 7 3 4 3" xfId="21549"/>
    <cellStyle name="20% - Accent2 7 3 5" xfId="9170"/>
    <cellStyle name="20% - Accent2 7 3 5 2" xfId="17128"/>
    <cellStyle name="20% - Accent2 7 3 5 3" xfId="25072"/>
    <cellStyle name="20% - Accent2 7 3 6" xfId="10066"/>
    <cellStyle name="20% - Accent2 7 3 7" xfId="18021"/>
    <cellStyle name="20% - Accent2 7 3_Exh G" xfId="2164"/>
    <cellStyle name="20% - Accent2 7 4" xfId="883"/>
    <cellStyle name="20% - Accent2 7 4 2" xfId="1816"/>
    <cellStyle name="20% - Accent2 7 4 2 2" xfId="5334"/>
    <cellStyle name="20% - Accent2 7 4 2 2 2" xfId="8925"/>
    <cellStyle name="20% - Accent2 7 4 2 2 2 2" xfId="16896"/>
    <cellStyle name="20% - Accent2 7 4 2 2 2 3" xfId="24842"/>
    <cellStyle name="20% - Accent2 7 4 2 2 3" xfId="13358"/>
    <cellStyle name="20% - Accent2 7 4 2 2 4" xfId="21313"/>
    <cellStyle name="20% - Accent2 7 4 2 3" xfId="7166"/>
    <cellStyle name="20% - Accent2 7 4 2 3 2" xfId="15138"/>
    <cellStyle name="20% - Accent2 7 4 2 3 3" xfId="23085"/>
    <cellStyle name="20% - Accent2 7 4 2 4" xfId="11602"/>
    <cellStyle name="20% - Accent2 7 4 2 5" xfId="19557"/>
    <cellStyle name="20% - Accent2 7 4 2_Exh G" xfId="2167"/>
    <cellStyle name="20% - Accent2 7 4 3" xfId="4455"/>
    <cellStyle name="20% - Accent2 7 4 3 2" xfId="8047"/>
    <cellStyle name="20% - Accent2 7 4 3 2 2" xfId="16018"/>
    <cellStyle name="20% - Accent2 7 4 3 2 3" xfId="23964"/>
    <cellStyle name="20% - Accent2 7 4 3 3" xfId="12480"/>
    <cellStyle name="20% - Accent2 7 4 3 4" xfId="20435"/>
    <cellStyle name="20% - Accent2 7 4 4" xfId="6285"/>
    <cellStyle name="20% - Accent2 7 4 4 2" xfId="14260"/>
    <cellStyle name="20% - Accent2 7 4 4 3" xfId="22207"/>
    <cellStyle name="20% - Accent2 7 4 5" xfId="9828"/>
    <cellStyle name="20% - Accent2 7 4 5 2" xfId="17786"/>
    <cellStyle name="20% - Accent2 7 4 5 3" xfId="25730"/>
    <cellStyle name="20% - Accent2 7 4 6" xfId="10724"/>
    <cellStyle name="20% - Accent2 7 4 7" xfId="18679"/>
    <cellStyle name="20% - Accent2 7 4_Exh G" xfId="2166"/>
    <cellStyle name="20% - Accent2 7 5" xfId="1143"/>
    <cellStyle name="20% - Accent2 7 5 2" xfId="4673"/>
    <cellStyle name="20% - Accent2 7 5 2 2" xfId="8264"/>
    <cellStyle name="20% - Accent2 7 5 2 2 2" xfId="16235"/>
    <cellStyle name="20% - Accent2 7 5 2 2 3" xfId="24181"/>
    <cellStyle name="20% - Accent2 7 5 2 3" xfId="12697"/>
    <cellStyle name="20% - Accent2 7 5 2 4" xfId="20652"/>
    <cellStyle name="20% - Accent2 7 5 3" xfId="6505"/>
    <cellStyle name="20% - Accent2 7 5 3 2" xfId="14477"/>
    <cellStyle name="20% - Accent2 7 5 3 3" xfId="22424"/>
    <cellStyle name="20% - Accent2 7 5 4" xfId="10941"/>
    <cellStyle name="20% - Accent2 7 5 5" xfId="18896"/>
    <cellStyle name="20% - Accent2 7 5_Exh G" xfId="2168"/>
    <cellStyle name="20% - Accent2 7 6" xfId="3794"/>
    <cellStyle name="20% - Accent2 7 6 2" xfId="7386"/>
    <cellStyle name="20% - Accent2 7 6 2 2" xfId="15357"/>
    <cellStyle name="20% - Accent2 7 6 2 3" xfId="23303"/>
    <cellStyle name="20% - Accent2 7 6 3" xfId="11819"/>
    <cellStyle name="20% - Accent2 7 6 4" xfId="19774"/>
    <cellStyle name="20% - Accent2 7 7" xfId="5614"/>
    <cellStyle name="20% - Accent2 7 7 2" xfId="13598"/>
    <cellStyle name="20% - Accent2 7 7 3" xfId="21546"/>
    <cellStyle name="20% - Accent2 7 8" xfId="9167"/>
    <cellStyle name="20% - Accent2 7 8 2" xfId="17125"/>
    <cellStyle name="20% - Accent2 7 8 3" xfId="25069"/>
    <cellStyle name="20% - Accent2 7 9" xfId="10063"/>
    <cellStyle name="20% - Accent2 7_Exh G" xfId="2159"/>
    <cellStyle name="20% - Accent2 8" xfId="119"/>
    <cellStyle name="20% - Accent2 8 10" xfId="18022"/>
    <cellStyle name="20% - Accent2 8 2" xfId="120"/>
    <cellStyle name="20% - Accent2 8 2 2" xfId="121"/>
    <cellStyle name="20% - Accent2 8 2 2 2" xfId="1149"/>
    <cellStyle name="20% - Accent2 8 2 2 2 2" xfId="4679"/>
    <cellStyle name="20% - Accent2 8 2 2 2 2 2" xfId="8270"/>
    <cellStyle name="20% - Accent2 8 2 2 2 2 2 2" xfId="16241"/>
    <cellStyle name="20% - Accent2 8 2 2 2 2 2 3" xfId="24187"/>
    <cellStyle name="20% - Accent2 8 2 2 2 2 3" xfId="12703"/>
    <cellStyle name="20% - Accent2 8 2 2 2 2 4" xfId="20658"/>
    <cellStyle name="20% - Accent2 8 2 2 2 3" xfId="6511"/>
    <cellStyle name="20% - Accent2 8 2 2 2 3 2" xfId="14483"/>
    <cellStyle name="20% - Accent2 8 2 2 2 3 3" xfId="22430"/>
    <cellStyle name="20% - Accent2 8 2 2 2 4" xfId="10947"/>
    <cellStyle name="20% - Accent2 8 2 2 2 5" xfId="18902"/>
    <cellStyle name="20% - Accent2 8 2 2 2_Exh G" xfId="2172"/>
    <cellStyle name="20% - Accent2 8 2 2 3" xfId="3800"/>
    <cellStyle name="20% - Accent2 8 2 2 3 2" xfId="7392"/>
    <cellStyle name="20% - Accent2 8 2 2 3 2 2" xfId="15363"/>
    <cellStyle name="20% - Accent2 8 2 2 3 2 3" xfId="23309"/>
    <cellStyle name="20% - Accent2 8 2 2 3 3" xfId="11825"/>
    <cellStyle name="20% - Accent2 8 2 2 3 4" xfId="19780"/>
    <cellStyle name="20% - Accent2 8 2 2 4" xfId="5620"/>
    <cellStyle name="20% - Accent2 8 2 2 4 2" xfId="13604"/>
    <cellStyle name="20% - Accent2 8 2 2 4 3" xfId="21552"/>
    <cellStyle name="20% - Accent2 8 2 2 5" xfId="9173"/>
    <cellStyle name="20% - Accent2 8 2 2 5 2" xfId="17131"/>
    <cellStyle name="20% - Accent2 8 2 2 5 3" xfId="25075"/>
    <cellStyle name="20% - Accent2 8 2 2 6" xfId="10069"/>
    <cellStyle name="20% - Accent2 8 2 2 7" xfId="18024"/>
    <cellStyle name="20% - Accent2 8 2 2_Exh G" xfId="2171"/>
    <cellStyle name="20% - Accent2 8 2 3" xfId="1148"/>
    <cellStyle name="20% - Accent2 8 2 3 2" xfId="4678"/>
    <cellStyle name="20% - Accent2 8 2 3 2 2" xfId="8269"/>
    <cellStyle name="20% - Accent2 8 2 3 2 2 2" xfId="16240"/>
    <cellStyle name="20% - Accent2 8 2 3 2 2 3" xfId="24186"/>
    <cellStyle name="20% - Accent2 8 2 3 2 3" xfId="12702"/>
    <cellStyle name="20% - Accent2 8 2 3 2 4" xfId="20657"/>
    <cellStyle name="20% - Accent2 8 2 3 3" xfId="6510"/>
    <cellStyle name="20% - Accent2 8 2 3 3 2" xfId="14482"/>
    <cellStyle name="20% - Accent2 8 2 3 3 3" xfId="22429"/>
    <cellStyle name="20% - Accent2 8 2 3 4" xfId="10946"/>
    <cellStyle name="20% - Accent2 8 2 3 5" xfId="18901"/>
    <cellStyle name="20% - Accent2 8 2 3_Exh G" xfId="2173"/>
    <cellStyle name="20% - Accent2 8 2 4" xfId="3799"/>
    <cellStyle name="20% - Accent2 8 2 4 2" xfId="7391"/>
    <cellStyle name="20% - Accent2 8 2 4 2 2" xfId="15362"/>
    <cellStyle name="20% - Accent2 8 2 4 2 3" xfId="23308"/>
    <cellStyle name="20% - Accent2 8 2 4 3" xfId="11824"/>
    <cellStyle name="20% - Accent2 8 2 4 4" xfId="19779"/>
    <cellStyle name="20% - Accent2 8 2 5" xfId="5619"/>
    <cellStyle name="20% - Accent2 8 2 5 2" xfId="13603"/>
    <cellStyle name="20% - Accent2 8 2 5 3" xfId="21551"/>
    <cellStyle name="20% - Accent2 8 2 6" xfId="9172"/>
    <cellStyle name="20% - Accent2 8 2 6 2" xfId="17130"/>
    <cellStyle name="20% - Accent2 8 2 6 3" xfId="25074"/>
    <cellStyle name="20% - Accent2 8 2 7" xfId="10068"/>
    <cellStyle name="20% - Accent2 8 2 8" xfId="18023"/>
    <cellStyle name="20% - Accent2 8 2_Exh G" xfId="2170"/>
    <cellStyle name="20% - Accent2 8 3" xfId="122"/>
    <cellStyle name="20% - Accent2 8 3 2" xfId="1150"/>
    <cellStyle name="20% - Accent2 8 3 2 2" xfId="4680"/>
    <cellStyle name="20% - Accent2 8 3 2 2 2" xfId="8271"/>
    <cellStyle name="20% - Accent2 8 3 2 2 2 2" xfId="16242"/>
    <cellStyle name="20% - Accent2 8 3 2 2 2 3" xfId="24188"/>
    <cellStyle name="20% - Accent2 8 3 2 2 3" xfId="12704"/>
    <cellStyle name="20% - Accent2 8 3 2 2 4" xfId="20659"/>
    <cellStyle name="20% - Accent2 8 3 2 3" xfId="6512"/>
    <cellStyle name="20% - Accent2 8 3 2 3 2" xfId="14484"/>
    <cellStyle name="20% - Accent2 8 3 2 3 3" xfId="22431"/>
    <cellStyle name="20% - Accent2 8 3 2 4" xfId="10948"/>
    <cellStyle name="20% - Accent2 8 3 2 5" xfId="18903"/>
    <cellStyle name="20% - Accent2 8 3 2_Exh G" xfId="2175"/>
    <cellStyle name="20% - Accent2 8 3 3" xfId="3801"/>
    <cellStyle name="20% - Accent2 8 3 3 2" xfId="7393"/>
    <cellStyle name="20% - Accent2 8 3 3 2 2" xfId="15364"/>
    <cellStyle name="20% - Accent2 8 3 3 2 3" xfId="23310"/>
    <cellStyle name="20% - Accent2 8 3 3 3" xfId="11826"/>
    <cellStyle name="20% - Accent2 8 3 3 4" xfId="19781"/>
    <cellStyle name="20% - Accent2 8 3 4" xfId="5621"/>
    <cellStyle name="20% - Accent2 8 3 4 2" xfId="13605"/>
    <cellStyle name="20% - Accent2 8 3 4 3" xfId="21553"/>
    <cellStyle name="20% - Accent2 8 3 5" xfId="9174"/>
    <cellStyle name="20% - Accent2 8 3 5 2" xfId="17132"/>
    <cellStyle name="20% - Accent2 8 3 5 3" xfId="25076"/>
    <cellStyle name="20% - Accent2 8 3 6" xfId="10070"/>
    <cellStyle name="20% - Accent2 8 3 7" xfId="18025"/>
    <cellStyle name="20% - Accent2 8 3_Exh G" xfId="2174"/>
    <cellStyle name="20% - Accent2 8 4" xfId="884"/>
    <cellStyle name="20% - Accent2 8 4 2" xfId="1817"/>
    <cellStyle name="20% - Accent2 8 4 2 2" xfId="5335"/>
    <cellStyle name="20% - Accent2 8 4 2 2 2" xfId="8926"/>
    <cellStyle name="20% - Accent2 8 4 2 2 2 2" xfId="16897"/>
    <cellStyle name="20% - Accent2 8 4 2 2 2 3" xfId="24843"/>
    <cellStyle name="20% - Accent2 8 4 2 2 3" xfId="13359"/>
    <cellStyle name="20% - Accent2 8 4 2 2 4" xfId="21314"/>
    <cellStyle name="20% - Accent2 8 4 2 3" xfId="7167"/>
    <cellStyle name="20% - Accent2 8 4 2 3 2" xfId="15139"/>
    <cellStyle name="20% - Accent2 8 4 2 3 3" xfId="23086"/>
    <cellStyle name="20% - Accent2 8 4 2 4" xfId="11603"/>
    <cellStyle name="20% - Accent2 8 4 2 5" xfId="19558"/>
    <cellStyle name="20% - Accent2 8 4 2_Exh G" xfId="2177"/>
    <cellStyle name="20% - Accent2 8 4 3" xfId="4456"/>
    <cellStyle name="20% - Accent2 8 4 3 2" xfId="8048"/>
    <cellStyle name="20% - Accent2 8 4 3 2 2" xfId="16019"/>
    <cellStyle name="20% - Accent2 8 4 3 2 3" xfId="23965"/>
    <cellStyle name="20% - Accent2 8 4 3 3" xfId="12481"/>
    <cellStyle name="20% - Accent2 8 4 3 4" xfId="20436"/>
    <cellStyle name="20% - Accent2 8 4 4" xfId="6286"/>
    <cellStyle name="20% - Accent2 8 4 4 2" xfId="14261"/>
    <cellStyle name="20% - Accent2 8 4 4 3" xfId="22208"/>
    <cellStyle name="20% - Accent2 8 4 5" xfId="9829"/>
    <cellStyle name="20% - Accent2 8 4 5 2" xfId="17787"/>
    <cellStyle name="20% - Accent2 8 4 5 3" xfId="25731"/>
    <cellStyle name="20% - Accent2 8 4 6" xfId="10725"/>
    <cellStyle name="20% - Accent2 8 4 7" xfId="18680"/>
    <cellStyle name="20% - Accent2 8 4_Exh G" xfId="2176"/>
    <cellStyle name="20% - Accent2 8 5" xfId="1147"/>
    <cellStyle name="20% - Accent2 8 5 2" xfId="4677"/>
    <cellStyle name="20% - Accent2 8 5 2 2" xfId="8268"/>
    <cellStyle name="20% - Accent2 8 5 2 2 2" xfId="16239"/>
    <cellStyle name="20% - Accent2 8 5 2 2 3" xfId="24185"/>
    <cellStyle name="20% - Accent2 8 5 2 3" xfId="12701"/>
    <cellStyle name="20% - Accent2 8 5 2 4" xfId="20656"/>
    <cellStyle name="20% - Accent2 8 5 3" xfId="6509"/>
    <cellStyle name="20% - Accent2 8 5 3 2" xfId="14481"/>
    <cellStyle name="20% - Accent2 8 5 3 3" xfId="22428"/>
    <cellStyle name="20% - Accent2 8 5 4" xfId="10945"/>
    <cellStyle name="20% - Accent2 8 5 5" xfId="18900"/>
    <cellStyle name="20% - Accent2 8 5_Exh G" xfId="2178"/>
    <cellStyle name="20% - Accent2 8 6" xfId="3798"/>
    <cellStyle name="20% - Accent2 8 6 2" xfId="7390"/>
    <cellStyle name="20% - Accent2 8 6 2 2" xfId="15361"/>
    <cellStyle name="20% - Accent2 8 6 2 3" xfId="23307"/>
    <cellStyle name="20% - Accent2 8 6 3" xfId="11823"/>
    <cellStyle name="20% - Accent2 8 6 4" xfId="19778"/>
    <cellStyle name="20% - Accent2 8 7" xfId="5618"/>
    <cellStyle name="20% - Accent2 8 7 2" xfId="13602"/>
    <cellStyle name="20% - Accent2 8 7 3" xfId="21550"/>
    <cellStyle name="20% - Accent2 8 8" xfId="9171"/>
    <cellStyle name="20% - Accent2 8 8 2" xfId="17129"/>
    <cellStyle name="20% - Accent2 8 8 3" xfId="25073"/>
    <cellStyle name="20% - Accent2 8 9" xfId="10067"/>
    <cellStyle name="20% - Accent2 8_Exh G" xfId="2169"/>
    <cellStyle name="20% - Accent2 9" xfId="123"/>
    <cellStyle name="20% - Accent2 9 10" xfId="18026"/>
    <cellStyle name="20% - Accent2 9 2" xfId="124"/>
    <cellStyle name="20% - Accent2 9 2 2" xfId="125"/>
    <cellStyle name="20% - Accent2 9 2 2 2" xfId="1153"/>
    <cellStyle name="20% - Accent2 9 2 2 2 2" xfId="4683"/>
    <cellStyle name="20% - Accent2 9 2 2 2 2 2" xfId="8274"/>
    <cellStyle name="20% - Accent2 9 2 2 2 2 2 2" xfId="16245"/>
    <cellStyle name="20% - Accent2 9 2 2 2 2 2 3" xfId="24191"/>
    <cellStyle name="20% - Accent2 9 2 2 2 2 3" xfId="12707"/>
    <cellStyle name="20% - Accent2 9 2 2 2 2 4" xfId="20662"/>
    <cellStyle name="20% - Accent2 9 2 2 2 3" xfId="6515"/>
    <cellStyle name="20% - Accent2 9 2 2 2 3 2" xfId="14487"/>
    <cellStyle name="20% - Accent2 9 2 2 2 3 3" xfId="22434"/>
    <cellStyle name="20% - Accent2 9 2 2 2 4" xfId="10951"/>
    <cellStyle name="20% - Accent2 9 2 2 2 5" xfId="18906"/>
    <cellStyle name="20% - Accent2 9 2 2 2_Exh G" xfId="2182"/>
    <cellStyle name="20% - Accent2 9 2 2 3" xfId="3804"/>
    <cellStyle name="20% - Accent2 9 2 2 3 2" xfId="7396"/>
    <cellStyle name="20% - Accent2 9 2 2 3 2 2" xfId="15367"/>
    <cellStyle name="20% - Accent2 9 2 2 3 2 3" xfId="23313"/>
    <cellStyle name="20% - Accent2 9 2 2 3 3" xfId="11829"/>
    <cellStyle name="20% - Accent2 9 2 2 3 4" xfId="19784"/>
    <cellStyle name="20% - Accent2 9 2 2 4" xfId="5624"/>
    <cellStyle name="20% - Accent2 9 2 2 4 2" xfId="13608"/>
    <cellStyle name="20% - Accent2 9 2 2 4 3" xfId="21556"/>
    <cellStyle name="20% - Accent2 9 2 2 5" xfId="9177"/>
    <cellStyle name="20% - Accent2 9 2 2 5 2" xfId="17135"/>
    <cellStyle name="20% - Accent2 9 2 2 5 3" xfId="25079"/>
    <cellStyle name="20% - Accent2 9 2 2 6" xfId="10073"/>
    <cellStyle name="20% - Accent2 9 2 2 7" xfId="18028"/>
    <cellStyle name="20% - Accent2 9 2 2_Exh G" xfId="2181"/>
    <cellStyle name="20% - Accent2 9 2 3" xfId="1152"/>
    <cellStyle name="20% - Accent2 9 2 3 2" xfId="4682"/>
    <cellStyle name="20% - Accent2 9 2 3 2 2" xfId="8273"/>
    <cellStyle name="20% - Accent2 9 2 3 2 2 2" xfId="16244"/>
    <cellStyle name="20% - Accent2 9 2 3 2 2 3" xfId="24190"/>
    <cellStyle name="20% - Accent2 9 2 3 2 3" xfId="12706"/>
    <cellStyle name="20% - Accent2 9 2 3 2 4" xfId="20661"/>
    <cellStyle name="20% - Accent2 9 2 3 3" xfId="6514"/>
    <cellStyle name="20% - Accent2 9 2 3 3 2" xfId="14486"/>
    <cellStyle name="20% - Accent2 9 2 3 3 3" xfId="22433"/>
    <cellStyle name="20% - Accent2 9 2 3 4" xfId="10950"/>
    <cellStyle name="20% - Accent2 9 2 3 5" xfId="18905"/>
    <cellStyle name="20% - Accent2 9 2 3_Exh G" xfId="2183"/>
    <cellStyle name="20% - Accent2 9 2 4" xfId="3803"/>
    <cellStyle name="20% - Accent2 9 2 4 2" xfId="7395"/>
    <cellStyle name="20% - Accent2 9 2 4 2 2" xfId="15366"/>
    <cellStyle name="20% - Accent2 9 2 4 2 3" xfId="23312"/>
    <cellStyle name="20% - Accent2 9 2 4 3" xfId="11828"/>
    <cellStyle name="20% - Accent2 9 2 4 4" xfId="19783"/>
    <cellStyle name="20% - Accent2 9 2 5" xfId="5623"/>
    <cellStyle name="20% - Accent2 9 2 5 2" xfId="13607"/>
    <cellStyle name="20% - Accent2 9 2 5 3" xfId="21555"/>
    <cellStyle name="20% - Accent2 9 2 6" xfId="9176"/>
    <cellStyle name="20% - Accent2 9 2 6 2" xfId="17134"/>
    <cellStyle name="20% - Accent2 9 2 6 3" xfId="25078"/>
    <cellStyle name="20% - Accent2 9 2 7" xfId="10072"/>
    <cellStyle name="20% - Accent2 9 2 8" xfId="18027"/>
    <cellStyle name="20% - Accent2 9 2_Exh G" xfId="2180"/>
    <cellStyle name="20% - Accent2 9 3" xfId="126"/>
    <cellStyle name="20% - Accent2 9 3 2" xfId="1154"/>
    <cellStyle name="20% - Accent2 9 3 2 2" xfId="4684"/>
    <cellStyle name="20% - Accent2 9 3 2 2 2" xfId="8275"/>
    <cellStyle name="20% - Accent2 9 3 2 2 2 2" xfId="16246"/>
    <cellStyle name="20% - Accent2 9 3 2 2 2 3" xfId="24192"/>
    <cellStyle name="20% - Accent2 9 3 2 2 3" xfId="12708"/>
    <cellStyle name="20% - Accent2 9 3 2 2 4" xfId="20663"/>
    <cellStyle name="20% - Accent2 9 3 2 3" xfId="6516"/>
    <cellStyle name="20% - Accent2 9 3 2 3 2" xfId="14488"/>
    <cellStyle name="20% - Accent2 9 3 2 3 3" xfId="22435"/>
    <cellStyle name="20% - Accent2 9 3 2 4" xfId="10952"/>
    <cellStyle name="20% - Accent2 9 3 2 5" xfId="18907"/>
    <cellStyle name="20% - Accent2 9 3 2_Exh G" xfId="2185"/>
    <cellStyle name="20% - Accent2 9 3 3" xfId="3805"/>
    <cellStyle name="20% - Accent2 9 3 3 2" xfId="7397"/>
    <cellStyle name="20% - Accent2 9 3 3 2 2" xfId="15368"/>
    <cellStyle name="20% - Accent2 9 3 3 2 3" xfId="23314"/>
    <cellStyle name="20% - Accent2 9 3 3 3" xfId="11830"/>
    <cellStyle name="20% - Accent2 9 3 3 4" xfId="19785"/>
    <cellStyle name="20% - Accent2 9 3 4" xfId="5625"/>
    <cellStyle name="20% - Accent2 9 3 4 2" xfId="13609"/>
    <cellStyle name="20% - Accent2 9 3 4 3" xfId="21557"/>
    <cellStyle name="20% - Accent2 9 3 5" xfId="9178"/>
    <cellStyle name="20% - Accent2 9 3 5 2" xfId="17136"/>
    <cellStyle name="20% - Accent2 9 3 5 3" xfId="25080"/>
    <cellStyle name="20% - Accent2 9 3 6" xfId="10074"/>
    <cellStyle name="20% - Accent2 9 3 7" xfId="18029"/>
    <cellStyle name="20% - Accent2 9 3_Exh G" xfId="2184"/>
    <cellStyle name="20% - Accent2 9 4" xfId="885"/>
    <cellStyle name="20% - Accent2 9 4 2" xfId="1818"/>
    <cellStyle name="20% - Accent2 9 4 2 2" xfId="5336"/>
    <cellStyle name="20% - Accent2 9 4 2 2 2" xfId="8927"/>
    <cellStyle name="20% - Accent2 9 4 2 2 2 2" xfId="16898"/>
    <cellStyle name="20% - Accent2 9 4 2 2 2 3" xfId="24844"/>
    <cellStyle name="20% - Accent2 9 4 2 2 3" xfId="13360"/>
    <cellStyle name="20% - Accent2 9 4 2 2 4" xfId="21315"/>
    <cellStyle name="20% - Accent2 9 4 2 3" xfId="7168"/>
    <cellStyle name="20% - Accent2 9 4 2 3 2" xfId="15140"/>
    <cellStyle name="20% - Accent2 9 4 2 3 3" xfId="23087"/>
    <cellStyle name="20% - Accent2 9 4 2 4" xfId="11604"/>
    <cellStyle name="20% - Accent2 9 4 2 5" xfId="19559"/>
    <cellStyle name="20% - Accent2 9 4 2_Exh G" xfId="2187"/>
    <cellStyle name="20% - Accent2 9 4 3" xfId="4457"/>
    <cellStyle name="20% - Accent2 9 4 3 2" xfId="8049"/>
    <cellStyle name="20% - Accent2 9 4 3 2 2" xfId="16020"/>
    <cellStyle name="20% - Accent2 9 4 3 2 3" xfId="23966"/>
    <cellStyle name="20% - Accent2 9 4 3 3" xfId="12482"/>
    <cellStyle name="20% - Accent2 9 4 3 4" xfId="20437"/>
    <cellStyle name="20% - Accent2 9 4 4" xfId="6287"/>
    <cellStyle name="20% - Accent2 9 4 4 2" xfId="14262"/>
    <cellStyle name="20% - Accent2 9 4 4 3" xfId="22209"/>
    <cellStyle name="20% - Accent2 9 4 5" xfId="9830"/>
    <cellStyle name="20% - Accent2 9 4 5 2" xfId="17788"/>
    <cellStyle name="20% - Accent2 9 4 5 3" xfId="25732"/>
    <cellStyle name="20% - Accent2 9 4 6" xfId="10726"/>
    <cellStyle name="20% - Accent2 9 4 7" xfId="18681"/>
    <cellStyle name="20% - Accent2 9 4_Exh G" xfId="2186"/>
    <cellStyle name="20% - Accent2 9 5" xfId="1151"/>
    <cellStyle name="20% - Accent2 9 5 2" xfId="4681"/>
    <cellStyle name="20% - Accent2 9 5 2 2" xfId="8272"/>
    <cellStyle name="20% - Accent2 9 5 2 2 2" xfId="16243"/>
    <cellStyle name="20% - Accent2 9 5 2 2 3" xfId="24189"/>
    <cellStyle name="20% - Accent2 9 5 2 3" xfId="12705"/>
    <cellStyle name="20% - Accent2 9 5 2 4" xfId="20660"/>
    <cellStyle name="20% - Accent2 9 5 3" xfId="6513"/>
    <cellStyle name="20% - Accent2 9 5 3 2" xfId="14485"/>
    <cellStyle name="20% - Accent2 9 5 3 3" xfId="22432"/>
    <cellStyle name="20% - Accent2 9 5 4" xfId="10949"/>
    <cellStyle name="20% - Accent2 9 5 5" xfId="18904"/>
    <cellStyle name="20% - Accent2 9 5_Exh G" xfId="2188"/>
    <cellStyle name="20% - Accent2 9 6" xfId="3802"/>
    <cellStyle name="20% - Accent2 9 6 2" xfId="7394"/>
    <cellStyle name="20% - Accent2 9 6 2 2" xfId="15365"/>
    <cellStyle name="20% - Accent2 9 6 2 3" xfId="23311"/>
    <cellStyle name="20% - Accent2 9 6 3" xfId="11827"/>
    <cellStyle name="20% - Accent2 9 6 4" xfId="19782"/>
    <cellStyle name="20% - Accent2 9 7" xfId="5622"/>
    <cellStyle name="20% - Accent2 9 7 2" xfId="13606"/>
    <cellStyle name="20% - Accent2 9 7 3" xfId="21554"/>
    <cellStyle name="20% - Accent2 9 8" xfId="9175"/>
    <cellStyle name="20% - Accent2 9 8 2" xfId="17133"/>
    <cellStyle name="20% - Accent2 9 8 3" xfId="25077"/>
    <cellStyle name="20% - Accent2 9 9" xfId="10071"/>
    <cellStyle name="20% - Accent2 9_Exh G" xfId="2179"/>
    <cellStyle name="20% - Accent3 10" xfId="127"/>
    <cellStyle name="20% - Accent3 10 10" xfId="18030"/>
    <cellStyle name="20% - Accent3 10 2" xfId="128"/>
    <cellStyle name="20% - Accent3 10 2 2" xfId="129"/>
    <cellStyle name="20% - Accent3 10 2 2 2" xfId="1157"/>
    <cellStyle name="20% - Accent3 10 2 2 2 2" xfId="4687"/>
    <cellStyle name="20% - Accent3 10 2 2 2 2 2" xfId="8278"/>
    <cellStyle name="20% - Accent3 10 2 2 2 2 2 2" xfId="16249"/>
    <cellStyle name="20% - Accent3 10 2 2 2 2 2 3" xfId="24195"/>
    <cellStyle name="20% - Accent3 10 2 2 2 2 3" xfId="12711"/>
    <cellStyle name="20% - Accent3 10 2 2 2 2 4" xfId="20666"/>
    <cellStyle name="20% - Accent3 10 2 2 2 3" xfId="6519"/>
    <cellStyle name="20% - Accent3 10 2 2 2 3 2" xfId="14491"/>
    <cellStyle name="20% - Accent3 10 2 2 2 3 3" xfId="22438"/>
    <cellStyle name="20% - Accent3 10 2 2 2 4" xfId="10955"/>
    <cellStyle name="20% - Accent3 10 2 2 2 5" xfId="18910"/>
    <cellStyle name="20% - Accent3 10 2 2 2_Exh G" xfId="2192"/>
    <cellStyle name="20% - Accent3 10 2 2 3" xfId="3808"/>
    <cellStyle name="20% - Accent3 10 2 2 3 2" xfId="7400"/>
    <cellStyle name="20% - Accent3 10 2 2 3 2 2" xfId="15371"/>
    <cellStyle name="20% - Accent3 10 2 2 3 2 3" xfId="23317"/>
    <cellStyle name="20% - Accent3 10 2 2 3 3" xfId="11833"/>
    <cellStyle name="20% - Accent3 10 2 2 3 4" xfId="19788"/>
    <cellStyle name="20% - Accent3 10 2 2 4" xfId="5628"/>
    <cellStyle name="20% - Accent3 10 2 2 4 2" xfId="13612"/>
    <cellStyle name="20% - Accent3 10 2 2 4 3" xfId="21560"/>
    <cellStyle name="20% - Accent3 10 2 2 5" xfId="9181"/>
    <cellStyle name="20% - Accent3 10 2 2 5 2" xfId="17139"/>
    <cellStyle name="20% - Accent3 10 2 2 5 3" xfId="25083"/>
    <cellStyle name="20% - Accent3 10 2 2 6" xfId="10077"/>
    <cellStyle name="20% - Accent3 10 2 2 7" xfId="18032"/>
    <cellStyle name="20% - Accent3 10 2 2_Exh G" xfId="2191"/>
    <cellStyle name="20% - Accent3 10 2 3" xfId="1156"/>
    <cellStyle name="20% - Accent3 10 2 3 2" xfId="4686"/>
    <cellStyle name="20% - Accent3 10 2 3 2 2" xfId="8277"/>
    <cellStyle name="20% - Accent3 10 2 3 2 2 2" xfId="16248"/>
    <cellStyle name="20% - Accent3 10 2 3 2 2 3" xfId="24194"/>
    <cellStyle name="20% - Accent3 10 2 3 2 3" xfId="12710"/>
    <cellStyle name="20% - Accent3 10 2 3 2 4" xfId="20665"/>
    <cellStyle name="20% - Accent3 10 2 3 3" xfId="6518"/>
    <cellStyle name="20% - Accent3 10 2 3 3 2" xfId="14490"/>
    <cellStyle name="20% - Accent3 10 2 3 3 3" xfId="22437"/>
    <cellStyle name="20% - Accent3 10 2 3 4" xfId="10954"/>
    <cellStyle name="20% - Accent3 10 2 3 5" xfId="18909"/>
    <cellStyle name="20% - Accent3 10 2 3_Exh G" xfId="2193"/>
    <cellStyle name="20% - Accent3 10 2 4" xfId="3807"/>
    <cellStyle name="20% - Accent3 10 2 4 2" xfId="7399"/>
    <cellStyle name="20% - Accent3 10 2 4 2 2" xfId="15370"/>
    <cellStyle name="20% - Accent3 10 2 4 2 3" xfId="23316"/>
    <cellStyle name="20% - Accent3 10 2 4 3" xfId="11832"/>
    <cellStyle name="20% - Accent3 10 2 4 4" xfId="19787"/>
    <cellStyle name="20% - Accent3 10 2 5" xfId="5627"/>
    <cellStyle name="20% - Accent3 10 2 5 2" xfId="13611"/>
    <cellStyle name="20% - Accent3 10 2 5 3" xfId="21559"/>
    <cellStyle name="20% - Accent3 10 2 6" xfId="9180"/>
    <cellStyle name="20% - Accent3 10 2 6 2" xfId="17138"/>
    <cellStyle name="20% - Accent3 10 2 6 3" xfId="25082"/>
    <cellStyle name="20% - Accent3 10 2 7" xfId="10076"/>
    <cellStyle name="20% - Accent3 10 2 8" xfId="18031"/>
    <cellStyle name="20% - Accent3 10 2_Exh G" xfId="2190"/>
    <cellStyle name="20% - Accent3 10 3" xfId="130"/>
    <cellStyle name="20% - Accent3 10 3 2" xfId="1158"/>
    <cellStyle name="20% - Accent3 10 3 2 2" xfId="4688"/>
    <cellStyle name="20% - Accent3 10 3 2 2 2" xfId="8279"/>
    <cellStyle name="20% - Accent3 10 3 2 2 2 2" xfId="16250"/>
    <cellStyle name="20% - Accent3 10 3 2 2 2 3" xfId="24196"/>
    <cellStyle name="20% - Accent3 10 3 2 2 3" xfId="12712"/>
    <cellStyle name="20% - Accent3 10 3 2 2 4" xfId="20667"/>
    <cellStyle name="20% - Accent3 10 3 2 3" xfId="6520"/>
    <cellStyle name="20% - Accent3 10 3 2 3 2" xfId="14492"/>
    <cellStyle name="20% - Accent3 10 3 2 3 3" xfId="22439"/>
    <cellStyle name="20% - Accent3 10 3 2 4" xfId="10956"/>
    <cellStyle name="20% - Accent3 10 3 2 5" xfId="18911"/>
    <cellStyle name="20% - Accent3 10 3 2_Exh G" xfId="2195"/>
    <cellStyle name="20% - Accent3 10 3 3" xfId="3809"/>
    <cellStyle name="20% - Accent3 10 3 3 2" xfId="7401"/>
    <cellStyle name="20% - Accent3 10 3 3 2 2" xfId="15372"/>
    <cellStyle name="20% - Accent3 10 3 3 2 3" xfId="23318"/>
    <cellStyle name="20% - Accent3 10 3 3 3" xfId="11834"/>
    <cellStyle name="20% - Accent3 10 3 3 4" xfId="19789"/>
    <cellStyle name="20% - Accent3 10 3 4" xfId="5629"/>
    <cellStyle name="20% - Accent3 10 3 4 2" xfId="13613"/>
    <cellStyle name="20% - Accent3 10 3 4 3" xfId="21561"/>
    <cellStyle name="20% - Accent3 10 3 5" xfId="9182"/>
    <cellStyle name="20% - Accent3 10 3 5 2" xfId="17140"/>
    <cellStyle name="20% - Accent3 10 3 5 3" xfId="25084"/>
    <cellStyle name="20% - Accent3 10 3 6" xfId="10078"/>
    <cellStyle name="20% - Accent3 10 3 7" xfId="18033"/>
    <cellStyle name="20% - Accent3 10 3_Exh G" xfId="2194"/>
    <cellStyle name="20% - Accent3 10 4" xfId="886"/>
    <cellStyle name="20% - Accent3 10 5" xfId="1155"/>
    <cellStyle name="20% - Accent3 10 5 2" xfId="4685"/>
    <cellStyle name="20% - Accent3 10 5 2 2" xfId="8276"/>
    <cellStyle name="20% - Accent3 10 5 2 2 2" xfId="16247"/>
    <cellStyle name="20% - Accent3 10 5 2 2 3" xfId="24193"/>
    <cellStyle name="20% - Accent3 10 5 2 3" xfId="12709"/>
    <cellStyle name="20% - Accent3 10 5 2 4" xfId="20664"/>
    <cellStyle name="20% - Accent3 10 5 3" xfId="6517"/>
    <cellStyle name="20% - Accent3 10 5 3 2" xfId="14489"/>
    <cellStyle name="20% - Accent3 10 5 3 3" xfId="22436"/>
    <cellStyle name="20% - Accent3 10 5 4" xfId="10953"/>
    <cellStyle name="20% - Accent3 10 5 5" xfId="18908"/>
    <cellStyle name="20% - Accent3 10 5_Exh G" xfId="2196"/>
    <cellStyle name="20% - Accent3 10 6" xfId="3806"/>
    <cellStyle name="20% - Accent3 10 6 2" xfId="7398"/>
    <cellStyle name="20% - Accent3 10 6 2 2" xfId="15369"/>
    <cellStyle name="20% - Accent3 10 6 2 3" xfId="23315"/>
    <cellStyle name="20% - Accent3 10 6 3" xfId="11831"/>
    <cellStyle name="20% - Accent3 10 6 4" xfId="19786"/>
    <cellStyle name="20% - Accent3 10 7" xfId="5626"/>
    <cellStyle name="20% - Accent3 10 7 2" xfId="13610"/>
    <cellStyle name="20% - Accent3 10 7 3" xfId="21558"/>
    <cellStyle name="20% - Accent3 10 8" xfId="9179"/>
    <cellStyle name="20% - Accent3 10 8 2" xfId="17137"/>
    <cellStyle name="20% - Accent3 10 8 3" xfId="25081"/>
    <cellStyle name="20% - Accent3 10 9" xfId="10075"/>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 2 2" xfId="8282"/>
    <cellStyle name="20% - Accent3 11 2 2 2 2 2 2" xfId="16253"/>
    <cellStyle name="20% - Accent3 11 2 2 2 2 2 3" xfId="24199"/>
    <cellStyle name="20% - Accent3 11 2 2 2 2 3" xfId="12715"/>
    <cellStyle name="20% - Accent3 11 2 2 2 2 4" xfId="20670"/>
    <cellStyle name="20% - Accent3 11 2 2 2 3" xfId="6523"/>
    <cellStyle name="20% - Accent3 11 2 2 2 3 2" xfId="14495"/>
    <cellStyle name="20% - Accent3 11 2 2 2 3 3" xfId="22442"/>
    <cellStyle name="20% - Accent3 11 2 2 2 4" xfId="10959"/>
    <cellStyle name="20% - Accent3 11 2 2 2 5" xfId="18914"/>
    <cellStyle name="20% - Accent3 11 2 2 2_Exh G" xfId="2200"/>
    <cellStyle name="20% - Accent3 11 2 2 3" xfId="3812"/>
    <cellStyle name="20% - Accent3 11 2 2 3 2" xfId="7404"/>
    <cellStyle name="20% - Accent3 11 2 2 3 2 2" xfId="15375"/>
    <cellStyle name="20% - Accent3 11 2 2 3 2 3" xfId="23321"/>
    <cellStyle name="20% - Accent3 11 2 2 3 3" xfId="11837"/>
    <cellStyle name="20% - Accent3 11 2 2 3 4" xfId="19792"/>
    <cellStyle name="20% - Accent3 11 2 2 4" xfId="5632"/>
    <cellStyle name="20% - Accent3 11 2 2 4 2" xfId="13616"/>
    <cellStyle name="20% - Accent3 11 2 2 4 3" xfId="21564"/>
    <cellStyle name="20% - Accent3 11 2 2 5" xfId="9185"/>
    <cellStyle name="20% - Accent3 11 2 2 5 2" xfId="17143"/>
    <cellStyle name="20% - Accent3 11 2 2 5 3" xfId="25087"/>
    <cellStyle name="20% - Accent3 11 2 2 6" xfId="10081"/>
    <cellStyle name="20% - Accent3 11 2 2 7" xfId="18036"/>
    <cellStyle name="20% - Accent3 11 2 2_Exh G" xfId="2199"/>
    <cellStyle name="20% - Accent3 11 2 3" xfId="1160"/>
    <cellStyle name="20% - Accent3 11 2 3 2" xfId="4690"/>
    <cellStyle name="20% - Accent3 11 2 3 2 2" xfId="8281"/>
    <cellStyle name="20% - Accent3 11 2 3 2 2 2" xfId="16252"/>
    <cellStyle name="20% - Accent3 11 2 3 2 2 3" xfId="24198"/>
    <cellStyle name="20% - Accent3 11 2 3 2 3" xfId="12714"/>
    <cellStyle name="20% - Accent3 11 2 3 2 4" xfId="20669"/>
    <cellStyle name="20% - Accent3 11 2 3 3" xfId="6522"/>
    <cellStyle name="20% - Accent3 11 2 3 3 2" xfId="14494"/>
    <cellStyle name="20% - Accent3 11 2 3 3 3" xfId="22441"/>
    <cellStyle name="20% - Accent3 11 2 3 4" xfId="10958"/>
    <cellStyle name="20% - Accent3 11 2 3 5" xfId="18913"/>
    <cellStyle name="20% - Accent3 11 2 3_Exh G" xfId="2201"/>
    <cellStyle name="20% - Accent3 11 2 4" xfId="3811"/>
    <cellStyle name="20% - Accent3 11 2 4 2" xfId="7403"/>
    <cellStyle name="20% - Accent3 11 2 4 2 2" xfId="15374"/>
    <cellStyle name="20% - Accent3 11 2 4 2 3" xfId="23320"/>
    <cellStyle name="20% - Accent3 11 2 4 3" xfId="11836"/>
    <cellStyle name="20% - Accent3 11 2 4 4" xfId="19791"/>
    <cellStyle name="20% - Accent3 11 2 5" xfId="5631"/>
    <cellStyle name="20% - Accent3 11 2 5 2" xfId="13615"/>
    <cellStyle name="20% - Accent3 11 2 5 3" xfId="21563"/>
    <cellStyle name="20% - Accent3 11 2 6" xfId="9184"/>
    <cellStyle name="20% - Accent3 11 2 6 2" xfId="17142"/>
    <cellStyle name="20% - Accent3 11 2 6 3" xfId="25086"/>
    <cellStyle name="20% - Accent3 11 2 7" xfId="10080"/>
    <cellStyle name="20% - Accent3 11 2 8" xfId="18035"/>
    <cellStyle name="20% - Accent3 11 2_Exh G" xfId="2198"/>
    <cellStyle name="20% - Accent3 11 3" xfId="134"/>
    <cellStyle name="20% - Accent3 11 3 2" xfId="1162"/>
    <cellStyle name="20% - Accent3 11 3 2 2" xfId="4692"/>
    <cellStyle name="20% - Accent3 11 3 2 2 2" xfId="8283"/>
    <cellStyle name="20% - Accent3 11 3 2 2 2 2" xfId="16254"/>
    <cellStyle name="20% - Accent3 11 3 2 2 2 3" xfId="24200"/>
    <cellStyle name="20% - Accent3 11 3 2 2 3" xfId="12716"/>
    <cellStyle name="20% - Accent3 11 3 2 2 4" xfId="20671"/>
    <cellStyle name="20% - Accent3 11 3 2 3" xfId="6524"/>
    <cellStyle name="20% - Accent3 11 3 2 3 2" xfId="14496"/>
    <cellStyle name="20% - Accent3 11 3 2 3 3" xfId="22443"/>
    <cellStyle name="20% - Accent3 11 3 2 4" xfId="10960"/>
    <cellStyle name="20% - Accent3 11 3 2 5" xfId="18915"/>
    <cellStyle name="20% - Accent3 11 3 2_Exh G" xfId="2203"/>
    <cellStyle name="20% - Accent3 11 3 3" xfId="3813"/>
    <cellStyle name="20% - Accent3 11 3 3 2" xfId="7405"/>
    <cellStyle name="20% - Accent3 11 3 3 2 2" xfId="15376"/>
    <cellStyle name="20% - Accent3 11 3 3 2 3" xfId="23322"/>
    <cellStyle name="20% - Accent3 11 3 3 3" xfId="11838"/>
    <cellStyle name="20% - Accent3 11 3 3 4" xfId="19793"/>
    <cellStyle name="20% - Accent3 11 3 4" xfId="5633"/>
    <cellStyle name="20% - Accent3 11 3 4 2" xfId="13617"/>
    <cellStyle name="20% - Accent3 11 3 4 3" xfId="21565"/>
    <cellStyle name="20% - Accent3 11 3 5" xfId="9186"/>
    <cellStyle name="20% - Accent3 11 3 5 2" xfId="17144"/>
    <cellStyle name="20% - Accent3 11 3 5 3" xfId="25088"/>
    <cellStyle name="20% - Accent3 11 3 6" xfId="10082"/>
    <cellStyle name="20% - Accent3 11 3 7" xfId="18037"/>
    <cellStyle name="20% - Accent3 11 3_Exh G" xfId="2202"/>
    <cellStyle name="20% - Accent3 11 4" xfId="1159"/>
    <cellStyle name="20% - Accent3 11 4 2" xfId="4689"/>
    <cellStyle name="20% - Accent3 11 4 2 2" xfId="8280"/>
    <cellStyle name="20% - Accent3 11 4 2 2 2" xfId="16251"/>
    <cellStyle name="20% - Accent3 11 4 2 2 3" xfId="24197"/>
    <cellStyle name="20% - Accent3 11 4 2 3" xfId="12713"/>
    <cellStyle name="20% - Accent3 11 4 2 4" xfId="20668"/>
    <cellStyle name="20% - Accent3 11 4 3" xfId="6521"/>
    <cellStyle name="20% - Accent3 11 4 3 2" xfId="14493"/>
    <cellStyle name="20% - Accent3 11 4 3 3" xfId="22440"/>
    <cellStyle name="20% - Accent3 11 4 4" xfId="10957"/>
    <cellStyle name="20% - Accent3 11 4 5" xfId="18912"/>
    <cellStyle name="20% - Accent3 11 4_Exh G" xfId="2204"/>
    <cellStyle name="20% - Accent3 11 5" xfId="3810"/>
    <cellStyle name="20% - Accent3 11 5 2" xfId="7402"/>
    <cellStyle name="20% - Accent3 11 5 2 2" xfId="15373"/>
    <cellStyle name="20% - Accent3 11 5 2 3" xfId="23319"/>
    <cellStyle name="20% - Accent3 11 5 3" xfId="11835"/>
    <cellStyle name="20% - Accent3 11 5 4" xfId="19790"/>
    <cellStyle name="20% - Accent3 11 6" xfId="5630"/>
    <cellStyle name="20% - Accent3 11 6 2" xfId="13614"/>
    <cellStyle name="20% - Accent3 11 6 3" xfId="21562"/>
    <cellStyle name="20% - Accent3 11 7" xfId="9183"/>
    <cellStyle name="20% - Accent3 11 7 2" xfId="17141"/>
    <cellStyle name="20% - Accent3 11 7 3" xfId="25085"/>
    <cellStyle name="20% - Accent3 11 8" xfId="10079"/>
    <cellStyle name="20% - Accent3 11 9" xfId="18034"/>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 2 2" xfId="8286"/>
    <cellStyle name="20% - Accent3 12 2 2 2 2 2 2" xfId="16257"/>
    <cellStyle name="20% - Accent3 12 2 2 2 2 2 3" xfId="24203"/>
    <cellStyle name="20% - Accent3 12 2 2 2 2 3" xfId="12719"/>
    <cellStyle name="20% - Accent3 12 2 2 2 2 4" xfId="20674"/>
    <cellStyle name="20% - Accent3 12 2 2 2 3" xfId="6527"/>
    <cellStyle name="20% - Accent3 12 2 2 2 3 2" xfId="14499"/>
    <cellStyle name="20% - Accent3 12 2 2 2 3 3" xfId="22446"/>
    <cellStyle name="20% - Accent3 12 2 2 2 4" xfId="10963"/>
    <cellStyle name="20% - Accent3 12 2 2 2 5" xfId="18918"/>
    <cellStyle name="20% - Accent3 12 2 2 2_Exh G" xfId="2208"/>
    <cellStyle name="20% - Accent3 12 2 2 3" xfId="3816"/>
    <cellStyle name="20% - Accent3 12 2 2 3 2" xfId="7408"/>
    <cellStyle name="20% - Accent3 12 2 2 3 2 2" xfId="15379"/>
    <cellStyle name="20% - Accent3 12 2 2 3 2 3" xfId="23325"/>
    <cellStyle name="20% - Accent3 12 2 2 3 3" xfId="11841"/>
    <cellStyle name="20% - Accent3 12 2 2 3 4" xfId="19796"/>
    <cellStyle name="20% - Accent3 12 2 2 4" xfId="5636"/>
    <cellStyle name="20% - Accent3 12 2 2 4 2" xfId="13620"/>
    <cellStyle name="20% - Accent3 12 2 2 4 3" xfId="21568"/>
    <cellStyle name="20% - Accent3 12 2 2 5" xfId="9189"/>
    <cellStyle name="20% - Accent3 12 2 2 5 2" xfId="17147"/>
    <cellStyle name="20% - Accent3 12 2 2 5 3" xfId="25091"/>
    <cellStyle name="20% - Accent3 12 2 2 6" xfId="10085"/>
    <cellStyle name="20% - Accent3 12 2 2 7" xfId="18040"/>
    <cellStyle name="20% - Accent3 12 2 2_Exh G" xfId="2207"/>
    <cellStyle name="20% - Accent3 12 2 3" xfId="1164"/>
    <cellStyle name="20% - Accent3 12 2 3 2" xfId="4694"/>
    <cellStyle name="20% - Accent3 12 2 3 2 2" xfId="8285"/>
    <cellStyle name="20% - Accent3 12 2 3 2 2 2" xfId="16256"/>
    <cellStyle name="20% - Accent3 12 2 3 2 2 3" xfId="24202"/>
    <cellStyle name="20% - Accent3 12 2 3 2 3" xfId="12718"/>
    <cellStyle name="20% - Accent3 12 2 3 2 4" xfId="20673"/>
    <cellStyle name="20% - Accent3 12 2 3 3" xfId="6526"/>
    <cellStyle name="20% - Accent3 12 2 3 3 2" xfId="14498"/>
    <cellStyle name="20% - Accent3 12 2 3 3 3" xfId="22445"/>
    <cellStyle name="20% - Accent3 12 2 3 4" xfId="10962"/>
    <cellStyle name="20% - Accent3 12 2 3 5" xfId="18917"/>
    <cellStyle name="20% - Accent3 12 2 3_Exh G" xfId="2209"/>
    <cellStyle name="20% - Accent3 12 2 4" xfId="3815"/>
    <cellStyle name="20% - Accent3 12 2 4 2" xfId="7407"/>
    <cellStyle name="20% - Accent3 12 2 4 2 2" xfId="15378"/>
    <cellStyle name="20% - Accent3 12 2 4 2 3" xfId="23324"/>
    <cellStyle name="20% - Accent3 12 2 4 3" xfId="11840"/>
    <cellStyle name="20% - Accent3 12 2 4 4" xfId="19795"/>
    <cellStyle name="20% - Accent3 12 2 5" xfId="5635"/>
    <cellStyle name="20% - Accent3 12 2 5 2" xfId="13619"/>
    <cellStyle name="20% - Accent3 12 2 5 3" xfId="21567"/>
    <cellStyle name="20% - Accent3 12 2 6" xfId="9188"/>
    <cellStyle name="20% - Accent3 12 2 6 2" xfId="17146"/>
    <cellStyle name="20% - Accent3 12 2 6 3" xfId="25090"/>
    <cellStyle name="20% - Accent3 12 2 7" xfId="10084"/>
    <cellStyle name="20% - Accent3 12 2 8" xfId="18039"/>
    <cellStyle name="20% - Accent3 12 2_Exh G" xfId="2206"/>
    <cellStyle name="20% - Accent3 12 3" xfId="138"/>
    <cellStyle name="20% - Accent3 12 3 2" xfId="1166"/>
    <cellStyle name="20% - Accent3 12 3 2 2" xfId="4696"/>
    <cellStyle name="20% - Accent3 12 3 2 2 2" xfId="8287"/>
    <cellStyle name="20% - Accent3 12 3 2 2 2 2" xfId="16258"/>
    <cellStyle name="20% - Accent3 12 3 2 2 2 3" xfId="24204"/>
    <cellStyle name="20% - Accent3 12 3 2 2 3" xfId="12720"/>
    <cellStyle name="20% - Accent3 12 3 2 2 4" xfId="20675"/>
    <cellStyle name="20% - Accent3 12 3 2 3" xfId="6528"/>
    <cellStyle name="20% - Accent3 12 3 2 3 2" xfId="14500"/>
    <cellStyle name="20% - Accent3 12 3 2 3 3" xfId="22447"/>
    <cellStyle name="20% - Accent3 12 3 2 4" xfId="10964"/>
    <cellStyle name="20% - Accent3 12 3 2 5" xfId="18919"/>
    <cellStyle name="20% - Accent3 12 3 2_Exh G" xfId="2211"/>
    <cellStyle name="20% - Accent3 12 3 3" xfId="3817"/>
    <cellStyle name="20% - Accent3 12 3 3 2" xfId="7409"/>
    <cellStyle name="20% - Accent3 12 3 3 2 2" xfId="15380"/>
    <cellStyle name="20% - Accent3 12 3 3 2 3" xfId="23326"/>
    <cellStyle name="20% - Accent3 12 3 3 3" xfId="11842"/>
    <cellStyle name="20% - Accent3 12 3 3 4" xfId="19797"/>
    <cellStyle name="20% - Accent3 12 3 4" xfId="5637"/>
    <cellStyle name="20% - Accent3 12 3 4 2" xfId="13621"/>
    <cellStyle name="20% - Accent3 12 3 4 3" xfId="21569"/>
    <cellStyle name="20% - Accent3 12 3 5" xfId="9190"/>
    <cellStyle name="20% - Accent3 12 3 5 2" xfId="17148"/>
    <cellStyle name="20% - Accent3 12 3 5 3" xfId="25092"/>
    <cellStyle name="20% - Accent3 12 3 6" xfId="10086"/>
    <cellStyle name="20% - Accent3 12 3 7" xfId="18041"/>
    <cellStyle name="20% - Accent3 12 3_Exh G" xfId="2210"/>
    <cellStyle name="20% - Accent3 12 4" xfId="1163"/>
    <cellStyle name="20% - Accent3 12 4 2" xfId="4693"/>
    <cellStyle name="20% - Accent3 12 4 2 2" xfId="8284"/>
    <cellStyle name="20% - Accent3 12 4 2 2 2" xfId="16255"/>
    <cellStyle name="20% - Accent3 12 4 2 2 3" xfId="24201"/>
    <cellStyle name="20% - Accent3 12 4 2 3" xfId="12717"/>
    <cellStyle name="20% - Accent3 12 4 2 4" xfId="20672"/>
    <cellStyle name="20% - Accent3 12 4 3" xfId="6525"/>
    <cellStyle name="20% - Accent3 12 4 3 2" xfId="14497"/>
    <cellStyle name="20% - Accent3 12 4 3 3" xfId="22444"/>
    <cellStyle name="20% - Accent3 12 4 4" xfId="10961"/>
    <cellStyle name="20% - Accent3 12 4 5" xfId="18916"/>
    <cellStyle name="20% - Accent3 12 4_Exh G" xfId="2212"/>
    <cellStyle name="20% - Accent3 12 5" xfId="3814"/>
    <cellStyle name="20% - Accent3 12 5 2" xfId="7406"/>
    <cellStyle name="20% - Accent3 12 5 2 2" xfId="15377"/>
    <cellStyle name="20% - Accent3 12 5 2 3" xfId="23323"/>
    <cellStyle name="20% - Accent3 12 5 3" xfId="11839"/>
    <cellStyle name="20% - Accent3 12 5 4" xfId="19794"/>
    <cellStyle name="20% - Accent3 12 6" xfId="5634"/>
    <cellStyle name="20% - Accent3 12 6 2" xfId="13618"/>
    <cellStyle name="20% - Accent3 12 6 3" xfId="21566"/>
    <cellStyle name="20% - Accent3 12 7" xfId="9187"/>
    <cellStyle name="20% - Accent3 12 7 2" xfId="17145"/>
    <cellStyle name="20% - Accent3 12 7 3" xfId="25089"/>
    <cellStyle name="20% - Accent3 12 8" xfId="10083"/>
    <cellStyle name="20% - Accent3 12 9" xfId="18038"/>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 2 2" xfId="8290"/>
    <cellStyle name="20% - Accent3 13 2 2 2 2 2 2" xfId="16261"/>
    <cellStyle name="20% - Accent3 13 2 2 2 2 2 3" xfId="24207"/>
    <cellStyle name="20% - Accent3 13 2 2 2 2 3" xfId="12723"/>
    <cellStyle name="20% - Accent3 13 2 2 2 2 4" xfId="20678"/>
    <cellStyle name="20% - Accent3 13 2 2 2 3" xfId="6531"/>
    <cellStyle name="20% - Accent3 13 2 2 2 3 2" xfId="14503"/>
    <cellStyle name="20% - Accent3 13 2 2 2 3 3" xfId="22450"/>
    <cellStyle name="20% - Accent3 13 2 2 2 4" xfId="10967"/>
    <cellStyle name="20% - Accent3 13 2 2 2 5" xfId="18922"/>
    <cellStyle name="20% - Accent3 13 2 2 2_Exh G" xfId="2216"/>
    <cellStyle name="20% - Accent3 13 2 2 3" xfId="3820"/>
    <cellStyle name="20% - Accent3 13 2 2 3 2" xfId="7412"/>
    <cellStyle name="20% - Accent3 13 2 2 3 2 2" xfId="15383"/>
    <cellStyle name="20% - Accent3 13 2 2 3 2 3" xfId="23329"/>
    <cellStyle name="20% - Accent3 13 2 2 3 3" xfId="11845"/>
    <cellStyle name="20% - Accent3 13 2 2 3 4" xfId="19800"/>
    <cellStyle name="20% - Accent3 13 2 2 4" xfId="5640"/>
    <cellStyle name="20% - Accent3 13 2 2 4 2" xfId="13624"/>
    <cellStyle name="20% - Accent3 13 2 2 4 3" xfId="21572"/>
    <cellStyle name="20% - Accent3 13 2 2 5" xfId="9193"/>
    <cellStyle name="20% - Accent3 13 2 2 5 2" xfId="17151"/>
    <cellStyle name="20% - Accent3 13 2 2 5 3" xfId="25095"/>
    <cellStyle name="20% - Accent3 13 2 2 6" xfId="10089"/>
    <cellStyle name="20% - Accent3 13 2 2 7" xfId="18044"/>
    <cellStyle name="20% - Accent3 13 2 2_Exh G" xfId="2215"/>
    <cellStyle name="20% - Accent3 13 2 3" xfId="1168"/>
    <cellStyle name="20% - Accent3 13 2 3 2" xfId="4698"/>
    <cellStyle name="20% - Accent3 13 2 3 2 2" xfId="8289"/>
    <cellStyle name="20% - Accent3 13 2 3 2 2 2" xfId="16260"/>
    <cellStyle name="20% - Accent3 13 2 3 2 2 3" xfId="24206"/>
    <cellStyle name="20% - Accent3 13 2 3 2 3" xfId="12722"/>
    <cellStyle name="20% - Accent3 13 2 3 2 4" xfId="20677"/>
    <cellStyle name="20% - Accent3 13 2 3 3" xfId="6530"/>
    <cellStyle name="20% - Accent3 13 2 3 3 2" xfId="14502"/>
    <cellStyle name="20% - Accent3 13 2 3 3 3" xfId="22449"/>
    <cellStyle name="20% - Accent3 13 2 3 4" xfId="10966"/>
    <cellStyle name="20% - Accent3 13 2 3 5" xfId="18921"/>
    <cellStyle name="20% - Accent3 13 2 3_Exh G" xfId="2217"/>
    <cellStyle name="20% - Accent3 13 2 4" xfId="3819"/>
    <cellStyle name="20% - Accent3 13 2 4 2" xfId="7411"/>
    <cellStyle name="20% - Accent3 13 2 4 2 2" xfId="15382"/>
    <cellStyle name="20% - Accent3 13 2 4 2 3" xfId="23328"/>
    <cellStyle name="20% - Accent3 13 2 4 3" xfId="11844"/>
    <cellStyle name="20% - Accent3 13 2 4 4" xfId="19799"/>
    <cellStyle name="20% - Accent3 13 2 5" xfId="5639"/>
    <cellStyle name="20% - Accent3 13 2 5 2" xfId="13623"/>
    <cellStyle name="20% - Accent3 13 2 5 3" xfId="21571"/>
    <cellStyle name="20% - Accent3 13 2 6" xfId="9192"/>
    <cellStyle name="20% - Accent3 13 2 6 2" xfId="17150"/>
    <cellStyle name="20% - Accent3 13 2 6 3" xfId="25094"/>
    <cellStyle name="20% - Accent3 13 2 7" xfId="10088"/>
    <cellStyle name="20% - Accent3 13 2 8" xfId="18043"/>
    <cellStyle name="20% - Accent3 13 2_Exh G" xfId="2214"/>
    <cellStyle name="20% - Accent3 13 3" xfId="142"/>
    <cellStyle name="20% - Accent3 13 3 2" xfId="1170"/>
    <cellStyle name="20% - Accent3 13 3 2 2" xfId="4700"/>
    <cellStyle name="20% - Accent3 13 3 2 2 2" xfId="8291"/>
    <cellStyle name="20% - Accent3 13 3 2 2 2 2" xfId="16262"/>
    <cellStyle name="20% - Accent3 13 3 2 2 2 3" xfId="24208"/>
    <cellStyle name="20% - Accent3 13 3 2 2 3" xfId="12724"/>
    <cellStyle name="20% - Accent3 13 3 2 2 4" xfId="20679"/>
    <cellStyle name="20% - Accent3 13 3 2 3" xfId="6532"/>
    <cellStyle name="20% - Accent3 13 3 2 3 2" xfId="14504"/>
    <cellStyle name="20% - Accent3 13 3 2 3 3" xfId="22451"/>
    <cellStyle name="20% - Accent3 13 3 2 4" xfId="10968"/>
    <cellStyle name="20% - Accent3 13 3 2 5" xfId="18923"/>
    <cellStyle name="20% - Accent3 13 3 2_Exh G" xfId="2219"/>
    <cellStyle name="20% - Accent3 13 3 3" xfId="3821"/>
    <cellStyle name="20% - Accent3 13 3 3 2" xfId="7413"/>
    <cellStyle name="20% - Accent3 13 3 3 2 2" xfId="15384"/>
    <cellStyle name="20% - Accent3 13 3 3 2 3" xfId="23330"/>
    <cellStyle name="20% - Accent3 13 3 3 3" xfId="11846"/>
    <cellStyle name="20% - Accent3 13 3 3 4" xfId="19801"/>
    <cellStyle name="20% - Accent3 13 3 4" xfId="5641"/>
    <cellStyle name="20% - Accent3 13 3 4 2" xfId="13625"/>
    <cellStyle name="20% - Accent3 13 3 4 3" xfId="21573"/>
    <cellStyle name="20% - Accent3 13 3 5" xfId="9194"/>
    <cellStyle name="20% - Accent3 13 3 5 2" xfId="17152"/>
    <cellStyle name="20% - Accent3 13 3 5 3" xfId="25096"/>
    <cellStyle name="20% - Accent3 13 3 6" xfId="10090"/>
    <cellStyle name="20% - Accent3 13 3 7" xfId="18045"/>
    <cellStyle name="20% - Accent3 13 3_Exh G" xfId="2218"/>
    <cellStyle name="20% - Accent3 13 4" xfId="1167"/>
    <cellStyle name="20% - Accent3 13 4 2" xfId="4697"/>
    <cellStyle name="20% - Accent3 13 4 2 2" xfId="8288"/>
    <cellStyle name="20% - Accent3 13 4 2 2 2" xfId="16259"/>
    <cellStyle name="20% - Accent3 13 4 2 2 3" xfId="24205"/>
    <cellStyle name="20% - Accent3 13 4 2 3" xfId="12721"/>
    <cellStyle name="20% - Accent3 13 4 2 4" xfId="20676"/>
    <cellStyle name="20% - Accent3 13 4 3" xfId="6529"/>
    <cellStyle name="20% - Accent3 13 4 3 2" xfId="14501"/>
    <cellStyle name="20% - Accent3 13 4 3 3" xfId="22448"/>
    <cellStyle name="20% - Accent3 13 4 4" xfId="10965"/>
    <cellStyle name="20% - Accent3 13 4 5" xfId="18920"/>
    <cellStyle name="20% - Accent3 13 4_Exh G" xfId="2220"/>
    <cellStyle name="20% - Accent3 13 5" xfId="3818"/>
    <cellStyle name="20% - Accent3 13 5 2" xfId="7410"/>
    <cellStyle name="20% - Accent3 13 5 2 2" xfId="15381"/>
    <cellStyle name="20% - Accent3 13 5 2 3" xfId="23327"/>
    <cellStyle name="20% - Accent3 13 5 3" xfId="11843"/>
    <cellStyle name="20% - Accent3 13 5 4" xfId="19798"/>
    <cellStyle name="20% - Accent3 13 6" xfId="5638"/>
    <cellStyle name="20% - Accent3 13 6 2" xfId="13622"/>
    <cellStyle name="20% - Accent3 13 6 3" xfId="21570"/>
    <cellStyle name="20% - Accent3 13 7" xfId="9191"/>
    <cellStyle name="20% - Accent3 13 7 2" xfId="17149"/>
    <cellStyle name="20% - Accent3 13 7 3" xfId="25093"/>
    <cellStyle name="20% - Accent3 13 8" xfId="10087"/>
    <cellStyle name="20% - Accent3 13 9" xfId="18042"/>
    <cellStyle name="20% - Accent3 13_Exh G" xfId="2213"/>
    <cellStyle name="20% - Accent3 14" xfId="143"/>
    <cellStyle name="20% - Accent3 14 2" xfId="144"/>
    <cellStyle name="20% - Accent3 14 2 2" xfId="1172"/>
    <cellStyle name="20% - Accent3 14 2 2 2" xfId="4702"/>
    <cellStyle name="20% - Accent3 14 2 2 2 2" xfId="8293"/>
    <cellStyle name="20% - Accent3 14 2 2 2 2 2" xfId="16264"/>
    <cellStyle name="20% - Accent3 14 2 2 2 2 3" xfId="24210"/>
    <cellStyle name="20% - Accent3 14 2 2 2 3" xfId="12726"/>
    <cellStyle name="20% - Accent3 14 2 2 2 4" xfId="20681"/>
    <cellStyle name="20% - Accent3 14 2 2 3" xfId="6534"/>
    <cellStyle name="20% - Accent3 14 2 2 3 2" xfId="14506"/>
    <cellStyle name="20% - Accent3 14 2 2 3 3" xfId="22453"/>
    <cellStyle name="20% - Accent3 14 2 2 4" xfId="10970"/>
    <cellStyle name="20% - Accent3 14 2 2 5" xfId="18925"/>
    <cellStyle name="20% - Accent3 14 2 2_Exh G" xfId="2223"/>
    <cellStyle name="20% - Accent3 14 2 3" xfId="3823"/>
    <cellStyle name="20% - Accent3 14 2 3 2" xfId="7415"/>
    <cellStyle name="20% - Accent3 14 2 3 2 2" xfId="15386"/>
    <cellStyle name="20% - Accent3 14 2 3 2 3" xfId="23332"/>
    <cellStyle name="20% - Accent3 14 2 3 3" xfId="11848"/>
    <cellStyle name="20% - Accent3 14 2 3 4" xfId="19803"/>
    <cellStyle name="20% - Accent3 14 2 4" xfId="5643"/>
    <cellStyle name="20% - Accent3 14 2 4 2" xfId="13627"/>
    <cellStyle name="20% - Accent3 14 2 4 3" xfId="21575"/>
    <cellStyle name="20% - Accent3 14 2 5" xfId="9196"/>
    <cellStyle name="20% - Accent3 14 2 5 2" xfId="17154"/>
    <cellStyle name="20% - Accent3 14 2 5 3" xfId="25098"/>
    <cellStyle name="20% - Accent3 14 2 6" xfId="10092"/>
    <cellStyle name="20% - Accent3 14 2 7" xfId="18047"/>
    <cellStyle name="20% - Accent3 14 2_Exh G" xfId="2222"/>
    <cellStyle name="20% - Accent3 14 3" xfId="1171"/>
    <cellStyle name="20% - Accent3 14 3 2" xfId="4701"/>
    <cellStyle name="20% - Accent3 14 3 2 2" xfId="8292"/>
    <cellStyle name="20% - Accent3 14 3 2 2 2" xfId="16263"/>
    <cellStyle name="20% - Accent3 14 3 2 2 3" xfId="24209"/>
    <cellStyle name="20% - Accent3 14 3 2 3" xfId="12725"/>
    <cellStyle name="20% - Accent3 14 3 2 4" xfId="20680"/>
    <cellStyle name="20% - Accent3 14 3 3" xfId="6533"/>
    <cellStyle name="20% - Accent3 14 3 3 2" xfId="14505"/>
    <cellStyle name="20% - Accent3 14 3 3 3" xfId="22452"/>
    <cellStyle name="20% - Accent3 14 3 4" xfId="10969"/>
    <cellStyle name="20% - Accent3 14 3 5" xfId="18924"/>
    <cellStyle name="20% - Accent3 14 3_Exh G" xfId="2224"/>
    <cellStyle name="20% - Accent3 14 4" xfId="3822"/>
    <cellStyle name="20% - Accent3 14 4 2" xfId="7414"/>
    <cellStyle name="20% - Accent3 14 4 2 2" xfId="15385"/>
    <cellStyle name="20% - Accent3 14 4 2 3" xfId="23331"/>
    <cellStyle name="20% - Accent3 14 4 3" xfId="11847"/>
    <cellStyle name="20% - Accent3 14 4 4" xfId="19802"/>
    <cellStyle name="20% - Accent3 14 5" xfId="5642"/>
    <cellStyle name="20% - Accent3 14 5 2" xfId="13626"/>
    <cellStyle name="20% - Accent3 14 5 3" xfId="21574"/>
    <cellStyle name="20% - Accent3 14 6" xfId="9195"/>
    <cellStyle name="20% - Accent3 14 6 2" xfId="17153"/>
    <cellStyle name="20% - Accent3 14 6 3" xfId="25097"/>
    <cellStyle name="20% - Accent3 14 7" xfId="10091"/>
    <cellStyle name="20% - Accent3 14 8" xfId="18046"/>
    <cellStyle name="20% - Accent3 14_Exh G" xfId="2221"/>
    <cellStyle name="20% - Accent3 15" xfId="145"/>
    <cellStyle name="20% - Accent3 15 2" xfId="1173"/>
    <cellStyle name="20% - Accent3 15 2 2" xfId="4703"/>
    <cellStyle name="20% - Accent3 15 2 2 2" xfId="8294"/>
    <cellStyle name="20% - Accent3 15 2 2 2 2" xfId="16265"/>
    <cellStyle name="20% - Accent3 15 2 2 2 3" xfId="24211"/>
    <cellStyle name="20% - Accent3 15 2 2 3" xfId="12727"/>
    <cellStyle name="20% - Accent3 15 2 2 4" xfId="20682"/>
    <cellStyle name="20% - Accent3 15 2 3" xfId="6535"/>
    <cellStyle name="20% - Accent3 15 2 3 2" xfId="14507"/>
    <cellStyle name="20% - Accent3 15 2 3 3" xfId="22454"/>
    <cellStyle name="20% - Accent3 15 2 4" xfId="10971"/>
    <cellStyle name="20% - Accent3 15 2 5" xfId="18926"/>
    <cellStyle name="20% - Accent3 15 2_Exh G" xfId="2226"/>
    <cellStyle name="20% - Accent3 15 3" xfId="3824"/>
    <cellStyle name="20% - Accent3 15 3 2" xfId="7416"/>
    <cellStyle name="20% - Accent3 15 3 2 2" xfId="15387"/>
    <cellStyle name="20% - Accent3 15 3 2 3" xfId="23333"/>
    <cellStyle name="20% - Accent3 15 3 3" xfId="11849"/>
    <cellStyle name="20% - Accent3 15 3 4" xfId="19804"/>
    <cellStyle name="20% - Accent3 15 4" xfId="5644"/>
    <cellStyle name="20% - Accent3 15 4 2" xfId="13628"/>
    <cellStyle name="20% - Accent3 15 4 3" xfId="21576"/>
    <cellStyle name="20% - Accent3 15 5" xfId="9197"/>
    <cellStyle name="20% - Accent3 15 5 2" xfId="17155"/>
    <cellStyle name="20% - Accent3 15 5 3" xfId="25099"/>
    <cellStyle name="20% - Accent3 15 6" xfId="10093"/>
    <cellStyle name="20% - Accent3 15 7" xfId="18048"/>
    <cellStyle name="20% - Accent3 15_Exh G" xfId="2225"/>
    <cellStyle name="20% - Accent3 16" xfId="845"/>
    <cellStyle name="20% - Accent3 16 2" xfId="1784"/>
    <cellStyle name="20% - Accent3 16 2 2" xfId="5305"/>
    <cellStyle name="20% - Accent3 16 2 2 2" xfId="8896"/>
    <cellStyle name="20% - Accent3 16 2 2 2 2" xfId="16867"/>
    <cellStyle name="20% - Accent3 16 2 2 2 3" xfId="24813"/>
    <cellStyle name="20% - Accent3 16 2 2 3" xfId="13329"/>
    <cellStyle name="20% - Accent3 16 2 2 4" xfId="21284"/>
    <cellStyle name="20% - Accent3 16 2 3" xfId="7137"/>
    <cellStyle name="20% - Accent3 16 2 3 2" xfId="15109"/>
    <cellStyle name="20% - Accent3 16 2 3 3" xfId="23056"/>
    <cellStyle name="20% - Accent3 16 2 4" xfId="11573"/>
    <cellStyle name="20% - Accent3 16 2 5" xfId="19528"/>
    <cellStyle name="20% - Accent3 16 2_Exh G" xfId="2228"/>
    <cellStyle name="20% - Accent3 16 3" xfId="4426"/>
    <cellStyle name="20% - Accent3 16 3 2" xfId="8018"/>
    <cellStyle name="20% - Accent3 16 3 2 2" xfId="15989"/>
    <cellStyle name="20% - Accent3 16 3 2 3" xfId="23935"/>
    <cellStyle name="20% - Accent3 16 3 3" xfId="12451"/>
    <cellStyle name="20% - Accent3 16 3 4" xfId="20406"/>
    <cellStyle name="20% - Accent3 16 4" xfId="6256"/>
    <cellStyle name="20% - Accent3 16 4 2" xfId="14231"/>
    <cellStyle name="20% - Accent3 16 4 3" xfId="22178"/>
    <cellStyle name="20% - Accent3 16 5" xfId="9799"/>
    <cellStyle name="20% - Accent3 16 5 2" xfId="17757"/>
    <cellStyle name="20% - Accent3 16 5 3" xfId="25701"/>
    <cellStyle name="20% - Accent3 16 6" xfId="10695"/>
    <cellStyle name="20% - Accent3 16 7" xfId="18650"/>
    <cellStyle name="20% - Accent3 16_Exh G" xfId="2227"/>
    <cellStyle name="20% - Accent3 2" xfId="146"/>
    <cellStyle name="20% - Accent3 2 10" xfId="18049"/>
    <cellStyle name="20% - Accent3 2 2" xfId="147"/>
    <cellStyle name="20% - Accent3 2 2 2" xfId="148"/>
    <cellStyle name="20% - Accent3 2 2 2 2" xfId="1176"/>
    <cellStyle name="20% - Accent3 2 2 2 2 2" xfId="4706"/>
    <cellStyle name="20% - Accent3 2 2 2 2 2 2" xfId="8297"/>
    <cellStyle name="20% - Accent3 2 2 2 2 2 2 2" xfId="16268"/>
    <cellStyle name="20% - Accent3 2 2 2 2 2 2 3" xfId="24214"/>
    <cellStyle name="20% - Accent3 2 2 2 2 2 3" xfId="12730"/>
    <cellStyle name="20% - Accent3 2 2 2 2 2 4" xfId="20685"/>
    <cellStyle name="20% - Accent3 2 2 2 2 3" xfId="6538"/>
    <cellStyle name="20% - Accent3 2 2 2 2 3 2" xfId="14510"/>
    <cellStyle name="20% - Accent3 2 2 2 2 3 3" xfId="22457"/>
    <cellStyle name="20% - Accent3 2 2 2 2 4" xfId="10974"/>
    <cellStyle name="20% - Accent3 2 2 2 2 5" xfId="18929"/>
    <cellStyle name="20% - Accent3 2 2 2 2_Exh G" xfId="2232"/>
    <cellStyle name="20% - Accent3 2 2 2 3" xfId="3827"/>
    <cellStyle name="20% - Accent3 2 2 2 3 2" xfId="7419"/>
    <cellStyle name="20% - Accent3 2 2 2 3 2 2" xfId="15390"/>
    <cellStyle name="20% - Accent3 2 2 2 3 2 3" xfId="23336"/>
    <cellStyle name="20% - Accent3 2 2 2 3 3" xfId="11852"/>
    <cellStyle name="20% - Accent3 2 2 2 3 4" xfId="19807"/>
    <cellStyle name="20% - Accent3 2 2 2 4" xfId="5647"/>
    <cellStyle name="20% - Accent3 2 2 2 4 2" xfId="13631"/>
    <cellStyle name="20% - Accent3 2 2 2 4 3" xfId="21579"/>
    <cellStyle name="20% - Accent3 2 2 2 5" xfId="9200"/>
    <cellStyle name="20% - Accent3 2 2 2 5 2" xfId="17158"/>
    <cellStyle name="20% - Accent3 2 2 2 5 3" xfId="25102"/>
    <cellStyle name="20% - Accent3 2 2 2 6" xfId="10096"/>
    <cellStyle name="20% - Accent3 2 2 2 7" xfId="18051"/>
    <cellStyle name="20% - Accent3 2 2 2_Exh G" xfId="2231"/>
    <cellStyle name="20% - Accent3 2 2 3" xfId="888"/>
    <cellStyle name="20% - Accent3 2 2 3 2" xfId="1820"/>
    <cellStyle name="20% - Accent3 2 2 3 2 2" xfId="5338"/>
    <cellStyle name="20% - Accent3 2 2 3 2 2 2" xfId="8929"/>
    <cellStyle name="20% - Accent3 2 2 3 2 2 2 2" xfId="16900"/>
    <cellStyle name="20% - Accent3 2 2 3 2 2 2 3" xfId="24846"/>
    <cellStyle name="20% - Accent3 2 2 3 2 2 3" xfId="13362"/>
    <cellStyle name="20% - Accent3 2 2 3 2 2 4" xfId="21317"/>
    <cellStyle name="20% - Accent3 2 2 3 2 3" xfId="7170"/>
    <cellStyle name="20% - Accent3 2 2 3 2 3 2" xfId="15142"/>
    <cellStyle name="20% - Accent3 2 2 3 2 3 3" xfId="23089"/>
    <cellStyle name="20% - Accent3 2 2 3 2 4" xfId="11606"/>
    <cellStyle name="20% - Accent3 2 2 3 2 5" xfId="19561"/>
    <cellStyle name="20% - Accent3 2 2 3 2_Exh G" xfId="2234"/>
    <cellStyle name="20% - Accent3 2 2 3 3" xfId="4459"/>
    <cellStyle name="20% - Accent3 2 2 3 3 2" xfId="8051"/>
    <cellStyle name="20% - Accent3 2 2 3 3 2 2" xfId="16022"/>
    <cellStyle name="20% - Accent3 2 2 3 3 2 3" xfId="23968"/>
    <cellStyle name="20% - Accent3 2 2 3 3 3" xfId="12484"/>
    <cellStyle name="20% - Accent3 2 2 3 3 4" xfId="20439"/>
    <cellStyle name="20% - Accent3 2 2 3 4" xfId="6289"/>
    <cellStyle name="20% - Accent3 2 2 3 4 2" xfId="14264"/>
    <cellStyle name="20% - Accent3 2 2 3 4 3" xfId="22211"/>
    <cellStyle name="20% - Accent3 2 2 3 5" xfId="9832"/>
    <cellStyle name="20% - Accent3 2 2 3 5 2" xfId="17790"/>
    <cellStyle name="20% - Accent3 2 2 3 5 3" xfId="25734"/>
    <cellStyle name="20% - Accent3 2 2 3 6" xfId="10728"/>
    <cellStyle name="20% - Accent3 2 2 3 7" xfId="18683"/>
    <cellStyle name="20% - Accent3 2 2 3_Exh G" xfId="2233"/>
    <cellStyle name="20% - Accent3 2 2 4" xfId="1175"/>
    <cellStyle name="20% - Accent3 2 2 4 2" xfId="4705"/>
    <cellStyle name="20% - Accent3 2 2 4 2 2" xfId="8296"/>
    <cellStyle name="20% - Accent3 2 2 4 2 2 2" xfId="16267"/>
    <cellStyle name="20% - Accent3 2 2 4 2 2 3" xfId="24213"/>
    <cellStyle name="20% - Accent3 2 2 4 2 3" xfId="12729"/>
    <cellStyle name="20% - Accent3 2 2 4 2 4" xfId="20684"/>
    <cellStyle name="20% - Accent3 2 2 4 3" xfId="6537"/>
    <cellStyle name="20% - Accent3 2 2 4 3 2" xfId="14509"/>
    <cellStyle name="20% - Accent3 2 2 4 3 3" xfId="22456"/>
    <cellStyle name="20% - Accent3 2 2 4 4" xfId="10973"/>
    <cellStyle name="20% - Accent3 2 2 4 5" xfId="18928"/>
    <cellStyle name="20% - Accent3 2 2 4_Exh G" xfId="2235"/>
    <cellStyle name="20% - Accent3 2 2 5" xfId="3826"/>
    <cellStyle name="20% - Accent3 2 2 5 2" xfId="7418"/>
    <cellStyle name="20% - Accent3 2 2 5 2 2" xfId="15389"/>
    <cellStyle name="20% - Accent3 2 2 5 2 3" xfId="23335"/>
    <cellStyle name="20% - Accent3 2 2 5 3" xfId="11851"/>
    <cellStyle name="20% - Accent3 2 2 5 4" xfId="19806"/>
    <cellStyle name="20% - Accent3 2 2 6" xfId="5646"/>
    <cellStyle name="20% - Accent3 2 2 6 2" xfId="13630"/>
    <cellStyle name="20% - Accent3 2 2 6 3" xfId="21578"/>
    <cellStyle name="20% - Accent3 2 2 7" xfId="9199"/>
    <cellStyle name="20% - Accent3 2 2 7 2" xfId="17157"/>
    <cellStyle name="20% - Accent3 2 2 7 3" xfId="25101"/>
    <cellStyle name="20% - Accent3 2 2 8" xfId="10095"/>
    <cellStyle name="20% - Accent3 2 2 9" xfId="18050"/>
    <cellStyle name="20% - Accent3 2 2_Exh G" xfId="2230"/>
    <cellStyle name="20% - Accent3 2 3" xfId="149"/>
    <cellStyle name="20% - Accent3 2 3 2" xfId="1177"/>
    <cellStyle name="20% - Accent3 2 3 2 2" xfId="4707"/>
    <cellStyle name="20% - Accent3 2 3 2 2 2" xfId="8298"/>
    <cellStyle name="20% - Accent3 2 3 2 2 2 2" xfId="16269"/>
    <cellStyle name="20% - Accent3 2 3 2 2 2 3" xfId="24215"/>
    <cellStyle name="20% - Accent3 2 3 2 2 3" xfId="12731"/>
    <cellStyle name="20% - Accent3 2 3 2 2 4" xfId="20686"/>
    <cellStyle name="20% - Accent3 2 3 2 3" xfId="6539"/>
    <cellStyle name="20% - Accent3 2 3 2 3 2" xfId="14511"/>
    <cellStyle name="20% - Accent3 2 3 2 3 3" xfId="22458"/>
    <cellStyle name="20% - Accent3 2 3 2 4" xfId="10975"/>
    <cellStyle name="20% - Accent3 2 3 2 5" xfId="18930"/>
    <cellStyle name="20% - Accent3 2 3 2_Exh G" xfId="2237"/>
    <cellStyle name="20% - Accent3 2 3 3" xfId="3828"/>
    <cellStyle name="20% - Accent3 2 3 3 2" xfId="7420"/>
    <cellStyle name="20% - Accent3 2 3 3 2 2" xfId="15391"/>
    <cellStyle name="20% - Accent3 2 3 3 2 3" xfId="23337"/>
    <cellStyle name="20% - Accent3 2 3 3 3" xfId="11853"/>
    <cellStyle name="20% - Accent3 2 3 3 4" xfId="19808"/>
    <cellStyle name="20% - Accent3 2 3 4" xfId="5648"/>
    <cellStyle name="20% - Accent3 2 3 4 2" xfId="13632"/>
    <cellStyle name="20% - Accent3 2 3 4 3" xfId="21580"/>
    <cellStyle name="20% - Accent3 2 3 5" xfId="9201"/>
    <cellStyle name="20% - Accent3 2 3 5 2" xfId="17159"/>
    <cellStyle name="20% - Accent3 2 3 5 3" xfId="25103"/>
    <cellStyle name="20% - Accent3 2 3 6" xfId="10097"/>
    <cellStyle name="20% - Accent3 2 3 7" xfId="18052"/>
    <cellStyle name="20% - Accent3 2 3_Exh G" xfId="2236"/>
    <cellStyle name="20% - Accent3 2 4" xfId="887"/>
    <cellStyle name="20% - Accent3 2 4 2" xfId="1819"/>
    <cellStyle name="20% - Accent3 2 4 2 2" xfId="5337"/>
    <cellStyle name="20% - Accent3 2 4 2 2 2" xfId="8928"/>
    <cellStyle name="20% - Accent3 2 4 2 2 2 2" xfId="16899"/>
    <cellStyle name="20% - Accent3 2 4 2 2 2 3" xfId="24845"/>
    <cellStyle name="20% - Accent3 2 4 2 2 3" xfId="13361"/>
    <cellStyle name="20% - Accent3 2 4 2 2 4" xfId="21316"/>
    <cellStyle name="20% - Accent3 2 4 2 3" xfId="7169"/>
    <cellStyle name="20% - Accent3 2 4 2 3 2" xfId="15141"/>
    <cellStyle name="20% - Accent3 2 4 2 3 3" xfId="23088"/>
    <cellStyle name="20% - Accent3 2 4 2 4" xfId="11605"/>
    <cellStyle name="20% - Accent3 2 4 2 5" xfId="19560"/>
    <cellStyle name="20% - Accent3 2 4 2_Exh G" xfId="2239"/>
    <cellStyle name="20% - Accent3 2 4 3" xfId="4458"/>
    <cellStyle name="20% - Accent3 2 4 3 2" xfId="8050"/>
    <cellStyle name="20% - Accent3 2 4 3 2 2" xfId="16021"/>
    <cellStyle name="20% - Accent3 2 4 3 2 3" xfId="23967"/>
    <cellStyle name="20% - Accent3 2 4 3 3" xfId="12483"/>
    <cellStyle name="20% - Accent3 2 4 3 4" xfId="20438"/>
    <cellStyle name="20% - Accent3 2 4 4" xfId="6288"/>
    <cellStyle name="20% - Accent3 2 4 4 2" xfId="14263"/>
    <cellStyle name="20% - Accent3 2 4 4 3" xfId="22210"/>
    <cellStyle name="20% - Accent3 2 4 5" xfId="9831"/>
    <cellStyle name="20% - Accent3 2 4 5 2" xfId="17789"/>
    <cellStyle name="20% - Accent3 2 4 5 3" xfId="25733"/>
    <cellStyle name="20% - Accent3 2 4 6" xfId="10727"/>
    <cellStyle name="20% - Accent3 2 4 7" xfId="18682"/>
    <cellStyle name="20% - Accent3 2 4_Exh G" xfId="2238"/>
    <cellStyle name="20% - Accent3 2 5" xfId="1174"/>
    <cellStyle name="20% - Accent3 2 5 2" xfId="4704"/>
    <cellStyle name="20% - Accent3 2 5 2 2" xfId="8295"/>
    <cellStyle name="20% - Accent3 2 5 2 2 2" xfId="16266"/>
    <cellStyle name="20% - Accent3 2 5 2 2 3" xfId="24212"/>
    <cellStyle name="20% - Accent3 2 5 2 3" xfId="12728"/>
    <cellStyle name="20% - Accent3 2 5 2 4" xfId="20683"/>
    <cellStyle name="20% - Accent3 2 5 3" xfId="6536"/>
    <cellStyle name="20% - Accent3 2 5 3 2" xfId="14508"/>
    <cellStyle name="20% - Accent3 2 5 3 3" xfId="22455"/>
    <cellStyle name="20% - Accent3 2 5 4" xfId="10972"/>
    <cellStyle name="20% - Accent3 2 5 5" xfId="18927"/>
    <cellStyle name="20% - Accent3 2 5_Exh G" xfId="2240"/>
    <cellStyle name="20% - Accent3 2 6" xfId="3825"/>
    <cellStyle name="20% - Accent3 2 6 2" xfId="7417"/>
    <cellStyle name="20% - Accent3 2 6 2 2" xfId="15388"/>
    <cellStyle name="20% - Accent3 2 6 2 3" xfId="23334"/>
    <cellStyle name="20% - Accent3 2 6 3" xfId="11850"/>
    <cellStyle name="20% - Accent3 2 6 4" xfId="19805"/>
    <cellStyle name="20% - Accent3 2 7" xfId="5645"/>
    <cellStyle name="20% - Accent3 2 7 2" xfId="13629"/>
    <cellStyle name="20% - Accent3 2 7 3" xfId="21577"/>
    <cellStyle name="20% - Accent3 2 8" xfId="9198"/>
    <cellStyle name="20% - Accent3 2 8 2" xfId="17156"/>
    <cellStyle name="20% - Accent3 2 8 3" xfId="25100"/>
    <cellStyle name="20% - Accent3 2 9" xfId="10094"/>
    <cellStyle name="20% - Accent3 2_Exh G" xfId="2229"/>
    <cellStyle name="20% - Accent3 3" xfId="150"/>
    <cellStyle name="20% - Accent3 3 10" xfId="18053"/>
    <cellStyle name="20% - Accent3 3 2" xfId="151"/>
    <cellStyle name="20% - Accent3 3 2 2" xfId="152"/>
    <cellStyle name="20% - Accent3 3 2 2 2" xfId="1180"/>
    <cellStyle name="20% - Accent3 3 2 2 2 2" xfId="4710"/>
    <cellStyle name="20% - Accent3 3 2 2 2 2 2" xfId="8301"/>
    <cellStyle name="20% - Accent3 3 2 2 2 2 2 2" xfId="16272"/>
    <cellStyle name="20% - Accent3 3 2 2 2 2 2 3" xfId="24218"/>
    <cellStyle name="20% - Accent3 3 2 2 2 2 3" xfId="12734"/>
    <cellStyle name="20% - Accent3 3 2 2 2 2 4" xfId="20689"/>
    <cellStyle name="20% - Accent3 3 2 2 2 3" xfId="6542"/>
    <cellStyle name="20% - Accent3 3 2 2 2 3 2" xfId="14514"/>
    <cellStyle name="20% - Accent3 3 2 2 2 3 3" xfId="22461"/>
    <cellStyle name="20% - Accent3 3 2 2 2 4" xfId="10978"/>
    <cellStyle name="20% - Accent3 3 2 2 2 5" xfId="18933"/>
    <cellStyle name="20% - Accent3 3 2 2 2_Exh G" xfId="2244"/>
    <cellStyle name="20% - Accent3 3 2 2 3" xfId="3831"/>
    <cellStyle name="20% - Accent3 3 2 2 3 2" xfId="7423"/>
    <cellStyle name="20% - Accent3 3 2 2 3 2 2" xfId="15394"/>
    <cellStyle name="20% - Accent3 3 2 2 3 2 3" xfId="23340"/>
    <cellStyle name="20% - Accent3 3 2 2 3 3" xfId="11856"/>
    <cellStyle name="20% - Accent3 3 2 2 3 4" xfId="19811"/>
    <cellStyle name="20% - Accent3 3 2 2 4" xfId="5651"/>
    <cellStyle name="20% - Accent3 3 2 2 4 2" xfId="13635"/>
    <cellStyle name="20% - Accent3 3 2 2 4 3" xfId="21583"/>
    <cellStyle name="20% - Accent3 3 2 2 5" xfId="9204"/>
    <cellStyle name="20% - Accent3 3 2 2 5 2" xfId="17162"/>
    <cellStyle name="20% - Accent3 3 2 2 5 3" xfId="25106"/>
    <cellStyle name="20% - Accent3 3 2 2 6" xfId="10100"/>
    <cellStyle name="20% - Accent3 3 2 2 7" xfId="18055"/>
    <cellStyle name="20% - Accent3 3 2 2_Exh G" xfId="2243"/>
    <cellStyle name="20% - Accent3 3 2 3" xfId="890"/>
    <cellStyle name="20% - Accent3 3 2 3 2" xfId="1822"/>
    <cellStyle name="20% - Accent3 3 2 3 2 2" xfId="5340"/>
    <cellStyle name="20% - Accent3 3 2 3 2 2 2" xfId="8931"/>
    <cellStyle name="20% - Accent3 3 2 3 2 2 2 2" xfId="16902"/>
    <cellStyle name="20% - Accent3 3 2 3 2 2 2 3" xfId="24848"/>
    <cellStyle name="20% - Accent3 3 2 3 2 2 3" xfId="13364"/>
    <cellStyle name="20% - Accent3 3 2 3 2 2 4" xfId="21319"/>
    <cellStyle name="20% - Accent3 3 2 3 2 3" xfId="7172"/>
    <cellStyle name="20% - Accent3 3 2 3 2 3 2" xfId="15144"/>
    <cellStyle name="20% - Accent3 3 2 3 2 3 3" xfId="23091"/>
    <cellStyle name="20% - Accent3 3 2 3 2 4" xfId="11608"/>
    <cellStyle name="20% - Accent3 3 2 3 2 5" xfId="19563"/>
    <cellStyle name="20% - Accent3 3 2 3 2_Exh G" xfId="2246"/>
    <cellStyle name="20% - Accent3 3 2 3 3" xfId="4461"/>
    <cellStyle name="20% - Accent3 3 2 3 3 2" xfId="8053"/>
    <cellStyle name="20% - Accent3 3 2 3 3 2 2" xfId="16024"/>
    <cellStyle name="20% - Accent3 3 2 3 3 2 3" xfId="23970"/>
    <cellStyle name="20% - Accent3 3 2 3 3 3" xfId="12486"/>
    <cellStyle name="20% - Accent3 3 2 3 3 4" xfId="20441"/>
    <cellStyle name="20% - Accent3 3 2 3 4" xfId="6291"/>
    <cellStyle name="20% - Accent3 3 2 3 4 2" xfId="14266"/>
    <cellStyle name="20% - Accent3 3 2 3 4 3" xfId="22213"/>
    <cellStyle name="20% - Accent3 3 2 3 5" xfId="9834"/>
    <cellStyle name="20% - Accent3 3 2 3 5 2" xfId="17792"/>
    <cellStyle name="20% - Accent3 3 2 3 5 3" xfId="25736"/>
    <cellStyle name="20% - Accent3 3 2 3 6" xfId="10730"/>
    <cellStyle name="20% - Accent3 3 2 3 7" xfId="18685"/>
    <cellStyle name="20% - Accent3 3 2 3_Exh G" xfId="2245"/>
    <cellStyle name="20% - Accent3 3 2 4" xfId="1179"/>
    <cellStyle name="20% - Accent3 3 2 4 2" xfId="4709"/>
    <cellStyle name="20% - Accent3 3 2 4 2 2" xfId="8300"/>
    <cellStyle name="20% - Accent3 3 2 4 2 2 2" xfId="16271"/>
    <cellStyle name="20% - Accent3 3 2 4 2 2 3" xfId="24217"/>
    <cellStyle name="20% - Accent3 3 2 4 2 3" xfId="12733"/>
    <cellStyle name="20% - Accent3 3 2 4 2 4" xfId="20688"/>
    <cellStyle name="20% - Accent3 3 2 4 3" xfId="6541"/>
    <cellStyle name="20% - Accent3 3 2 4 3 2" xfId="14513"/>
    <cellStyle name="20% - Accent3 3 2 4 3 3" xfId="22460"/>
    <cellStyle name="20% - Accent3 3 2 4 4" xfId="10977"/>
    <cellStyle name="20% - Accent3 3 2 4 5" xfId="18932"/>
    <cellStyle name="20% - Accent3 3 2 4_Exh G" xfId="2247"/>
    <cellStyle name="20% - Accent3 3 2 5" xfId="3830"/>
    <cellStyle name="20% - Accent3 3 2 5 2" xfId="7422"/>
    <cellStyle name="20% - Accent3 3 2 5 2 2" xfId="15393"/>
    <cellStyle name="20% - Accent3 3 2 5 2 3" xfId="23339"/>
    <cellStyle name="20% - Accent3 3 2 5 3" xfId="11855"/>
    <cellStyle name="20% - Accent3 3 2 5 4" xfId="19810"/>
    <cellStyle name="20% - Accent3 3 2 6" xfId="5650"/>
    <cellStyle name="20% - Accent3 3 2 6 2" xfId="13634"/>
    <cellStyle name="20% - Accent3 3 2 6 3" xfId="21582"/>
    <cellStyle name="20% - Accent3 3 2 7" xfId="9203"/>
    <cellStyle name="20% - Accent3 3 2 7 2" xfId="17161"/>
    <cellStyle name="20% - Accent3 3 2 7 3" xfId="25105"/>
    <cellStyle name="20% - Accent3 3 2 8" xfId="10099"/>
    <cellStyle name="20% - Accent3 3 2 9" xfId="18054"/>
    <cellStyle name="20% - Accent3 3 2_Exh G" xfId="2242"/>
    <cellStyle name="20% - Accent3 3 3" xfId="153"/>
    <cellStyle name="20% - Accent3 3 3 2" xfId="1181"/>
    <cellStyle name="20% - Accent3 3 3 2 2" xfId="4711"/>
    <cellStyle name="20% - Accent3 3 3 2 2 2" xfId="8302"/>
    <cellStyle name="20% - Accent3 3 3 2 2 2 2" xfId="16273"/>
    <cellStyle name="20% - Accent3 3 3 2 2 2 3" xfId="24219"/>
    <cellStyle name="20% - Accent3 3 3 2 2 3" xfId="12735"/>
    <cellStyle name="20% - Accent3 3 3 2 2 4" xfId="20690"/>
    <cellStyle name="20% - Accent3 3 3 2 3" xfId="6543"/>
    <cellStyle name="20% - Accent3 3 3 2 3 2" xfId="14515"/>
    <cellStyle name="20% - Accent3 3 3 2 3 3" xfId="22462"/>
    <cellStyle name="20% - Accent3 3 3 2 4" xfId="10979"/>
    <cellStyle name="20% - Accent3 3 3 2 5" xfId="18934"/>
    <cellStyle name="20% - Accent3 3 3 2_Exh G" xfId="2249"/>
    <cellStyle name="20% - Accent3 3 3 3" xfId="3832"/>
    <cellStyle name="20% - Accent3 3 3 3 2" xfId="7424"/>
    <cellStyle name="20% - Accent3 3 3 3 2 2" xfId="15395"/>
    <cellStyle name="20% - Accent3 3 3 3 2 3" xfId="23341"/>
    <cellStyle name="20% - Accent3 3 3 3 3" xfId="11857"/>
    <cellStyle name="20% - Accent3 3 3 3 4" xfId="19812"/>
    <cellStyle name="20% - Accent3 3 3 4" xfId="5652"/>
    <cellStyle name="20% - Accent3 3 3 4 2" xfId="13636"/>
    <cellStyle name="20% - Accent3 3 3 4 3" xfId="21584"/>
    <cellStyle name="20% - Accent3 3 3 5" xfId="9205"/>
    <cellStyle name="20% - Accent3 3 3 5 2" xfId="17163"/>
    <cellStyle name="20% - Accent3 3 3 5 3" xfId="25107"/>
    <cellStyle name="20% - Accent3 3 3 6" xfId="10101"/>
    <cellStyle name="20% - Accent3 3 3 7" xfId="18056"/>
    <cellStyle name="20% - Accent3 3 3_Exh G" xfId="2248"/>
    <cellStyle name="20% - Accent3 3 4" xfId="889"/>
    <cellStyle name="20% - Accent3 3 4 2" xfId="1821"/>
    <cellStyle name="20% - Accent3 3 4 2 2" xfId="5339"/>
    <cellStyle name="20% - Accent3 3 4 2 2 2" xfId="8930"/>
    <cellStyle name="20% - Accent3 3 4 2 2 2 2" xfId="16901"/>
    <cellStyle name="20% - Accent3 3 4 2 2 2 3" xfId="24847"/>
    <cellStyle name="20% - Accent3 3 4 2 2 3" xfId="13363"/>
    <cellStyle name="20% - Accent3 3 4 2 2 4" xfId="21318"/>
    <cellStyle name="20% - Accent3 3 4 2 3" xfId="7171"/>
    <cellStyle name="20% - Accent3 3 4 2 3 2" xfId="15143"/>
    <cellStyle name="20% - Accent3 3 4 2 3 3" xfId="23090"/>
    <cellStyle name="20% - Accent3 3 4 2 4" xfId="11607"/>
    <cellStyle name="20% - Accent3 3 4 2 5" xfId="19562"/>
    <cellStyle name="20% - Accent3 3 4 2_Exh G" xfId="2251"/>
    <cellStyle name="20% - Accent3 3 4 3" xfId="4460"/>
    <cellStyle name="20% - Accent3 3 4 3 2" xfId="8052"/>
    <cellStyle name="20% - Accent3 3 4 3 2 2" xfId="16023"/>
    <cellStyle name="20% - Accent3 3 4 3 2 3" xfId="23969"/>
    <cellStyle name="20% - Accent3 3 4 3 3" xfId="12485"/>
    <cellStyle name="20% - Accent3 3 4 3 4" xfId="20440"/>
    <cellStyle name="20% - Accent3 3 4 4" xfId="6290"/>
    <cellStyle name="20% - Accent3 3 4 4 2" xfId="14265"/>
    <cellStyle name="20% - Accent3 3 4 4 3" xfId="22212"/>
    <cellStyle name="20% - Accent3 3 4 5" xfId="9833"/>
    <cellStyle name="20% - Accent3 3 4 5 2" xfId="17791"/>
    <cellStyle name="20% - Accent3 3 4 5 3" xfId="25735"/>
    <cellStyle name="20% - Accent3 3 4 6" xfId="10729"/>
    <cellStyle name="20% - Accent3 3 4 7" xfId="18684"/>
    <cellStyle name="20% - Accent3 3 4_Exh G" xfId="2250"/>
    <cellStyle name="20% - Accent3 3 5" xfId="1178"/>
    <cellStyle name="20% - Accent3 3 5 2" xfId="4708"/>
    <cellStyle name="20% - Accent3 3 5 2 2" xfId="8299"/>
    <cellStyle name="20% - Accent3 3 5 2 2 2" xfId="16270"/>
    <cellStyle name="20% - Accent3 3 5 2 2 3" xfId="24216"/>
    <cellStyle name="20% - Accent3 3 5 2 3" xfId="12732"/>
    <cellStyle name="20% - Accent3 3 5 2 4" xfId="20687"/>
    <cellStyle name="20% - Accent3 3 5 3" xfId="6540"/>
    <cellStyle name="20% - Accent3 3 5 3 2" xfId="14512"/>
    <cellStyle name="20% - Accent3 3 5 3 3" xfId="22459"/>
    <cellStyle name="20% - Accent3 3 5 4" xfId="10976"/>
    <cellStyle name="20% - Accent3 3 5 5" xfId="18931"/>
    <cellStyle name="20% - Accent3 3 5_Exh G" xfId="2252"/>
    <cellStyle name="20% - Accent3 3 6" xfId="3829"/>
    <cellStyle name="20% - Accent3 3 6 2" xfId="7421"/>
    <cellStyle name="20% - Accent3 3 6 2 2" xfId="15392"/>
    <cellStyle name="20% - Accent3 3 6 2 3" xfId="23338"/>
    <cellStyle name="20% - Accent3 3 6 3" xfId="11854"/>
    <cellStyle name="20% - Accent3 3 6 4" xfId="19809"/>
    <cellStyle name="20% - Accent3 3 7" xfId="5649"/>
    <cellStyle name="20% - Accent3 3 7 2" xfId="13633"/>
    <cellStyle name="20% - Accent3 3 7 3" xfId="21581"/>
    <cellStyle name="20% - Accent3 3 8" xfId="9202"/>
    <cellStyle name="20% - Accent3 3 8 2" xfId="17160"/>
    <cellStyle name="20% - Accent3 3 8 3" xfId="25104"/>
    <cellStyle name="20% - Accent3 3 9" xfId="10098"/>
    <cellStyle name="20% - Accent3 3_Exh G" xfId="2241"/>
    <cellStyle name="20% - Accent3 4" xfId="154"/>
    <cellStyle name="20% - Accent3 4 10" xfId="18057"/>
    <cellStyle name="20% - Accent3 4 2" xfId="155"/>
    <cellStyle name="20% - Accent3 4 2 2" xfId="156"/>
    <cellStyle name="20% - Accent3 4 2 2 2" xfId="1184"/>
    <cellStyle name="20% - Accent3 4 2 2 2 2" xfId="4714"/>
    <cellStyle name="20% - Accent3 4 2 2 2 2 2" xfId="8305"/>
    <cellStyle name="20% - Accent3 4 2 2 2 2 2 2" xfId="16276"/>
    <cellStyle name="20% - Accent3 4 2 2 2 2 2 3" xfId="24222"/>
    <cellStyle name="20% - Accent3 4 2 2 2 2 3" xfId="12738"/>
    <cellStyle name="20% - Accent3 4 2 2 2 2 4" xfId="20693"/>
    <cellStyle name="20% - Accent3 4 2 2 2 3" xfId="6546"/>
    <cellStyle name="20% - Accent3 4 2 2 2 3 2" xfId="14518"/>
    <cellStyle name="20% - Accent3 4 2 2 2 3 3" xfId="22465"/>
    <cellStyle name="20% - Accent3 4 2 2 2 4" xfId="10982"/>
    <cellStyle name="20% - Accent3 4 2 2 2 5" xfId="18937"/>
    <cellStyle name="20% - Accent3 4 2 2 2_Exh G" xfId="2256"/>
    <cellStyle name="20% - Accent3 4 2 2 3" xfId="3835"/>
    <cellStyle name="20% - Accent3 4 2 2 3 2" xfId="7427"/>
    <cellStyle name="20% - Accent3 4 2 2 3 2 2" xfId="15398"/>
    <cellStyle name="20% - Accent3 4 2 2 3 2 3" xfId="23344"/>
    <cellStyle name="20% - Accent3 4 2 2 3 3" xfId="11860"/>
    <cellStyle name="20% - Accent3 4 2 2 3 4" xfId="19815"/>
    <cellStyle name="20% - Accent3 4 2 2 4" xfId="5655"/>
    <cellStyle name="20% - Accent3 4 2 2 4 2" xfId="13639"/>
    <cellStyle name="20% - Accent3 4 2 2 4 3" xfId="21587"/>
    <cellStyle name="20% - Accent3 4 2 2 5" xfId="9208"/>
    <cellStyle name="20% - Accent3 4 2 2 5 2" xfId="17166"/>
    <cellStyle name="20% - Accent3 4 2 2 5 3" xfId="25110"/>
    <cellStyle name="20% - Accent3 4 2 2 6" xfId="10104"/>
    <cellStyle name="20% - Accent3 4 2 2 7" xfId="18059"/>
    <cellStyle name="20% - Accent3 4 2 2_Exh G" xfId="2255"/>
    <cellStyle name="20% - Accent3 4 2 3" xfId="892"/>
    <cellStyle name="20% - Accent3 4 2 3 2" xfId="1824"/>
    <cellStyle name="20% - Accent3 4 2 3 2 2" xfId="5342"/>
    <cellStyle name="20% - Accent3 4 2 3 2 2 2" xfId="8933"/>
    <cellStyle name="20% - Accent3 4 2 3 2 2 2 2" xfId="16904"/>
    <cellStyle name="20% - Accent3 4 2 3 2 2 2 3" xfId="24850"/>
    <cellStyle name="20% - Accent3 4 2 3 2 2 3" xfId="13366"/>
    <cellStyle name="20% - Accent3 4 2 3 2 2 4" xfId="21321"/>
    <cellStyle name="20% - Accent3 4 2 3 2 3" xfId="7174"/>
    <cellStyle name="20% - Accent3 4 2 3 2 3 2" xfId="15146"/>
    <cellStyle name="20% - Accent3 4 2 3 2 3 3" xfId="23093"/>
    <cellStyle name="20% - Accent3 4 2 3 2 4" xfId="11610"/>
    <cellStyle name="20% - Accent3 4 2 3 2 5" xfId="19565"/>
    <cellStyle name="20% - Accent3 4 2 3 2_Exh G" xfId="2258"/>
    <cellStyle name="20% - Accent3 4 2 3 3" xfId="4463"/>
    <cellStyle name="20% - Accent3 4 2 3 3 2" xfId="8055"/>
    <cellStyle name="20% - Accent3 4 2 3 3 2 2" xfId="16026"/>
    <cellStyle name="20% - Accent3 4 2 3 3 2 3" xfId="23972"/>
    <cellStyle name="20% - Accent3 4 2 3 3 3" xfId="12488"/>
    <cellStyle name="20% - Accent3 4 2 3 3 4" xfId="20443"/>
    <cellStyle name="20% - Accent3 4 2 3 4" xfId="6293"/>
    <cellStyle name="20% - Accent3 4 2 3 4 2" xfId="14268"/>
    <cellStyle name="20% - Accent3 4 2 3 4 3" xfId="22215"/>
    <cellStyle name="20% - Accent3 4 2 3 5" xfId="9836"/>
    <cellStyle name="20% - Accent3 4 2 3 5 2" xfId="17794"/>
    <cellStyle name="20% - Accent3 4 2 3 5 3" xfId="25738"/>
    <cellStyle name="20% - Accent3 4 2 3 6" xfId="10732"/>
    <cellStyle name="20% - Accent3 4 2 3 7" xfId="18687"/>
    <cellStyle name="20% - Accent3 4 2 3_Exh G" xfId="2257"/>
    <cellStyle name="20% - Accent3 4 2 4" xfId="1183"/>
    <cellStyle name="20% - Accent3 4 2 4 2" xfId="4713"/>
    <cellStyle name="20% - Accent3 4 2 4 2 2" xfId="8304"/>
    <cellStyle name="20% - Accent3 4 2 4 2 2 2" xfId="16275"/>
    <cellStyle name="20% - Accent3 4 2 4 2 2 3" xfId="24221"/>
    <cellStyle name="20% - Accent3 4 2 4 2 3" xfId="12737"/>
    <cellStyle name="20% - Accent3 4 2 4 2 4" xfId="20692"/>
    <cellStyle name="20% - Accent3 4 2 4 3" xfId="6545"/>
    <cellStyle name="20% - Accent3 4 2 4 3 2" xfId="14517"/>
    <cellStyle name="20% - Accent3 4 2 4 3 3" xfId="22464"/>
    <cellStyle name="20% - Accent3 4 2 4 4" xfId="10981"/>
    <cellStyle name="20% - Accent3 4 2 4 5" xfId="18936"/>
    <cellStyle name="20% - Accent3 4 2 4_Exh G" xfId="2259"/>
    <cellStyle name="20% - Accent3 4 2 5" xfId="3834"/>
    <cellStyle name="20% - Accent3 4 2 5 2" xfId="7426"/>
    <cellStyle name="20% - Accent3 4 2 5 2 2" xfId="15397"/>
    <cellStyle name="20% - Accent3 4 2 5 2 3" xfId="23343"/>
    <cellStyle name="20% - Accent3 4 2 5 3" xfId="11859"/>
    <cellStyle name="20% - Accent3 4 2 5 4" xfId="19814"/>
    <cellStyle name="20% - Accent3 4 2 6" xfId="5654"/>
    <cellStyle name="20% - Accent3 4 2 6 2" xfId="13638"/>
    <cellStyle name="20% - Accent3 4 2 6 3" xfId="21586"/>
    <cellStyle name="20% - Accent3 4 2 7" xfId="9207"/>
    <cellStyle name="20% - Accent3 4 2 7 2" xfId="17165"/>
    <cellStyle name="20% - Accent3 4 2 7 3" xfId="25109"/>
    <cellStyle name="20% - Accent3 4 2 8" xfId="10103"/>
    <cellStyle name="20% - Accent3 4 2 9" xfId="18058"/>
    <cellStyle name="20% - Accent3 4 2_Exh G" xfId="2254"/>
    <cellStyle name="20% - Accent3 4 3" xfId="157"/>
    <cellStyle name="20% - Accent3 4 3 2" xfId="1185"/>
    <cellStyle name="20% - Accent3 4 3 2 2" xfId="4715"/>
    <cellStyle name="20% - Accent3 4 3 2 2 2" xfId="8306"/>
    <cellStyle name="20% - Accent3 4 3 2 2 2 2" xfId="16277"/>
    <cellStyle name="20% - Accent3 4 3 2 2 2 3" xfId="24223"/>
    <cellStyle name="20% - Accent3 4 3 2 2 3" xfId="12739"/>
    <cellStyle name="20% - Accent3 4 3 2 2 4" xfId="20694"/>
    <cellStyle name="20% - Accent3 4 3 2 3" xfId="6547"/>
    <cellStyle name="20% - Accent3 4 3 2 3 2" xfId="14519"/>
    <cellStyle name="20% - Accent3 4 3 2 3 3" xfId="22466"/>
    <cellStyle name="20% - Accent3 4 3 2 4" xfId="10983"/>
    <cellStyle name="20% - Accent3 4 3 2 5" xfId="18938"/>
    <cellStyle name="20% - Accent3 4 3 2_Exh G" xfId="2261"/>
    <cellStyle name="20% - Accent3 4 3 3" xfId="3836"/>
    <cellStyle name="20% - Accent3 4 3 3 2" xfId="7428"/>
    <cellStyle name="20% - Accent3 4 3 3 2 2" xfId="15399"/>
    <cellStyle name="20% - Accent3 4 3 3 2 3" xfId="23345"/>
    <cellStyle name="20% - Accent3 4 3 3 3" xfId="11861"/>
    <cellStyle name="20% - Accent3 4 3 3 4" xfId="19816"/>
    <cellStyle name="20% - Accent3 4 3 4" xfId="5656"/>
    <cellStyle name="20% - Accent3 4 3 4 2" xfId="13640"/>
    <cellStyle name="20% - Accent3 4 3 4 3" xfId="21588"/>
    <cellStyle name="20% - Accent3 4 3 5" xfId="9209"/>
    <cellStyle name="20% - Accent3 4 3 5 2" xfId="17167"/>
    <cellStyle name="20% - Accent3 4 3 5 3" xfId="25111"/>
    <cellStyle name="20% - Accent3 4 3 6" xfId="10105"/>
    <cellStyle name="20% - Accent3 4 3 7" xfId="18060"/>
    <cellStyle name="20% - Accent3 4 3_Exh G" xfId="2260"/>
    <cellStyle name="20% - Accent3 4 4" xfId="891"/>
    <cellStyle name="20% - Accent3 4 4 2" xfId="1823"/>
    <cellStyle name="20% - Accent3 4 4 2 2" xfId="5341"/>
    <cellStyle name="20% - Accent3 4 4 2 2 2" xfId="8932"/>
    <cellStyle name="20% - Accent3 4 4 2 2 2 2" xfId="16903"/>
    <cellStyle name="20% - Accent3 4 4 2 2 2 3" xfId="24849"/>
    <cellStyle name="20% - Accent3 4 4 2 2 3" xfId="13365"/>
    <cellStyle name="20% - Accent3 4 4 2 2 4" xfId="21320"/>
    <cellStyle name="20% - Accent3 4 4 2 3" xfId="7173"/>
    <cellStyle name="20% - Accent3 4 4 2 3 2" xfId="15145"/>
    <cellStyle name="20% - Accent3 4 4 2 3 3" xfId="23092"/>
    <cellStyle name="20% - Accent3 4 4 2 4" xfId="11609"/>
    <cellStyle name="20% - Accent3 4 4 2 5" xfId="19564"/>
    <cellStyle name="20% - Accent3 4 4 2_Exh G" xfId="2263"/>
    <cellStyle name="20% - Accent3 4 4 3" xfId="4462"/>
    <cellStyle name="20% - Accent3 4 4 3 2" xfId="8054"/>
    <cellStyle name="20% - Accent3 4 4 3 2 2" xfId="16025"/>
    <cellStyle name="20% - Accent3 4 4 3 2 3" xfId="23971"/>
    <cellStyle name="20% - Accent3 4 4 3 3" xfId="12487"/>
    <cellStyle name="20% - Accent3 4 4 3 4" xfId="20442"/>
    <cellStyle name="20% - Accent3 4 4 4" xfId="6292"/>
    <cellStyle name="20% - Accent3 4 4 4 2" xfId="14267"/>
    <cellStyle name="20% - Accent3 4 4 4 3" xfId="22214"/>
    <cellStyle name="20% - Accent3 4 4 5" xfId="9835"/>
    <cellStyle name="20% - Accent3 4 4 5 2" xfId="17793"/>
    <cellStyle name="20% - Accent3 4 4 5 3" xfId="25737"/>
    <cellStyle name="20% - Accent3 4 4 6" xfId="10731"/>
    <cellStyle name="20% - Accent3 4 4 7" xfId="18686"/>
    <cellStyle name="20% - Accent3 4 4_Exh G" xfId="2262"/>
    <cellStyle name="20% - Accent3 4 5" xfId="1182"/>
    <cellStyle name="20% - Accent3 4 5 2" xfId="4712"/>
    <cellStyle name="20% - Accent3 4 5 2 2" xfId="8303"/>
    <cellStyle name="20% - Accent3 4 5 2 2 2" xfId="16274"/>
    <cellStyle name="20% - Accent3 4 5 2 2 3" xfId="24220"/>
    <cellStyle name="20% - Accent3 4 5 2 3" xfId="12736"/>
    <cellStyle name="20% - Accent3 4 5 2 4" xfId="20691"/>
    <cellStyle name="20% - Accent3 4 5 3" xfId="6544"/>
    <cellStyle name="20% - Accent3 4 5 3 2" xfId="14516"/>
    <cellStyle name="20% - Accent3 4 5 3 3" xfId="22463"/>
    <cellStyle name="20% - Accent3 4 5 4" xfId="10980"/>
    <cellStyle name="20% - Accent3 4 5 5" xfId="18935"/>
    <cellStyle name="20% - Accent3 4 5_Exh G" xfId="2264"/>
    <cellStyle name="20% - Accent3 4 6" xfId="3833"/>
    <cellStyle name="20% - Accent3 4 6 2" xfId="7425"/>
    <cellStyle name="20% - Accent3 4 6 2 2" xfId="15396"/>
    <cellStyle name="20% - Accent3 4 6 2 3" xfId="23342"/>
    <cellStyle name="20% - Accent3 4 6 3" xfId="11858"/>
    <cellStyle name="20% - Accent3 4 6 4" xfId="19813"/>
    <cellStyle name="20% - Accent3 4 7" xfId="5653"/>
    <cellStyle name="20% - Accent3 4 7 2" xfId="13637"/>
    <cellStyle name="20% - Accent3 4 7 3" xfId="21585"/>
    <cellStyle name="20% - Accent3 4 8" xfId="9206"/>
    <cellStyle name="20% - Accent3 4 8 2" xfId="17164"/>
    <cellStyle name="20% - Accent3 4 8 3" xfId="25108"/>
    <cellStyle name="20% - Accent3 4 9" xfId="10102"/>
    <cellStyle name="20% - Accent3 4_Exh G" xfId="2253"/>
    <cellStyle name="20% - Accent3 5" xfId="158"/>
    <cellStyle name="20% - Accent3 5 10" xfId="18061"/>
    <cellStyle name="20% - Accent3 5 2" xfId="159"/>
    <cellStyle name="20% - Accent3 5 2 2" xfId="160"/>
    <cellStyle name="20% - Accent3 5 2 2 2" xfId="1188"/>
    <cellStyle name="20% - Accent3 5 2 2 2 2" xfId="4718"/>
    <cellStyle name="20% - Accent3 5 2 2 2 2 2" xfId="8309"/>
    <cellStyle name="20% - Accent3 5 2 2 2 2 2 2" xfId="16280"/>
    <cellStyle name="20% - Accent3 5 2 2 2 2 2 3" xfId="24226"/>
    <cellStyle name="20% - Accent3 5 2 2 2 2 3" xfId="12742"/>
    <cellStyle name="20% - Accent3 5 2 2 2 2 4" xfId="20697"/>
    <cellStyle name="20% - Accent3 5 2 2 2 3" xfId="6550"/>
    <cellStyle name="20% - Accent3 5 2 2 2 3 2" xfId="14522"/>
    <cellStyle name="20% - Accent3 5 2 2 2 3 3" xfId="22469"/>
    <cellStyle name="20% - Accent3 5 2 2 2 4" xfId="10986"/>
    <cellStyle name="20% - Accent3 5 2 2 2 5" xfId="18941"/>
    <cellStyle name="20% - Accent3 5 2 2 2_Exh G" xfId="2268"/>
    <cellStyle name="20% - Accent3 5 2 2 3" xfId="3839"/>
    <cellStyle name="20% - Accent3 5 2 2 3 2" xfId="7431"/>
    <cellStyle name="20% - Accent3 5 2 2 3 2 2" xfId="15402"/>
    <cellStyle name="20% - Accent3 5 2 2 3 2 3" xfId="23348"/>
    <cellStyle name="20% - Accent3 5 2 2 3 3" xfId="11864"/>
    <cellStyle name="20% - Accent3 5 2 2 3 4" xfId="19819"/>
    <cellStyle name="20% - Accent3 5 2 2 4" xfId="5659"/>
    <cellStyle name="20% - Accent3 5 2 2 4 2" xfId="13643"/>
    <cellStyle name="20% - Accent3 5 2 2 4 3" xfId="21591"/>
    <cellStyle name="20% - Accent3 5 2 2 5" xfId="9212"/>
    <cellStyle name="20% - Accent3 5 2 2 5 2" xfId="17170"/>
    <cellStyle name="20% - Accent3 5 2 2 5 3" xfId="25114"/>
    <cellStyle name="20% - Accent3 5 2 2 6" xfId="10108"/>
    <cellStyle name="20% - Accent3 5 2 2 7" xfId="18063"/>
    <cellStyle name="20% - Accent3 5 2 2_Exh G" xfId="2267"/>
    <cellStyle name="20% - Accent3 5 2 3" xfId="1187"/>
    <cellStyle name="20% - Accent3 5 2 3 2" xfId="4717"/>
    <cellStyle name="20% - Accent3 5 2 3 2 2" xfId="8308"/>
    <cellStyle name="20% - Accent3 5 2 3 2 2 2" xfId="16279"/>
    <cellStyle name="20% - Accent3 5 2 3 2 2 3" xfId="24225"/>
    <cellStyle name="20% - Accent3 5 2 3 2 3" xfId="12741"/>
    <cellStyle name="20% - Accent3 5 2 3 2 4" xfId="20696"/>
    <cellStyle name="20% - Accent3 5 2 3 3" xfId="6549"/>
    <cellStyle name="20% - Accent3 5 2 3 3 2" xfId="14521"/>
    <cellStyle name="20% - Accent3 5 2 3 3 3" xfId="22468"/>
    <cellStyle name="20% - Accent3 5 2 3 4" xfId="10985"/>
    <cellStyle name="20% - Accent3 5 2 3 5" xfId="18940"/>
    <cellStyle name="20% - Accent3 5 2 3_Exh G" xfId="2269"/>
    <cellStyle name="20% - Accent3 5 2 4" xfId="3838"/>
    <cellStyle name="20% - Accent3 5 2 4 2" xfId="7430"/>
    <cellStyle name="20% - Accent3 5 2 4 2 2" xfId="15401"/>
    <cellStyle name="20% - Accent3 5 2 4 2 3" xfId="23347"/>
    <cellStyle name="20% - Accent3 5 2 4 3" xfId="11863"/>
    <cellStyle name="20% - Accent3 5 2 4 4" xfId="19818"/>
    <cellStyle name="20% - Accent3 5 2 5" xfId="5658"/>
    <cellStyle name="20% - Accent3 5 2 5 2" xfId="13642"/>
    <cellStyle name="20% - Accent3 5 2 5 3" xfId="21590"/>
    <cellStyle name="20% - Accent3 5 2 6" xfId="9211"/>
    <cellStyle name="20% - Accent3 5 2 6 2" xfId="17169"/>
    <cellStyle name="20% - Accent3 5 2 6 3" xfId="25113"/>
    <cellStyle name="20% - Accent3 5 2 7" xfId="10107"/>
    <cellStyle name="20% - Accent3 5 2 8" xfId="18062"/>
    <cellStyle name="20% - Accent3 5 2_Exh G" xfId="2266"/>
    <cellStyle name="20% - Accent3 5 3" xfId="161"/>
    <cellStyle name="20% - Accent3 5 3 2" xfId="1189"/>
    <cellStyle name="20% - Accent3 5 3 2 2" xfId="4719"/>
    <cellStyle name="20% - Accent3 5 3 2 2 2" xfId="8310"/>
    <cellStyle name="20% - Accent3 5 3 2 2 2 2" xfId="16281"/>
    <cellStyle name="20% - Accent3 5 3 2 2 2 3" xfId="24227"/>
    <cellStyle name="20% - Accent3 5 3 2 2 3" xfId="12743"/>
    <cellStyle name="20% - Accent3 5 3 2 2 4" xfId="20698"/>
    <cellStyle name="20% - Accent3 5 3 2 3" xfId="6551"/>
    <cellStyle name="20% - Accent3 5 3 2 3 2" xfId="14523"/>
    <cellStyle name="20% - Accent3 5 3 2 3 3" xfId="22470"/>
    <cellStyle name="20% - Accent3 5 3 2 4" xfId="10987"/>
    <cellStyle name="20% - Accent3 5 3 2 5" xfId="18942"/>
    <cellStyle name="20% - Accent3 5 3 2_Exh G" xfId="2271"/>
    <cellStyle name="20% - Accent3 5 3 3" xfId="3840"/>
    <cellStyle name="20% - Accent3 5 3 3 2" xfId="7432"/>
    <cellStyle name="20% - Accent3 5 3 3 2 2" xfId="15403"/>
    <cellStyle name="20% - Accent3 5 3 3 2 3" xfId="23349"/>
    <cellStyle name="20% - Accent3 5 3 3 3" xfId="11865"/>
    <cellStyle name="20% - Accent3 5 3 3 4" xfId="19820"/>
    <cellStyle name="20% - Accent3 5 3 4" xfId="5660"/>
    <cellStyle name="20% - Accent3 5 3 4 2" xfId="13644"/>
    <cellStyle name="20% - Accent3 5 3 4 3" xfId="21592"/>
    <cellStyle name="20% - Accent3 5 3 5" xfId="9213"/>
    <cellStyle name="20% - Accent3 5 3 5 2" xfId="17171"/>
    <cellStyle name="20% - Accent3 5 3 5 3" xfId="25115"/>
    <cellStyle name="20% - Accent3 5 3 6" xfId="10109"/>
    <cellStyle name="20% - Accent3 5 3 7" xfId="18064"/>
    <cellStyle name="20% - Accent3 5 3_Exh G" xfId="2270"/>
    <cellStyle name="20% - Accent3 5 4" xfId="893"/>
    <cellStyle name="20% - Accent3 5 5" xfId="1186"/>
    <cellStyle name="20% - Accent3 5 5 2" xfId="4716"/>
    <cellStyle name="20% - Accent3 5 5 2 2" xfId="8307"/>
    <cellStyle name="20% - Accent3 5 5 2 2 2" xfId="16278"/>
    <cellStyle name="20% - Accent3 5 5 2 2 3" xfId="24224"/>
    <cellStyle name="20% - Accent3 5 5 2 3" xfId="12740"/>
    <cellStyle name="20% - Accent3 5 5 2 4" xfId="20695"/>
    <cellStyle name="20% - Accent3 5 5 3" xfId="6548"/>
    <cellStyle name="20% - Accent3 5 5 3 2" xfId="14520"/>
    <cellStyle name="20% - Accent3 5 5 3 3" xfId="22467"/>
    <cellStyle name="20% - Accent3 5 5 4" xfId="10984"/>
    <cellStyle name="20% - Accent3 5 5 5" xfId="18939"/>
    <cellStyle name="20% - Accent3 5 5_Exh G" xfId="2272"/>
    <cellStyle name="20% - Accent3 5 6" xfId="3837"/>
    <cellStyle name="20% - Accent3 5 6 2" xfId="7429"/>
    <cellStyle name="20% - Accent3 5 6 2 2" xfId="15400"/>
    <cellStyle name="20% - Accent3 5 6 2 3" xfId="23346"/>
    <cellStyle name="20% - Accent3 5 6 3" xfId="11862"/>
    <cellStyle name="20% - Accent3 5 6 4" xfId="19817"/>
    <cellStyle name="20% - Accent3 5 7" xfId="5657"/>
    <cellStyle name="20% - Accent3 5 7 2" xfId="13641"/>
    <cellStyle name="20% - Accent3 5 7 3" xfId="21589"/>
    <cellStyle name="20% - Accent3 5 8" xfId="9210"/>
    <cellStyle name="20% - Accent3 5 8 2" xfId="17168"/>
    <cellStyle name="20% - Accent3 5 8 3" xfId="25112"/>
    <cellStyle name="20% - Accent3 5 9" xfId="10106"/>
    <cellStyle name="20% - Accent3 5_Exh G" xfId="2265"/>
    <cellStyle name="20% - Accent3 6" xfId="162"/>
    <cellStyle name="20% - Accent3 6 10" xfId="18065"/>
    <cellStyle name="20% - Accent3 6 2" xfId="163"/>
    <cellStyle name="20% - Accent3 6 2 2" xfId="164"/>
    <cellStyle name="20% - Accent3 6 2 2 2" xfId="1192"/>
    <cellStyle name="20% - Accent3 6 2 2 2 2" xfId="4722"/>
    <cellStyle name="20% - Accent3 6 2 2 2 2 2" xfId="8313"/>
    <cellStyle name="20% - Accent3 6 2 2 2 2 2 2" xfId="16284"/>
    <cellStyle name="20% - Accent3 6 2 2 2 2 2 3" xfId="24230"/>
    <cellStyle name="20% - Accent3 6 2 2 2 2 3" xfId="12746"/>
    <cellStyle name="20% - Accent3 6 2 2 2 2 4" xfId="20701"/>
    <cellStyle name="20% - Accent3 6 2 2 2 3" xfId="6554"/>
    <cellStyle name="20% - Accent3 6 2 2 2 3 2" xfId="14526"/>
    <cellStyle name="20% - Accent3 6 2 2 2 3 3" xfId="22473"/>
    <cellStyle name="20% - Accent3 6 2 2 2 4" xfId="10990"/>
    <cellStyle name="20% - Accent3 6 2 2 2 5" xfId="18945"/>
    <cellStyle name="20% - Accent3 6 2 2 2_Exh G" xfId="2276"/>
    <cellStyle name="20% - Accent3 6 2 2 3" xfId="3843"/>
    <cellStyle name="20% - Accent3 6 2 2 3 2" xfId="7435"/>
    <cellStyle name="20% - Accent3 6 2 2 3 2 2" xfId="15406"/>
    <cellStyle name="20% - Accent3 6 2 2 3 2 3" xfId="23352"/>
    <cellStyle name="20% - Accent3 6 2 2 3 3" xfId="11868"/>
    <cellStyle name="20% - Accent3 6 2 2 3 4" xfId="19823"/>
    <cellStyle name="20% - Accent3 6 2 2 4" xfId="5663"/>
    <cellStyle name="20% - Accent3 6 2 2 4 2" xfId="13647"/>
    <cellStyle name="20% - Accent3 6 2 2 4 3" xfId="21595"/>
    <cellStyle name="20% - Accent3 6 2 2 5" xfId="9216"/>
    <cellStyle name="20% - Accent3 6 2 2 5 2" xfId="17174"/>
    <cellStyle name="20% - Accent3 6 2 2 5 3" xfId="25118"/>
    <cellStyle name="20% - Accent3 6 2 2 6" xfId="10112"/>
    <cellStyle name="20% - Accent3 6 2 2 7" xfId="18067"/>
    <cellStyle name="20% - Accent3 6 2 2_Exh G" xfId="2275"/>
    <cellStyle name="20% - Accent3 6 2 3" xfId="1191"/>
    <cellStyle name="20% - Accent3 6 2 3 2" xfId="4721"/>
    <cellStyle name="20% - Accent3 6 2 3 2 2" xfId="8312"/>
    <cellStyle name="20% - Accent3 6 2 3 2 2 2" xfId="16283"/>
    <cellStyle name="20% - Accent3 6 2 3 2 2 3" xfId="24229"/>
    <cellStyle name="20% - Accent3 6 2 3 2 3" xfId="12745"/>
    <cellStyle name="20% - Accent3 6 2 3 2 4" xfId="20700"/>
    <cellStyle name="20% - Accent3 6 2 3 3" xfId="6553"/>
    <cellStyle name="20% - Accent3 6 2 3 3 2" xfId="14525"/>
    <cellStyle name="20% - Accent3 6 2 3 3 3" xfId="22472"/>
    <cellStyle name="20% - Accent3 6 2 3 4" xfId="10989"/>
    <cellStyle name="20% - Accent3 6 2 3 5" xfId="18944"/>
    <cellStyle name="20% - Accent3 6 2 3_Exh G" xfId="2277"/>
    <cellStyle name="20% - Accent3 6 2 4" xfId="3842"/>
    <cellStyle name="20% - Accent3 6 2 4 2" xfId="7434"/>
    <cellStyle name="20% - Accent3 6 2 4 2 2" xfId="15405"/>
    <cellStyle name="20% - Accent3 6 2 4 2 3" xfId="23351"/>
    <cellStyle name="20% - Accent3 6 2 4 3" xfId="11867"/>
    <cellStyle name="20% - Accent3 6 2 4 4" xfId="19822"/>
    <cellStyle name="20% - Accent3 6 2 5" xfId="5662"/>
    <cellStyle name="20% - Accent3 6 2 5 2" xfId="13646"/>
    <cellStyle name="20% - Accent3 6 2 5 3" xfId="21594"/>
    <cellStyle name="20% - Accent3 6 2 6" xfId="9215"/>
    <cellStyle name="20% - Accent3 6 2 6 2" xfId="17173"/>
    <cellStyle name="20% - Accent3 6 2 6 3" xfId="25117"/>
    <cellStyle name="20% - Accent3 6 2 7" xfId="10111"/>
    <cellStyle name="20% - Accent3 6 2 8" xfId="18066"/>
    <cellStyle name="20% - Accent3 6 2_Exh G" xfId="2274"/>
    <cellStyle name="20% - Accent3 6 3" xfId="165"/>
    <cellStyle name="20% - Accent3 6 3 2" xfId="1193"/>
    <cellStyle name="20% - Accent3 6 3 2 2" xfId="4723"/>
    <cellStyle name="20% - Accent3 6 3 2 2 2" xfId="8314"/>
    <cellStyle name="20% - Accent3 6 3 2 2 2 2" xfId="16285"/>
    <cellStyle name="20% - Accent3 6 3 2 2 2 3" xfId="24231"/>
    <cellStyle name="20% - Accent3 6 3 2 2 3" xfId="12747"/>
    <cellStyle name="20% - Accent3 6 3 2 2 4" xfId="20702"/>
    <cellStyle name="20% - Accent3 6 3 2 3" xfId="6555"/>
    <cellStyle name="20% - Accent3 6 3 2 3 2" xfId="14527"/>
    <cellStyle name="20% - Accent3 6 3 2 3 3" xfId="22474"/>
    <cellStyle name="20% - Accent3 6 3 2 4" xfId="10991"/>
    <cellStyle name="20% - Accent3 6 3 2 5" xfId="18946"/>
    <cellStyle name="20% - Accent3 6 3 2_Exh G" xfId="2279"/>
    <cellStyle name="20% - Accent3 6 3 3" xfId="3844"/>
    <cellStyle name="20% - Accent3 6 3 3 2" xfId="7436"/>
    <cellStyle name="20% - Accent3 6 3 3 2 2" xfId="15407"/>
    <cellStyle name="20% - Accent3 6 3 3 2 3" xfId="23353"/>
    <cellStyle name="20% - Accent3 6 3 3 3" xfId="11869"/>
    <cellStyle name="20% - Accent3 6 3 3 4" xfId="19824"/>
    <cellStyle name="20% - Accent3 6 3 4" xfId="5664"/>
    <cellStyle name="20% - Accent3 6 3 4 2" xfId="13648"/>
    <cellStyle name="20% - Accent3 6 3 4 3" xfId="21596"/>
    <cellStyle name="20% - Accent3 6 3 5" xfId="9217"/>
    <cellStyle name="20% - Accent3 6 3 5 2" xfId="17175"/>
    <cellStyle name="20% - Accent3 6 3 5 3" xfId="25119"/>
    <cellStyle name="20% - Accent3 6 3 6" xfId="10113"/>
    <cellStyle name="20% - Accent3 6 3 7" xfId="18068"/>
    <cellStyle name="20% - Accent3 6 3_Exh G" xfId="2278"/>
    <cellStyle name="20% - Accent3 6 4" xfId="894"/>
    <cellStyle name="20% - Accent3 6 4 2" xfId="1825"/>
    <cellStyle name="20% - Accent3 6 4 2 2" xfId="5343"/>
    <cellStyle name="20% - Accent3 6 4 2 2 2" xfId="8934"/>
    <cellStyle name="20% - Accent3 6 4 2 2 2 2" xfId="16905"/>
    <cellStyle name="20% - Accent3 6 4 2 2 2 3" xfId="24851"/>
    <cellStyle name="20% - Accent3 6 4 2 2 3" xfId="13367"/>
    <cellStyle name="20% - Accent3 6 4 2 2 4" xfId="21322"/>
    <cellStyle name="20% - Accent3 6 4 2 3" xfId="7175"/>
    <cellStyle name="20% - Accent3 6 4 2 3 2" xfId="15147"/>
    <cellStyle name="20% - Accent3 6 4 2 3 3" xfId="23094"/>
    <cellStyle name="20% - Accent3 6 4 2 4" xfId="11611"/>
    <cellStyle name="20% - Accent3 6 4 2 5" xfId="19566"/>
    <cellStyle name="20% - Accent3 6 4 2_Exh G" xfId="2281"/>
    <cellStyle name="20% - Accent3 6 4 3" xfId="4464"/>
    <cellStyle name="20% - Accent3 6 4 3 2" xfId="8056"/>
    <cellStyle name="20% - Accent3 6 4 3 2 2" xfId="16027"/>
    <cellStyle name="20% - Accent3 6 4 3 2 3" xfId="23973"/>
    <cellStyle name="20% - Accent3 6 4 3 3" xfId="12489"/>
    <cellStyle name="20% - Accent3 6 4 3 4" xfId="20444"/>
    <cellStyle name="20% - Accent3 6 4 4" xfId="6294"/>
    <cellStyle name="20% - Accent3 6 4 4 2" xfId="14269"/>
    <cellStyle name="20% - Accent3 6 4 4 3" xfId="22216"/>
    <cellStyle name="20% - Accent3 6 4 5" xfId="9837"/>
    <cellStyle name="20% - Accent3 6 4 5 2" xfId="17795"/>
    <cellStyle name="20% - Accent3 6 4 5 3" xfId="25739"/>
    <cellStyle name="20% - Accent3 6 4 6" xfId="10733"/>
    <cellStyle name="20% - Accent3 6 4 7" xfId="18688"/>
    <cellStyle name="20% - Accent3 6 4_Exh G" xfId="2280"/>
    <cellStyle name="20% - Accent3 6 5" xfId="1190"/>
    <cellStyle name="20% - Accent3 6 5 2" xfId="4720"/>
    <cellStyle name="20% - Accent3 6 5 2 2" xfId="8311"/>
    <cellStyle name="20% - Accent3 6 5 2 2 2" xfId="16282"/>
    <cellStyle name="20% - Accent3 6 5 2 2 3" xfId="24228"/>
    <cellStyle name="20% - Accent3 6 5 2 3" xfId="12744"/>
    <cellStyle name="20% - Accent3 6 5 2 4" xfId="20699"/>
    <cellStyle name="20% - Accent3 6 5 3" xfId="6552"/>
    <cellStyle name="20% - Accent3 6 5 3 2" xfId="14524"/>
    <cellStyle name="20% - Accent3 6 5 3 3" xfId="22471"/>
    <cellStyle name="20% - Accent3 6 5 4" xfId="10988"/>
    <cellStyle name="20% - Accent3 6 5 5" xfId="18943"/>
    <cellStyle name="20% - Accent3 6 5_Exh G" xfId="2282"/>
    <cellStyle name="20% - Accent3 6 6" xfId="3841"/>
    <cellStyle name="20% - Accent3 6 6 2" xfId="7433"/>
    <cellStyle name="20% - Accent3 6 6 2 2" xfId="15404"/>
    <cellStyle name="20% - Accent3 6 6 2 3" xfId="23350"/>
    <cellStyle name="20% - Accent3 6 6 3" xfId="11866"/>
    <cellStyle name="20% - Accent3 6 6 4" xfId="19821"/>
    <cellStyle name="20% - Accent3 6 7" xfId="5661"/>
    <cellStyle name="20% - Accent3 6 7 2" xfId="13645"/>
    <cellStyle name="20% - Accent3 6 7 3" xfId="21593"/>
    <cellStyle name="20% - Accent3 6 8" xfId="9214"/>
    <cellStyle name="20% - Accent3 6 8 2" xfId="17172"/>
    <cellStyle name="20% - Accent3 6 8 3" xfId="25116"/>
    <cellStyle name="20% - Accent3 6 9" xfId="10110"/>
    <cellStyle name="20% - Accent3 6_Exh G" xfId="2273"/>
    <cellStyle name="20% - Accent3 7" xfId="166"/>
    <cellStyle name="20% - Accent3 7 10" xfId="18069"/>
    <cellStyle name="20% - Accent3 7 2" xfId="167"/>
    <cellStyle name="20% - Accent3 7 2 2" xfId="168"/>
    <cellStyle name="20% - Accent3 7 2 2 2" xfId="1196"/>
    <cellStyle name="20% - Accent3 7 2 2 2 2" xfId="4726"/>
    <cellStyle name="20% - Accent3 7 2 2 2 2 2" xfId="8317"/>
    <cellStyle name="20% - Accent3 7 2 2 2 2 2 2" xfId="16288"/>
    <cellStyle name="20% - Accent3 7 2 2 2 2 2 3" xfId="24234"/>
    <cellStyle name="20% - Accent3 7 2 2 2 2 3" xfId="12750"/>
    <cellStyle name="20% - Accent3 7 2 2 2 2 4" xfId="20705"/>
    <cellStyle name="20% - Accent3 7 2 2 2 3" xfId="6558"/>
    <cellStyle name="20% - Accent3 7 2 2 2 3 2" xfId="14530"/>
    <cellStyle name="20% - Accent3 7 2 2 2 3 3" xfId="22477"/>
    <cellStyle name="20% - Accent3 7 2 2 2 4" xfId="10994"/>
    <cellStyle name="20% - Accent3 7 2 2 2 5" xfId="18949"/>
    <cellStyle name="20% - Accent3 7 2 2 2_Exh G" xfId="2286"/>
    <cellStyle name="20% - Accent3 7 2 2 3" xfId="3847"/>
    <cellStyle name="20% - Accent3 7 2 2 3 2" xfId="7439"/>
    <cellStyle name="20% - Accent3 7 2 2 3 2 2" xfId="15410"/>
    <cellStyle name="20% - Accent3 7 2 2 3 2 3" xfId="23356"/>
    <cellStyle name="20% - Accent3 7 2 2 3 3" xfId="11872"/>
    <cellStyle name="20% - Accent3 7 2 2 3 4" xfId="19827"/>
    <cellStyle name="20% - Accent3 7 2 2 4" xfId="5667"/>
    <cellStyle name="20% - Accent3 7 2 2 4 2" xfId="13651"/>
    <cellStyle name="20% - Accent3 7 2 2 4 3" xfId="21599"/>
    <cellStyle name="20% - Accent3 7 2 2 5" xfId="9220"/>
    <cellStyle name="20% - Accent3 7 2 2 5 2" xfId="17178"/>
    <cellStyle name="20% - Accent3 7 2 2 5 3" xfId="25122"/>
    <cellStyle name="20% - Accent3 7 2 2 6" xfId="10116"/>
    <cellStyle name="20% - Accent3 7 2 2 7" xfId="18071"/>
    <cellStyle name="20% - Accent3 7 2 2_Exh G" xfId="2285"/>
    <cellStyle name="20% - Accent3 7 2 3" xfId="1195"/>
    <cellStyle name="20% - Accent3 7 2 3 2" xfId="4725"/>
    <cellStyle name="20% - Accent3 7 2 3 2 2" xfId="8316"/>
    <cellStyle name="20% - Accent3 7 2 3 2 2 2" xfId="16287"/>
    <cellStyle name="20% - Accent3 7 2 3 2 2 3" xfId="24233"/>
    <cellStyle name="20% - Accent3 7 2 3 2 3" xfId="12749"/>
    <cellStyle name="20% - Accent3 7 2 3 2 4" xfId="20704"/>
    <cellStyle name="20% - Accent3 7 2 3 3" xfId="6557"/>
    <cellStyle name="20% - Accent3 7 2 3 3 2" xfId="14529"/>
    <cellStyle name="20% - Accent3 7 2 3 3 3" xfId="22476"/>
    <cellStyle name="20% - Accent3 7 2 3 4" xfId="10993"/>
    <cellStyle name="20% - Accent3 7 2 3 5" xfId="18948"/>
    <cellStyle name="20% - Accent3 7 2 3_Exh G" xfId="2287"/>
    <cellStyle name="20% - Accent3 7 2 4" xfId="3846"/>
    <cellStyle name="20% - Accent3 7 2 4 2" xfId="7438"/>
    <cellStyle name="20% - Accent3 7 2 4 2 2" xfId="15409"/>
    <cellStyle name="20% - Accent3 7 2 4 2 3" xfId="23355"/>
    <cellStyle name="20% - Accent3 7 2 4 3" xfId="11871"/>
    <cellStyle name="20% - Accent3 7 2 4 4" xfId="19826"/>
    <cellStyle name="20% - Accent3 7 2 5" xfId="5666"/>
    <cellStyle name="20% - Accent3 7 2 5 2" xfId="13650"/>
    <cellStyle name="20% - Accent3 7 2 5 3" xfId="21598"/>
    <cellStyle name="20% - Accent3 7 2 6" xfId="9219"/>
    <cellStyle name="20% - Accent3 7 2 6 2" xfId="17177"/>
    <cellStyle name="20% - Accent3 7 2 6 3" xfId="25121"/>
    <cellStyle name="20% - Accent3 7 2 7" xfId="10115"/>
    <cellStyle name="20% - Accent3 7 2 8" xfId="18070"/>
    <cellStyle name="20% - Accent3 7 2_Exh G" xfId="2284"/>
    <cellStyle name="20% - Accent3 7 3" xfId="169"/>
    <cellStyle name="20% - Accent3 7 3 2" xfId="1197"/>
    <cellStyle name="20% - Accent3 7 3 2 2" xfId="4727"/>
    <cellStyle name="20% - Accent3 7 3 2 2 2" xfId="8318"/>
    <cellStyle name="20% - Accent3 7 3 2 2 2 2" xfId="16289"/>
    <cellStyle name="20% - Accent3 7 3 2 2 2 3" xfId="24235"/>
    <cellStyle name="20% - Accent3 7 3 2 2 3" xfId="12751"/>
    <cellStyle name="20% - Accent3 7 3 2 2 4" xfId="20706"/>
    <cellStyle name="20% - Accent3 7 3 2 3" xfId="6559"/>
    <cellStyle name="20% - Accent3 7 3 2 3 2" xfId="14531"/>
    <cellStyle name="20% - Accent3 7 3 2 3 3" xfId="22478"/>
    <cellStyle name="20% - Accent3 7 3 2 4" xfId="10995"/>
    <cellStyle name="20% - Accent3 7 3 2 5" xfId="18950"/>
    <cellStyle name="20% - Accent3 7 3 2_Exh G" xfId="2289"/>
    <cellStyle name="20% - Accent3 7 3 3" xfId="3848"/>
    <cellStyle name="20% - Accent3 7 3 3 2" xfId="7440"/>
    <cellStyle name="20% - Accent3 7 3 3 2 2" xfId="15411"/>
    <cellStyle name="20% - Accent3 7 3 3 2 3" xfId="23357"/>
    <cellStyle name="20% - Accent3 7 3 3 3" xfId="11873"/>
    <cellStyle name="20% - Accent3 7 3 3 4" xfId="19828"/>
    <cellStyle name="20% - Accent3 7 3 4" xfId="5668"/>
    <cellStyle name="20% - Accent3 7 3 4 2" xfId="13652"/>
    <cellStyle name="20% - Accent3 7 3 4 3" xfId="21600"/>
    <cellStyle name="20% - Accent3 7 3 5" xfId="9221"/>
    <cellStyle name="20% - Accent3 7 3 5 2" xfId="17179"/>
    <cellStyle name="20% - Accent3 7 3 5 3" xfId="25123"/>
    <cellStyle name="20% - Accent3 7 3 6" xfId="10117"/>
    <cellStyle name="20% - Accent3 7 3 7" xfId="18072"/>
    <cellStyle name="20% - Accent3 7 3_Exh G" xfId="2288"/>
    <cellStyle name="20% - Accent3 7 4" xfId="895"/>
    <cellStyle name="20% - Accent3 7 4 2" xfId="1826"/>
    <cellStyle name="20% - Accent3 7 4 2 2" xfId="5344"/>
    <cellStyle name="20% - Accent3 7 4 2 2 2" xfId="8935"/>
    <cellStyle name="20% - Accent3 7 4 2 2 2 2" xfId="16906"/>
    <cellStyle name="20% - Accent3 7 4 2 2 2 3" xfId="24852"/>
    <cellStyle name="20% - Accent3 7 4 2 2 3" xfId="13368"/>
    <cellStyle name="20% - Accent3 7 4 2 2 4" xfId="21323"/>
    <cellStyle name="20% - Accent3 7 4 2 3" xfId="7176"/>
    <cellStyle name="20% - Accent3 7 4 2 3 2" xfId="15148"/>
    <cellStyle name="20% - Accent3 7 4 2 3 3" xfId="23095"/>
    <cellStyle name="20% - Accent3 7 4 2 4" xfId="11612"/>
    <cellStyle name="20% - Accent3 7 4 2 5" xfId="19567"/>
    <cellStyle name="20% - Accent3 7 4 2_Exh G" xfId="2291"/>
    <cellStyle name="20% - Accent3 7 4 3" xfId="4465"/>
    <cellStyle name="20% - Accent3 7 4 3 2" xfId="8057"/>
    <cellStyle name="20% - Accent3 7 4 3 2 2" xfId="16028"/>
    <cellStyle name="20% - Accent3 7 4 3 2 3" xfId="23974"/>
    <cellStyle name="20% - Accent3 7 4 3 3" xfId="12490"/>
    <cellStyle name="20% - Accent3 7 4 3 4" xfId="20445"/>
    <cellStyle name="20% - Accent3 7 4 4" xfId="6295"/>
    <cellStyle name="20% - Accent3 7 4 4 2" xfId="14270"/>
    <cellStyle name="20% - Accent3 7 4 4 3" xfId="22217"/>
    <cellStyle name="20% - Accent3 7 4 5" xfId="9838"/>
    <cellStyle name="20% - Accent3 7 4 5 2" xfId="17796"/>
    <cellStyle name="20% - Accent3 7 4 5 3" xfId="25740"/>
    <cellStyle name="20% - Accent3 7 4 6" xfId="10734"/>
    <cellStyle name="20% - Accent3 7 4 7" xfId="18689"/>
    <cellStyle name="20% - Accent3 7 4_Exh G" xfId="2290"/>
    <cellStyle name="20% - Accent3 7 5" xfId="1194"/>
    <cellStyle name="20% - Accent3 7 5 2" xfId="4724"/>
    <cellStyle name="20% - Accent3 7 5 2 2" xfId="8315"/>
    <cellStyle name="20% - Accent3 7 5 2 2 2" xfId="16286"/>
    <cellStyle name="20% - Accent3 7 5 2 2 3" xfId="24232"/>
    <cellStyle name="20% - Accent3 7 5 2 3" xfId="12748"/>
    <cellStyle name="20% - Accent3 7 5 2 4" xfId="20703"/>
    <cellStyle name="20% - Accent3 7 5 3" xfId="6556"/>
    <cellStyle name="20% - Accent3 7 5 3 2" xfId="14528"/>
    <cellStyle name="20% - Accent3 7 5 3 3" xfId="22475"/>
    <cellStyle name="20% - Accent3 7 5 4" xfId="10992"/>
    <cellStyle name="20% - Accent3 7 5 5" xfId="18947"/>
    <cellStyle name="20% - Accent3 7 5_Exh G" xfId="2292"/>
    <cellStyle name="20% - Accent3 7 6" xfId="3845"/>
    <cellStyle name="20% - Accent3 7 6 2" xfId="7437"/>
    <cellStyle name="20% - Accent3 7 6 2 2" xfId="15408"/>
    <cellStyle name="20% - Accent3 7 6 2 3" xfId="23354"/>
    <cellStyle name="20% - Accent3 7 6 3" xfId="11870"/>
    <cellStyle name="20% - Accent3 7 6 4" xfId="19825"/>
    <cellStyle name="20% - Accent3 7 7" xfId="5665"/>
    <cellStyle name="20% - Accent3 7 7 2" xfId="13649"/>
    <cellStyle name="20% - Accent3 7 7 3" xfId="21597"/>
    <cellStyle name="20% - Accent3 7 8" xfId="9218"/>
    <cellStyle name="20% - Accent3 7 8 2" xfId="17176"/>
    <cellStyle name="20% - Accent3 7 8 3" xfId="25120"/>
    <cellStyle name="20% - Accent3 7 9" xfId="10114"/>
    <cellStyle name="20% - Accent3 7_Exh G" xfId="2283"/>
    <cellStyle name="20% - Accent3 8" xfId="170"/>
    <cellStyle name="20% - Accent3 8 10" xfId="18073"/>
    <cellStyle name="20% - Accent3 8 2" xfId="171"/>
    <cellStyle name="20% - Accent3 8 2 2" xfId="172"/>
    <cellStyle name="20% - Accent3 8 2 2 2" xfId="1200"/>
    <cellStyle name="20% - Accent3 8 2 2 2 2" xfId="4730"/>
    <cellStyle name="20% - Accent3 8 2 2 2 2 2" xfId="8321"/>
    <cellStyle name="20% - Accent3 8 2 2 2 2 2 2" xfId="16292"/>
    <cellStyle name="20% - Accent3 8 2 2 2 2 2 3" xfId="24238"/>
    <cellStyle name="20% - Accent3 8 2 2 2 2 3" xfId="12754"/>
    <cellStyle name="20% - Accent3 8 2 2 2 2 4" xfId="20709"/>
    <cellStyle name="20% - Accent3 8 2 2 2 3" xfId="6562"/>
    <cellStyle name="20% - Accent3 8 2 2 2 3 2" xfId="14534"/>
    <cellStyle name="20% - Accent3 8 2 2 2 3 3" xfId="22481"/>
    <cellStyle name="20% - Accent3 8 2 2 2 4" xfId="10998"/>
    <cellStyle name="20% - Accent3 8 2 2 2 5" xfId="18953"/>
    <cellStyle name="20% - Accent3 8 2 2 2_Exh G" xfId="2296"/>
    <cellStyle name="20% - Accent3 8 2 2 3" xfId="3851"/>
    <cellStyle name="20% - Accent3 8 2 2 3 2" xfId="7443"/>
    <cellStyle name="20% - Accent3 8 2 2 3 2 2" xfId="15414"/>
    <cellStyle name="20% - Accent3 8 2 2 3 2 3" xfId="23360"/>
    <cellStyle name="20% - Accent3 8 2 2 3 3" xfId="11876"/>
    <cellStyle name="20% - Accent3 8 2 2 3 4" xfId="19831"/>
    <cellStyle name="20% - Accent3 8 2 2 4" xfId="5671"/>
    <cellStyle name="20% - Accent3 8 2 2 4 2" xfId="13655"/>
    <cellStyle name="20% - Accent3 8 2 2 4 3" xfId="21603"/>
    <cellStyle name="20% - Accent3 8 2 2 5" xfId="9224"/>
    <cellStyle name="20% - Accent3 8 2 2 5 2" xfId="17182"/>
    <cellStyle name="20% - Accent3 8 2 2 5 3" xfId="25126"/>
    <cellStyle name="20% - Accent3 8 2 2 6" xfId="10120"/>
    <cellStyle name="20% - Accent3 8 2 2 7" xfId="18075"/>
    <cellStyle name="20% - Accent3 8 2 2_Exh G" xfId="2295"/>
    <cellStyle name="20% - Accent3 8 2 3" xfId="1199"/>
    <cellStyle name="20% - Accent3 8 2 3 2" xfId="4729"/>
    <cellStyle name="20% - Accent3 8 2 3 2 2" xfId="8320"/>
    <cellStyle name="20% - Accent3 8 2 3 2 2 2" xfId="16291"/>
    <cellStyle name="20% - Accent3 8 2 3 2 2 3" xfId="24237"/>
    <cellStyle name="20% - Accent3 8 2 3 2 3" xfId="12753"/>
    <cellStyle name="20% - Accent3 8 2 3 2 4" xfId="20708"/>
    <cellStyle name="20% - Accent3 8 2 3 3" xfId="6561"/>
    <cellStyle name="20% - Accent3 8 2 3 3 2" xfId="14533"/>
    <cellStyle name="20% - Accent3 8 2 3 3 3" xfId="22480"/>
    <cellStyle name="20% - Accent3 8 2 3 4" xfId="10997"/>
    <cellStyle name="20% - Accent3 8 2 3 5" xfId="18952"/>
    <cellStyle name="20% - Accent3 8 2 3_Exh G" xfId="2297"/>
    <cellStyle name="20% - Accent3 8 2 4" xfId="3850"/>
    <cellStyle name="20% - Accent3 8 2 4 2" xfId="7442"/>
    <cellStyle name="20% - Accent3 8 2 4 2 2" xfId="15413"/>
    <cellStyle name="20% - Accent3 8 2 4 2 3" xfId="23359"/>
    <cellStyle name="20% - Accent3 8 2 4 3" xfId="11875"/>
    <cellStyle name="20% - Accent3 8 2 4 4" xfId="19830"/>
    <cellStyle name="20% - Accent3 8 2 5" xfId="5670"/>
    <cellStyle name="20% - Accent3 8 2 5 2" xfId="13654"/>
    <cellStyle name="20% - Accent3 8 2 5 3" xfId="21602"/>
    <cellStyle name="20% - Accent3 8 2 6" xfId="9223"/>
    <cellStyle name="20% - Accent3 8 2 6 2" xfId="17181"/>
    <cellStyle name="20% - Accent3 8 2 6 3" xfId="25125"/>
    <cellStyle name="20% - Accent3 8 2 7" xfId="10119"/>
    <cellStyle name="20% - Accent3 8 2 8" xfId="18074"/>
    <cellStyle name="20% - Accent3 8 2_Exh G" xfId="2294"/>
    <cellStyle name="20% - Accent3 8 3" xfId="173"/>
    <cellStyle name="20% - Accent3 8 3 2" xfId="1201"/>
    <cellStyle name="20% - Accent3 8 3 2 2" xfId="4731"/>
    <cellStyle name="20% - Accent3 8 3 2 2 2" xfId="8322"/>
    <cellStyle name="20% - Accent3 8 3 2 2 2 2" xfId="16293"/>
    <cellStyle name="20% - Accent3 8 3 2 2 2 3" xfId="24239"/>
    <cellStyle name="20% - Accent3 8 3 2 2 3" xfId="12755"/>
    <cellStyle name="20% - Accent3 8 3 2 2 4" xfId="20710"/>
    <cellStyle name="20% - Accent3 8 3 2 3" xfId="6563"/>
    <cellStyle name="20% - Accent3 8 3 2 3 2" xfId="14535"/>
    <cellStyle name="20% - Accent3 8 3 2 3 3" xfId="22482"/>
    <cellStyle name="20% - Accent3 8 3 2 4" xfId="10999"/>
    <cellStyle name="20% - Accent3 8 3 2 5" xfId="18954"/>
    <cellStyle name="20% - Accent3 8 3 2_Exh G" xfId="2299"/>
    <cellStyle name="20% - Accent3 8 3 3" xfId="3852"/>
    <cellStyle name="20% - Accent3 8 3 3 2" xfId="7444"/>
    <cellStyle name="20% - Accent3 8 3 3 2 2" xfId="15415"/>
    <cellStyle name="20% - Accent3 8 3 3 2 3" xfId="23361"/>
    <cellStyle name="20% - Accent3 8 3 3 3" xfId="11877"/>
    <cellStyle name="20% - Accent3 8 3 3 4" xfId="19832"/>
    <cellStyle name="20% - Accent3 8 3 4" xfId="5672"/>
    <cellStyle name="20% - Accent3 8 3 4 2" xfId="13656"/>
    <cellStyle name="20% - Accent3 8 3 4 3" xfId="21604"/>
    <cellStyle name="20% - Accent3 8 3 5" xfId="9225"/>
    <cellStyle name="20% - Accent3 8 3 5 2" xfId="17183"/>
    <cellStyle name="20% - Accent3 8 3 5 3" xfId="25127"/>
    <cellStyle name="20% - Accent3 8 3 6" xfId="10121"/>
    <cellStyle name="20% - Accent3 8 3 7" xfId="18076"/>
    <cellStyle name="20% - Accent3 8 3_Exh G" xfId="2298"/>
    <cellStyle name="20% - Accent3 8 4" xfId="896"/>
    <cellStyle name="20% - Accent3 8 4 2" xfId="1827"/>
    <cellStyle name="20% - Accent3 8 4 2 2" xfId="5345"/>
    <cellStyle name="20% - Accent3 8 4 2 2 2" xfId="8936"/>
    <cellStyle name="20% - Accent3 8 4 2 2 2 2" xfId="16907"/>
    <cellStyle name="20% - Accent3 8 4 2 2 2 3" xfId="24853"/>
    <cellStyle name="20% - Accent3 8 4 2 2 3" xfId="13369"/>
    <cellStyle name="20% - Accent3 8 4 2 2 4" xfId="21324"/>
    <cellStyle name="20% - Accent3 8 4 2 3" xfId="7177"/>
    <cellStyle name="20% - Accent3 8 4 2 3 2" xfId="15149"/>
    <cellStyle name="20% - Accent3 8 4 2 3 3" xfId="23096"/>
    <cellStyle name="20% - Accent3 8 4 2 4" xfId="11613"/>
    <cellStyle name="20% - Accent3 8 4 2 5" xfId="19568"/>
    <cellStyle name="20% - Accent3 8 4 2_Exh G" xfId="2301"/>
    <cellStyle name="20% - Accent3 8 4 3" xfId="4466"/>
    <cellStyle name="20% - Accent3 8 4 3 2" xfId="8058"/>
    <cellStyle name="20% - Accent3 8 4 3 2 2" xfId="16029"/>
    <cellStyle name="20% - Accent3 8 4 3 2 3" xfId="23975"/>
    <cellStyle name="20% - Accent3 8 4 3 3" xfId="12491"/>
    <cellStyle name="20% - Accent3 8 4 3 4" xfId="20446"/>
    <cellStyle name="20% - Accent3 8 4 4" xfId="6296"/>
    <cellStyle name="20% - Accent3 8 4 4 2" xfId="14271"/>
    <cellStyle name="20% - Accent3 8 4 4 3" xfId="22218"/>
    <cellStyle name="20% - Accent3 8 4 5" xfId="9839"/>
    <cellStyle name="20% - Accent3 8 4 5 2" xfId="17797"/>
    <cellStyle name="20% - Accent3 8 4 5 3" xfId="25741"/>
    <cellStyle name="20% - Accent3 8 4 6" xfId="10735"/>
    <cellStyle name="20% - Accent3 8 4 7" xfId="18690"/>
    <cellStyle name="20% - Accent3 8 4_Exh G" xfId="2300"/>
    <cellStyle name="20% - Accent3 8 5" xfId="1198"/>
    <cellStyle name="20% - Accent3 8 5 2" xfId="4728"/>
    <cellStyle name="20% - Accent3 8 5 2 2" xfId="8319"/>
    <cellStyle name="20% - Accent3 8 5 2 2 2" xfId="16290"/>
    <cellStyle name="20% - Accent3 8 5 2 2 3" xfId="24236"/>
    <cellStyle name="20% - Accent3 8 5 2 3" xfId="12752"/>
    <cellStyle name="20% - Accent3 8 5 2 4" xfId="20707"/>
    <cellStyle name="20% - Accent3 8 5 3" xfId="6560"/>
    <cellStyle name="20% - Accent3 8 5 3 2" xfId="14532"/>
    <cellStyle name="20% - Accent3 8 5 3 3" xfId="22479"/>
    <cellStyle name="20% - Accent3 8 5 4" xfId="10996"/>
    <cellStyle name="20% - Accent3 8 5 5" xfId="18951"/>
    <cellStyle name="20% - Accent3 8 5_Exh G" xfId="2302"/>
    <cellStyle name="20% - Accent3 8 6" xfId="3849"/>
    <cellStyle name="20% - Accent3 8 6 2" xfId="7441"/>
    <cellStyle name="20% - Accent3 8 6 2 2" xfId="15412"/>
    <cellStyle name="20% - Accent3 8 6 2 3" xfId="23358"/>
    <cellStyle name="20% - Accent3 8 6 3" xfId="11874"/>
    <cellStyle name="20% - Accent3 8 6 4" xfId="19829"/>
    <cellStyle name="20% - Accent3 8 7" xfId="5669"/>
    <cellStyle name="20% - Accent3 8 7 2" xfId="13653"/>
    <cellStyle name="20% - Accent3 8 7 3" xfId="21601"/>
    <cellStyle name="20% - Accent3 8 8" xfId="9222"/>
    <cellStyle name="20% - Accent3 8 8 2" xfId="17180"/>
    <cellStyle name="20% - Accent3 8 8 3" xfId="25124"/>
    <cellStyle name="20% - Accent3 8 9" xfId="10118"/>
    <cellStyle name="20% - Accent3 8_Exh G" xfId="2293"/>
    <cellStyle name="20% - Accent3 9" xfId="174"/>
    <cellStyle name="20% - Accent3 9 10" xfId="18077"/>
    <cellStyle name="20% - Accent3 9 2" xfId="175"/>
    <cellStyle name="20% - Accent3 9 2 2" xfId="176"/>
    <cellStyle name="20% - Accent3 9 2 2 2" xfId="1204"/>
    <cellStyle name="20% - Accent3 9 2 2 2 2" xfId="4734"/>
    <cellStyle name="20% - Accent3 9 2 2 2 2 2" xfId="8325"/>
    <cellStyle name="20% - Accent3 9 2 2 2 2 2 2" xfId="16296"/>
    <cellStyle name="20% - Accent3 9 2 2 2 2 2 3" xfId="24242"/>
    <cellStyle name="20% - Accent3 9 2 2 2 2 3" xfId="12758"/>
    <cellStyle name="20% - Accent3 9 2 2 2 2 4" xfId="20713"/>
    <cellStyle name="20% - Accent3 9 2 2 2 3" xfId="6566"/>
    <cellStyle name="20% - Accent3 9 2 2 2 3 2" xfId="14538"/>
    <cellStyle name="20% - Accent3 9 2 2 2 3 3" xfId="22485"/>
    <cellStyle name="20% - Accent3 9 2 2 2 4" xfId="11002"/>
    <cellStyle name="20% - Accent3 9 2 2 2 5" xfId="18957"/>
    <cellStyle name="20% - Accent3 9 2 2 2_Exh G" xfId="2306"/>
    <cellStyle name="20% - Accent3 9 2 2 3" xfId="3855"/>
    <cellStyle name="20% - Accent3 9 2 2 3 2" xfId="7447"/>
    <cellStyle name="20% - Accent3 9 2 2 3 2 2" xfId="15418"/>
    <cellStyle name="20% - Accent3 9 2 2 3 2 3" xfId="23364"/>
    <cellStyle name="20% - Accent3 9 2 2 3 3" xfId="11880"/>
    <cellStyle name="20% - Accent3 9 2 2 3 4" xfId="19835"/>
    <cellStyle name="20% - Accent3 9 2 2 4" xfId="5675"/>
    <cellStyle name="20% - Accent3 9 2 2 4 2" xfId="13659"/>
    <cellStyle name="20% - Accent3 9 2 2 4 3" xfId="21607"/>
    <cellStyle name="20% - Accent3 9 2 2 5" xfId="9228"/>
    <cellStyle name="20% - Accent3 9 2 2 5 2" xfId="17186"/>
    <cellStyle name="20% - Accent3 9 2 2 5 3" xfId="25130"/>
    <cellStyle name="20% - Accent3 9 2 2 6" xfId="10124"/>
    <cellStyle name="20% - Accent3 9 2 2 7" xfId="18079"/>
    <cellStyle name="20% - Accent3 9 2 2_Exh G" xfId="2305"/>
    <cellStyle name="20% - Accent3 9 2 3" xfId="1203"/>
    <cellStyle name="20% - Accent3 9 2 3 2" xfId="4733"/>
    <cellStyle name="20% - Accent3 9 2 3 2 2" xfId="8324"/>
    <cellStyle name="20% - Accent3 9 2 3 2 2 2" xfId="16295"/>
    <cellStyle name="20% - Accent3 9 2 3 2 2 3" xfId="24241"/>
    <cellStyle name="20% - Accent3 9 2 3 2 3" xfId="12757"/>
    <cellStyle name="20% - Accent3 9 2 3 2 4" xfId="20712"/>
    <cellStyle name="20% - Accent3 9 2 3 3" xfId="6565"/>
    <cellStyle name="20% - Accent3 9 2 3 3 2" xfId="14537"/>
    <cellStyle name="20% - Accent3 9 2 3 3 3" xfId="22484"/>
    <cellStyle name="20% - Accent3 9 2 3 4" xfId="11001"/>
    <cellStyle name="20% - Accent3 9 2 3 5" xfId="18956"/>
    <cellStyle name="20% - Accent3 9 2 3_Exh G" xfId="2307"/>
    <cellStyle name="20% - Accent3 9 2 4" xfId="3854"/>
    <cellStyle name="20% - Accent3 9 2 4 2" xfId="7446"/>
    <cellStyle name="20% - Accent3 9 2 4 2 2" xfId="15417"/>
    <cellStyle name="20% - Accent3 9 2 4 2 3" xfId="23363"/>
    <cellStyle name="20% - Accent3 9 2 4 3" xfId="11879"/>
    <cellStyle name="20% - Accent3 9 2 4 4" xfId="19834"/>
    <cellStyle name="20% - Accent3 9 2 5" xfId="5674"/>
    <cellStyle name="20% - Accent3 9 2 5 2" xfId="13658"/>
    <cellStyle name="20% - Accent3 9 2 5 3" xfId="21606"/>
    <cellStyle name="20% - Accent3 9 2 6" xfId="9227"/>
    <cellStyle name="20% - Accent3 9 2 6 2" xfId="17185"/>
    <cellStyle name="20% - Accent3 9 2 6 3" xfId="25129"/>
    <cellStyle name="20% - Accent3 9 2 7" xfId="10123"/>
    <cellStyle name="20% - Accent3 9 2 8" xfId="18078"/>
    <cellStyle name="20% - Accent3 9 2_Exh G" xfId="2304"/>
    <cellStyle name="20% - Accent3 9 3" xfId="177"/>
    <cellStyle name="20% - Accent3 9 3 2" xfId="1205"/>
    <cellStyle name="20% - Accent3 9 3 2 2" xfId="4735"/>
    <cellStyle name="20% - Accent3 9 3 2 2 2" xfId="8326"/>
    <cellStyle name="20% - Accent3 9 3 2 2 2 2" xfId="16297"/>
    <cellStyle name="20% - Accent3 9 3 2 2 2 3" xfId="24243"/>
    <cellStyle name="20% - Accent3 9 3 2 2 3" xfId="12759"/>
    <cellStyle name="20% - Accent3 9 3 2 2 4" xfId="20714"/>
    <cellStyle name="20% - Accent3 9 3 2 3" xfId="6567"/>
    <cellStyle name="20% - Accent3 9 3 2 3 2" xfId="14539"/>
    <cellStyle name="20% - Accent3 9 3 2 3 3" xfId="22486"/>
    <cellStyle name="20% - Accent3 9 3 2 4" xfId="11003"/>
    <cellStyle name="20% - Accent3 9 3 2 5" xfId="18958"/>
    <cellStyle name="20% - Accent3 9 3 2_Exh G" xfId="2309"/>
    <cellStyle name="20% - Accent3 9 3 3" xfId="3856"/>
    <cellStyle name="20% - Accent3 9 3 3 2" xfId="7448"/>
    <cellStyle name="20% - Accent3 9 3 3 2 2" xfId="15419"/>
    <cellStyle name="20% - Accent3 9 3 3 2 3" xfId="23365"/>
    <cellStyle name="20% - Accent3 9 3 3 3" xfId="11881"/>
    <cellStyle name="20% - Accent3 9 3 3 4" xfId="19836"/>
    <cellStyle name="20% - Accent3 9 3 4" xfId="5676"/>
    <cellStyle name="20% - Accent3 9 3 4 2" xfId="13660"/>
    <cellStyle name="20% - Accent3 9 3 4 3" xfId="21608"/>
    <cellStyle name="20% - Accent3 9 3 5" xfId="9229"/>
    <cellStyle name="20% - Accent3 9 3 5 2" xfId="17187"/>
    <cellStyle name="20% - Accent3 9 3 5 3" xfId="25131"/>
    <cellStyle name="20% - Accent3 9 3 6" xfId="10125"/>
    <cellStyle name="20% - Accent3 9 3 7" xfId="18080"/>
    <cellStyle name="20% - Accent3 9 3_Exh G" xfId="2308"/>
    <cellStyle name="20% - Accent3 9 4" xfId="897"/>
    <cellStyle name="20% - Accent3 9 4 2" xfId="1828"/>
    <cellStyle name="20% - Accent3 9 4 2 2" xfId="5346"/>
    <cellStyle name="20% - Accent3 9 4 2 2 2" xfId="8937"/>
    <cellStyle name="20% - Accent3 9 4 2 2 2 2" xfId="16908"/>
    <cellStyle name="20% - Accent3 9 4 2 2 2 3" xfId="24854"/>
    <cellStyle name="20% - Accent3 9 4 2 2 3" xfId="13370"/>
    <cellStyle name="20% - Accent3 9 4 2 2 4" xfId="21325"/>
    <cellStyle name="20% - Accent3 9 4 2 3" xfId="7178"/>
    <cellStyle name="20% - Accent3 9 4 2 3 2" xfId="15150"/>
    <cellStyle name="20% - Accent3 9 4 2 3 3" xfId="23097"/>
    <cellStyle name="20% - Accent3 9 4 2 4" xfId="11614"/>
    <cellStyle name="20% - Accent3 9 4 2 5" xfId="19569"/>
    <cellStyle name="20% - Accent3 9 4 2_Exh G" xfId="2311"/>
    <cellStyle name="20% - Accent3 9 4 3" xfId="4467"/>
    <cellStyle name="20% - Accent3 9 4 3 2" xfId="8059"/>
    <cellStyle name="20% - Accent3 9 4 3 2 2" xfId="16030"/>
    <cellStyle name="20% - Accent3 9 4 3 2 3" xfId="23976"/>
    <cellStyle name="20% - Accent3 9 4 3 3" xfId="12492"/>
    <cellStyle name="20% - Accent3 9 4 3 4" xfId="20447"/>
    <cellStyle name="20% - Accent3 9 4 4" xfId="6297"/>
    <cellStyle name="20% - Accent3 9 4 4 2" xfId="14272"/>
    <cellStyle name="20% - Accent3 9 4 4 3" xfId="22219"/>
    <cellStyle name="20% - Accent3 9 4 5" xfId="9840"/>
    <cellStyle name="20% - Accent3 9 4 5 2" xfId="17798"/>
    <cellStyle name="20% - Accent3 9 4 5 3" xfId="25742"/>
    <cellStyle name="20% - Accent3 9 4 6" xfId="10736"/>
    <cellStyle name="20% - Accent3 9 4 7" xfId="18691"/>
    <cellStyle name="20% - Accent3 9 4_Exh G" xfId="2310"/>
    <cellStyle name="20% - Accent3 9 5" xfId="1202"/>
    <cellStyle name="20% - Accent3 9 5 2" xfId="4732"/>
    <cellStyle name="20% - Accent3 9 5 2 2" xfId="8323"/>
    <cellStyle name="20% - Accent3 9 5 2 2 2" xfId="16294"/>
    <cellStyle name="20% - Accent3 9 5 2 2 3" xfId="24240"/>
    <cellStyle name="20% - Accent3 9 5 2 3" xfId="12756"/>
    <cellStyle name="20% - Accent3 9 5 2 4" xfId="20711"/>
    <cellStyle name="20% - Accent3 9 5 3" xfId="6564"/>
    <cellStyle name="20% - Accent3 9 5 3 2" xfId="14536"/>
    <cellStyle name="20% - Accent3 9 5 3 3" xfId="22483"/>
    <cellStyle name="20% - Accent3 9 5 4" xfId="11000"/>
    <cellStyle name="20% - Accent3 9 5 5" xfId="18955"/>
    <cellStyle name="20% - Accent3 9 5_Exh G" xfId="2312"/>
    <cellStyle name="20% - Accent3 9 6" xfId="3853"/>
    <cellStyle name="20% - Accent3 9 6 2" xfId="7445"/>
    <cellStyle name="20% - Accent3 9 6 2 2" xfId="15416"/>
    <cellStyle name="20% - Accent3 9 6 2 3" xfId="23362"/>
    <cellStyle name="20% - Accent3 9 6 3" xfId="11878"/>
    <cellStyle name="20% - Accent3 9 6 4" xfId="19833"/>
    <cellStyle name="20% - Accent3 9 7" xfId="5673"/>
    <cellStyle name="20% - Accent3 9 7 2" xfId="13657"/>
    <cellStyle name="20% - Accent3 9 7 3" xfId="21605"/>
    <cellStyle name="20% - Accent3 9 8" xfId="9226"/>
    <cellStyle name="20% - Accent3 9 8 2" xfId="17184"/>
    <cellStyle name="20% - Accent3 9 8 3" xfId="25128"/>
    <cellStyle name="20% - Accent3 9 9" xfId="10122"/>
    <cellStyle name="20% - Accent3 9_Exh G" xfId="2303"/>
    <cellStyle name="20% - Accent4 10" xfId="178"/>
    <cellStyle name="20% - Accent4 10 10" xfId="18081"/>
    <cellStyle name="20% - Accent4 10 2" xfId="179"/>
    <cellStyle name="20% - Accent4 10 2 2" xfId="180"/>
    <cellStyle name="20% - Accent4 10 2 2 2" xfId="1208"/>
    <cellStyle name="20% - Accent4 10 2 2 2 2" xfId="4738"/>
    <cellStyle name="20% - Accent4 10 2 2 2 2 2" xfId="8329"/>
    <cellStyle name="20% - Accent4 10 2 2 2 2 2 2" xfId="16300"/>
    <cellStyle name="20% - Accent4 10 2 2 2 2 2 3" xfId="24246"/>
    <cellStyle name="20% - Accent4 10 2 2 2 2 3" xfId="12762"/>
    <cellStyle name="20% - Accent4 10 2 2 2 2 4" xfId="20717"/>
    <cellStyle name="20% - Accent4 10 2 2 2 3" xfId="6570"/>
    <cellStyle name="20% - Accent4 10 2 2 2 3 2" xfId="14542"/>
    <cellStyle name="20% - Accent4 10 2 2 2 3 3" xfId="22489"/>
    <cellStyle name="20% - Accent4 10 2 2 2 4" xfId="11006"/>
    <cellStyle name="20% - Accent4 10 2 2 2 5" xfId="18961"/>
    <cellStyle name="20% - Accent4 10 2 2 2_Exh G" xfId="2316"/>
    <cellStyle name="20% - Accent4 10 2 2 3" xfId="3859"/>
    <cellStyle name="20% - Accent4 10 2 2 3 2" xfId="7451"/>
    <cellStyle name="20% - Accent4 10 2 2 3 2 2" xfId="15422"/>
    <cellStyle name="20% - Accent4 10 2 2 3 2 3" xfId="23368"/>
    <cellStyle name="20% - Accent4 10 2 2 3 3" xfId="11884"/>
    <cellStyle name="20% - Accent4 10 2 2 3 4" xfId="19839"/>
    <cellStyle name="20% - Accent4 10 2 2 4" xfId="5679"/>
    <cellStyle name="20% - Accent4 10 2 2 4 2" xfId="13663"/>
    <cellStyle name="20% - Accent4 10 2 2 4 3" xfId="21611"/>
    <cellStyle name="20% - Accent4 10 2 2 5" xfId="9232"/>
    <cellStyle name="20% - Accent4 10 2 2 5 2" xfId="17190"/>
    <cellStyle name="20% - Accent4 10 2 2 5 3" xfId="25134"/>
    <cellStyle name="20% - Accent4 10 2 2 6" xfId="10128"/>
    <cellStyle name="20% - Accent4 10 2 2 7" xfId="18083"/>
    <cellStyle name="20% - Accent4 10 2 2_Exh G" xfId="2315"/>
    <cellStyle name="20% - Accent4 10 2 3" xfId="1207"/>
    <cellStyle name="20% - Accent4 10 2 3 2" xfId="4737"/>
    <cellStyle name="20% - Accent4 10 2 3 2 2" xfId="8328"/>
    <cellStyle name="20% - Accent4 10 2 3 2 2 2" xfId="16299"/>
    <cellStyle name="20% - Accent4 10 2 3 2 2 3" xfId="24245"/>
    <cellStyle name="20% - Accent4 10 2 3 2 3" xfId="12761"/>
    <cellStyle name="20% - Accent4 10 2 3 2 4" xfId="20716"/>
    <cellStyle name="20% - Accent4 10 2 3 3" xfId="6569"/>
    <cellStyle name="20% - Accent4 10 2 3 3 2" xfId="14541"/>
    <cellStyle name="20% - Accent4 10 2 3 3 3" xfId="22488"/>
    <cellStyle name="20% - Accent4 10 2 3 4" xfId="11005"/>
    <cellStyle name="20% - Accent4 10 2 3 5" xfId="18960"/>
    <cellStyle name="20% - Accent4 10 2 3_Exh G" xfId="2317"/>
    <cellStyle name="20% - Accent4 10 2 4" xfId="3858"/>
    <cellStyle name="20% - Accent4 10 2 4 2" xfId="7450"/>
    <cellStyle name="20% - Accent4 10 2 4 2 2" xfId="15421"/>
    <cellStyle name="20% - Accent4 10 2 4 2 3" xfId="23367"/>
    <cellStyle name="20% - Accent4 10 2 4 3" xfId="11883"/>
    <cellStyle name="20% - Accent4 10 2 4 4" xfId="19838"/>
    <cellStyle name="20% - Accent4 10 2 5" xfId="5678"/>
    <cellStyle name="20% - Accent4 10 2 5 2" xfId="13662"/>
    <cellStyle name="20% - Accent4 10 2 5 3" xfId="21610"/>
    <cellStyle name="20% - Accent4 10 2 6" xfId="9231"/>
    <cellStyle name="20% - Accent4 10 2 6 2" xfId="17189"/>
    <cellStyle name="20% - Accent4 10 2 6 3" xfId="25133"/>
    <cellStyle name="20% - Accent4 10 2 7" xfId="10127"/>
    <cellStyle name="20% - Accent4 10 2 8" xfId="18082"/>
    <cellStyle name="20% - Accent4 10 2_Exh G" xfId="2314"/>
    <cellStyle name="20% - Accent4 10 3" xfId="181"/>
    <cellStyle name="20% - Accent4 10 3 2" xfId="1209"/>
    <cellStyle name="20% - Accent4 10 3 2 2" xfId="4739"/>
    <cellStyle name="20% - Accent4 10 3 2 2 2" xfId="8330"/>
    <cellStyle name="20% - Accent4 10 3 2 2 2 2" xfId="16301"/>
    <cellStyle name="20% - Accent4 10 3 2 2 2 3" xfId="24247"/>
    <cellStyle name="20% - Accent4 10 3 2 2 3" xfId="12763"/>
    <cellStyle name="20% - Accent4 10 3 2 2 4" xfId="20718"/>
    <cellStyle name="20% - Accent4 10 3 2 3" xfId="6571"/>
    <cellStyle name="20% - Accent4 10 3 2 3 2" xfId="14543"/>
    <cellStyle name="20% - Accent4 10 3 2 3 3" xfId="22490"/>
    <cellStyle name="20% - Accent4 10 3 2 4" xfId="11007"/>
    <cellStyle name="20% - Accent4 10 3 2 5" xfId="18962"/>
    <cellStyle name="20% - Accent4 10 3 2_Exh G" xfId="2319"/>
    <cellStyle name="20% - Accent4 10 3 3" xfId="3860"/>
    <cellStyle name="20% - Accent4 10 3 3 2" xfId="7452"/>
    <cellStyle name="20% - Accent4 10 3 3 2 2" xfId="15423"/>
    <cellStyle name="20% - Accent4 10 3 3 2 3" xfId="23369"/>
    <cellStyle name="20% - Accent4 10 3 3 3" xfId="11885"/>
    <cellStyle name="20% - Accent4 10 3 3 4" xfId="19840"/>
    <cellStyle name="20% - Accent4 10 3 4" xfId="5680"/>
    <cellStyle name="20% - Accent4 10 3 4 2" xfId="13664"/>
    <cellStyle name="20% - Accent4 10 3 4 3" xfId="21612"/>
    <cellStyle name="20% - Accent4 10 3 5" xfId="9233"/>
    <cellStyle name="20% - Accent4 10 3 5 2" xfId="17191"/>
    <cellStyle name="20% - Accent4 10 3 5 3" xfId="25135"/>
    <cellStyle name="20% - Accent4 10 3 6" xfId="10129"/>
    <cellStyle name="20% - Accent4 10 3 7" xfId="18084"/>
    <cellStyle name="20% - Accent4 10 3_Exh G" xfId="2318"/>
    <cellStyle name="20% - Accent4 10 4" xfId="898"/>
    <cellStyle name="20% - Accent4 10 5" xfId="1206"/>
    <cellStyle name="20% - Accent4 10 5 2" xfId="4736"/>
    <cellStyle name="20% - Accent4 10 5 2 2" xfId="8327"/>
    <cellStyle name="20% - Accent4 10 5 2 2 2" xfId="16298"/>
    <cellStyle name="20% - Accent4 10 5 2 2 3" xfId="24244"/>
    <cellStyle name="20% - Accent4 10 5 2 3" xfId="12760"/>
    <cellStyle name="20% - Accent4 10 5 2 4" xfId="20715"/>
    <cellStyle name="20% - Accent4 10 5 3" xfId="6568"/>
    <cellStyle name="20% - Accent4 10 5 3 2" xfId="14540"/>
    <cellStyle name="20% - Accent4 10 5 3 3" xfId="22487"/>
    <cellStyle name="20% - Accent4 10 5 4" xfId="11004"/>
    <cellStyle name="20% - Accent4 10 5 5" xfId="18959"/>
    <cellStyle name="20% - Accent4 10 5_Exh G" xfId="2320"/>
    <cellStyle name="20% - Accent4 10 6" xfId="3857"/>
    <cellStyle name="20% - Accent4 10 6 2" xfId="7449"/>
    <cellStyle name="20% - Accent4 10 6 2 2" xfId="15420"/>
    <cellStyle name="20% - Accent4 10 6 2 3" xfId="23366"/>
    <cellStyle name="20% - Accent4 10 6 3" xfId="11882"/>
    <cellStyle name="20% - Accent4 10 6 4" xfId="19837"/>
    <cellStyle name="20% - Accent4 10 7" xfId="5677"/>
    <cellStyle name="20% - Accent4 10 7 2" xfId="13661"/>
    <cellStyle name="20% - Accent4 10 7 3" xfId="21609"/>
    <cellStyle name="20% - Accent4 10 8" xfId="9230"/>
    <cellStyle name="20% - Accent4 10 8 2" xfId="17188"/>
    <cellStyle name="20% - Accent4 10 8 3" xfId="25132"/>
    <cellStyle name="20% - Accent4 10 9" xfId="10126"/>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 2 2" xfId="8333"/>
    <cellStyle name="20% - Accent4 11 2 2 2 2 2 2" xfId="16304"/>
    <cellStyle name="20% - Accent4 11 2 2 2 2 2 3" xfId="24250"/>
    <cellStyle name="20% - Accent4 11 2 2 2 2 3" xfId="12766"/>
    <cellStyle name="20% - Accent4 11 2 2 2 2 4" xfId="20721"/>
    <cellStyle name="20% - Accent4 11 2 2 2 3" xfId="6574"/>
    <cellStyle name="20% - Accent4 11 2 2 2 3 2" xfId="14546"/>
    <cellStyle name="20% - Accent4 11 2 2 2 3 3" xfId="22493"/>
    <cellStyle name="20% - Accent4 11 2 2 2 4" xfId="11010"/>
    <cellStyle name="20% - Accent4 11 2 2 2 5" xfId="18965"/>
    <cellStyle name="20% - Accent4 11 2 2 2_Exh G" xfId="2324"/>
    <cellStyle name="20% - Accent4 11 2 2 3" xfId="3863"/>
    <cellStyle name="20% - Accent4 11 2 2 3 2" xfId="7455"/>
    <cellStyle name="20% - Accent4 11 2 2 3 2 2" xfId="15426"/>
    <cellStyle name="20% - Accent4 11 2 2 3 2 3" xfId="23372"/>
    <cellStyle name="20% - Accent4 11 2 2 3 3" xfId="11888"/>
    <cellStyle name="20% - Accent4 11 2 2 3 4" xfId="19843"/>
    <cellStyle name="20% - Accent4 11 2 2 4" xfId="5683"/>
    <cellStyle name="20% - Accent4 11 2 2 4 2" xfId="13667"/>
    <cellStyle name="20% - Accent4 11 2 2 4 3" xfId="21615"/>
    <cellStyle name="20% - Accent4 11 2 2 5" xfId="9236"/>
    <cellStyle name="20% - Accent4 11 2 2 5 2" xfId="17194"/>
    <cellStyle name="20% - Accent4 11 2 2 5 3" xfId="25138"/>
    <cellStyle name="20% - Accent4 11 2 2 6" xfId="10132"/>
    <cellStyle name="20% - Accent4 11 2 2 7" xfId="18087"/>
    <cellStyle name="20% - Accent4 11 2 2_Exh G" xfId="2323"/>
    <cellStyle name="20% - Accent4 11 2 3" xfId="1211"/>
    <cellStyle name="20% - Accent4 11 2 3 2" xfId="4741"/>
    <cellStyle name="20% - Accent4 11 2 3 2 2" xfId="8332"/>
    <cellStyle name="20% - Accent4 11 2 3 2 2 2" xfId="16303"/>
    <cellStyle name="20% - Accent4 11 2 3 2 2 3" xfId="24249"/>
    <cellStyle name="20% - Accent4 11 2 3 2 3" xfId="12765"/>
    <cellStyle name="20% - Accent4 11 2 3 2 4" xfId="20720"/>
    <cellStyle name="20% - Accent4 11 2 3 3" xfId="6573"/>
    <cellStyle name="20% - Accent4 11 2 3 3 2" xfId="14545"/>
    <cellStyle name="20% - Accent4 11 2 3 3 3" xfId="22492"/>
    <cellStyle name="20% - Accent4 11 2 3 4" xfId="11009"/>
    <cellStyle name="20% - Accent4 11 2 3 5" xfId="18964"/>
    <cellStyle name="20% - Accent4 11 2 3_Exh G" xfId="2325"/>
    <cellStyle name="20% - Accent4 11 2 4" xfId="3862"/>
    <cellStyle name="20% - Accent4 11 2 4 2" xfId="7454"/>
    <cellStyle name="20% - Accent4 11 2 4 2 2" xfId="15425"/>
    <cellStyle name="20% - Accent4 11 2 4 2 3" xfId="23371"/>
    <cellStyle name="20% - Accent4 11 2 4 3" xfId="11887"/>
    <cellStyle name="20% - Accent4 11 2 4 4" xfId="19842"/>
    <cellStyle name="20% - Accent4 11 2 5" xfId="5682"/>
    <cellStyle name="20% - Accent4 11 2 5 2" xfId="13666"/>
    <cellStyle name="20% - Accent4 11 2 5 3" xfId="21614"/>
    <cellStyle name="20% - Accent4 11 2 6" xfId="9235"/>
    <cellStyle name="20% - Accent4 11 2 6 2" xfId="17193"/>
    <cellStyle name="20% - Accent4 11 2 6 3" xfId="25137"/>
    <cellStyle name="20% - Accent4 11 2 7" xfId="10131"/>
    <cellStyle name="20% - Accent4 11 2 8" xfId="18086"/>
    <cellStyle name="20% - Accent4 11 2_Exh G" xfId="2322"/>
    <cellStyle name="20% - Accent4 11 3" xfId="185"/>
    <cellStyle name="20% - Accent4 11 3 2" xfId="1213"/>
    <cellStyle name="20% - Accent4 11 3 2 2" xfId="4743"/>
    <cellStyle name="20% - Accent4 11 3 2 2 2" xfId="8334"/>
    <cellStyle name="20% - Accent4 11 3 2 2 2 2" xfId="16305"/>
    <cellStyle name="20% - Accent4 11 3 2 2 2 3" xfId="24251"/>
    <cellStyle name="20% - Accent4 11 3 2 2 3" xfId="12767"/>
    <cellStyle name="20% - Accent4 11 3 2 2 4" xfId="20722"/>
    <cellStyle name="20% - Accent4 11 3 2 3" xfId="6575"/>
    <cellStyle name="20% - Accent4 11 3 2 3 2" xfId="14547"/>
    <cellStyle name="20% - Accent4 11 3 2 3 3" xfId="22494"/>
    <cellStyle name="20% - Accent4 11 3 2 4" xfId="11011"/>
    <cellStyle name="20% - Accent4 11 3 2 5" xfId="18966"/>
    <cellStyle name="20% - Accent4 11 3 2_Exh G" xfId="2327"/>
    <cellStyle name="20% - Accent4 11 3 3" xfId="3864"/>
    <cellStyle name="20% - Accent4 11 3 3 2" xfId="7456"/>
    <cellStyle name="20% - Accent4 11 3 3 2 2" xfId="15427"/>
    <cellStyle name="20% - Accent4 11 3 3 2 3" xfId="23373"/>
    <cellStyle name="20% - Accent4 11 3 3 3" xfId="11889"/>
    <cellStyle name="20% - Accent4 11 3 3 4" xfId="19844"/>
    <cellStyle name="20% - Accent4 11 3 4" xfId="5684"/>
    <cellStyle name="20% - Accent4 11 3 4 2" xfId="13668"/>
    <cellStyle name="20% - Accent4 11 3 4 3" xfId="21616"/>
    <cellStyle name="20% - Accent4 11 3 5" xfId="9237"/>
    <cellStyle name="20% - Accent4 11 3 5 2" xfId="17195"/>
    <cellStyle name="20% - Accent4 11 3 5 3" xfId="25139"/>
    <cellStyle name="20% - Accent4 11 3 6" xfId="10133"/>
    <cellStyle name="20% - Accent4 11 3 7" xfId="18088"/>
    <cellStyle name="20% - Accent4 11 3_Exh G" xfId="2326"/>
    <cellStyle name="20% - Accent4 11 4" xfId="1210"/>
    <cellStyle name="20% - Accent4 11 4 2" xfId="4740"/>
    <cellStyle name="20% - Accent4 11 4 2 2" xfId="8331"/>
    <cellStyle name="20% - Accent4 11 4 2 2 2" xfId="16302"/>
    <cellStyle name="20% - Accent4 11 4 2 2 3" xfId="24248"/>
    <cellStyle name="20% - Accent4 11 4 2 3" xfId="12764"/>
    <cellStyle name="20% - Accent4 11 4 2 4" xfId="20719"/>
    <cellStyle name="20% - Accent4 11 4 3" xfId="6572"/>
    <cellStyle name="20% - Accent4 11 4 3 2" xfId="14544"/>
    <cellStyle name="20% - Accent4 11 4 3 3" xfId="22491"/>
    <cellStyle name="20% - Accent4 11 4 4" xfId="11008"/>
    <cellStyle name="20% - Accent4 11 4 5" xfId="18963"/>
    <cellStyle name="20% - Accent4 11 4_Exh G" xfId="2328"/>
    <cellStyle name="20% - Accent4 11 5" xfId="3861"/>
    <cellStyle name="20% - Accent4 11 5 2" xfId="7453"/>
    <cellStyle name="20% - Accent4 11 5 2 2" xfId="15424"/>
    <cellStyle name="20% - Accent4 11 5 2 3" xfId="23370"/>
    <cellStyle name="20% - Accent4 11 5 3" xfId="11886"/>
    <cellStyle name="20% - Accent4 11 5 4" xfId="19841"/>
    <cellStyle name="20% - Accent4 11 6" xfId="5681"/>
    <cellStyle name="20% - Accent4 11 6 2" xfId="13665"/>
    <cellStyle name="20% - Accent4 11 6 3" xfId="21613"/>
    <cellStyle name="20% - Accent4 11 7" xfId="9234"/>
    <cellStyle name="20% - Accent4 11 7 2" xfId="17192"/>
    <cellStyle name="20% - Accent4 11 7 3" xfId="25136"/>
    <cellStyle name="20% - Accent4 11 8" xfId="10130"/>
    <cellStyle name="20% - Accent4 11 9" xfId="18085"/>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 2 2" xfId="8337"/>
    <cellStyle name="20% - Accent4 12 2 2 2 2 2 2" xfId="16308"/>
    <cellStyle name="20% - Accent4 12 2 2 2 2 2 3" xfId="24254"/>
    <cellStyle name="20% - Accent4 12 2 2 2 2 3" xfId="12770"/>
    <cellStyle name="20% - Accent4 12 2 2 2 2 4" xfId="20725"/>
    <cellStyle name="20% - Accent4 12 2 2 2 3" xfId="6578"/>
    <cellStyle name="20% - Accent4 12 2 2 2 3 2" xfId="14550"/>
    <cellStyle name="20% - Accent4 12 2 2 2 3 3" xfId="22497"/>
    <cellStyle name="20% - Accent4 12 2 2 2 4" xfId="11014"/>
    <cellStyle name="20% - Accent4 12 2 2 2 5" xfId="18969"/>
    <cellStyle name="20% - Accent4 12 2 2 2_Exh G" xfId="2332"/>
    <cellStyle name="20% - Accent4 12 2 2 3" xfId="3867"/>
    <cellStyle name="20% - Accent4 12 2 2 3 2" xfId="7459"/>
    <cellStyle name="20% - Accent4 12 2 2 3 2 2" xfId="15430"/>
    <cellStyle name="20% - Accent4 12 2 2 3 2 3" xfId="23376"/>
    <cellStyle name="20% - Accent4 12 2 2 3 3" xfId="11892"/>
    <cellStyle name="20% - Accent4 12 2 2 3 4" xfId="19847"/>
    <cellStyle name="20% - Accent4 12 2 2 4" xfId="5687"/>
    <cellStyle name="20% - Accent4 12 2 2 4 2" xfId="13671"/>
    <cellStyle name="20% - Accent4 12 2 2 4 3" xfId="21619"/>
    <cellStyle name="20% - Accent4 12 2 2 5" xfId="9240"/>
    <cellStyle name="20% - Accent4 12 2 2 5 2" xfId="17198"/>
    <cellStyle name="20% - Accent4 12 2 2 5 3" xfId="25142"/>
    <cellStyle name="20% - Accent4 12 2 2 6" xfId="10136"/>
    <cellStyle name="20% - Accent4 12 2 2 7" xfId="18091"/>
    <cellStyle name="20% - Accent4 12 2 2_Exh G" xfId="2331"/>
    <cellStyle name="20% - Accent4 12 2 3" xfId="1215"/>
    <cellStyle name="20% - Accent4 12 2 3 2" xfId="4745"/>
    <cellStyle name="20% - Accent4 12 2 3 2 2" xfId="8336"/>
    <cellStyle name="20% - Accent4 12 2 3 2 2 2" xfId="16307"/>
    <cellStyle name="20% - Accent4 12 2 3 2 2 3" xfId="24253"/>
    <cellStyle name="20% - Accent4 12 2 3 2 3" xfId="12769"/>
    <cellStyle name="20% - Accent4 12 2 3 2 4" xfId="20724"/>
    <cellStyle name="20% - Accent4 12 2 3 3" xfId="6577"/>
    <cellStyle name="20% - Accent4 12 2 3 3 2" xfId="14549"/>
    <cellStyle name="20% - Accent4 12 2 3 3 3" xfId="22496"/>
    <cellStyle name="20% - Accent4 12 2 3 4" xfId="11013"/>
    <cellStyle name="20% - Accent4 12 2 3 5" xfId="18968"/>
    <cellStyle name="20% - Accent4 12 2 3_Exh G" xfId="2333"/>
    <cellStyle name="20% - Accent4 12 2 4" xfId="3866"/>
    <cellStyle name="20% - Accent4 12 2 4 2" xfId="7458"/>
    <cellStyle name="20% - Accent4 12 2 4 2 2" xfId="15429"/>
    <cellStyle name="20% - Accent4 12 2 4 2 3" xfId="23375"/>
    <cellStyle name="20% - Accent4 12 2 4 3" xfId="11891"/>
    <cellStyle name="20% - Accent4 12 2 4 4" xfId="19846"/>
    <cellStyle name="20% - Accent4 12 2 5" xfId="5686"/>
    <cellStyle name="20% - Accent4 12 2 5 2" xfId="13670"/>
    <cellStyle name="20% - Accent4 12 2 5 3" xfId="21618"/>
    <cellStyle name="20% - Accent4 12 2 6" xfId="9239"/>
    <cellStyle name="20% - Accent4 12 2 6 2" xfId="17197"/>
    <cellStyle name="20% - Accent4 12 2 6 3" xfId="25141"/>
    <cellStyle name="20% - Accent4 12 2 7" xfId="10135"/>
    <cellStyle name="20% - Accent4 12 2 8" xfId="18090"/>
    <cellStyle name="20% - Accent4 12 2_Exh G" xfId="2330"/>
    <cellStyle name="20% - Accent4 12 3" xfId="189"/>
    <cellStyle name="20% - Accent4 12 3 2" xfId="1217"/>
    <cellStyle name="20% - Accent4 12 3 2 2" xfId="4747"/>
    <cellStyle name="20% - Accent4 12 3 2 2 2" xfId="8338"/>
    <cellStyle name="20% - Accent4 12 3 2 2 2 2" xfId="16309"/>
    <cellStyle name="20% - Accent4 12 3 2 2 2 3" xfId="24255"/>
    <cellStyle name="20% - Accent4 12 3 2 2 3" xfId="12771"/>
    <cellStyle name="20% - Accent4 12 3 2 2 4" xfId="20726"/>
    <cellStyle name="20% - Accent4 12 3 2 3" xfId="6579"/>
    <cellStyle name="20% - Accent4 12 3 2 3 2" xfId="14551"/>
    <cellStyle name="20% - Accent4 12 3 2 3 3" xfId="22498"/>
    <cellStyle name="20% - Accent4 12 3 2 4" xfId="11015"/>
    <cellStyle name="20% - Accent4 12 3 2 5" xfId="18970"/>
    <cellStyle name="20% - Accent4 12 3 2_Exh G" xfId="2335"/>
    <cellStyle name="20% - Accent4 12 3 3" xfId="3868"/>
    <cellStyle name="20% - Accent4 12 3 3 2" xfId="7460"/>
    <cellStyle name="20% - Accent4 12 3 3 2 2" xfId="15431"/>
    <cellStyle name="20% - Accent4 12 3 3 2 3" xfId="23377"/>
    <cellStyle name="20% - Accent4 12 3 3 3" xfId="11893"/>
    <cellStyle name="20% - Accent4 12 3 3 4" xfId="19848"/>
    <cellStyle name="20% - Accent4 12 3 4" xfId="5688"/>
    <cellStyle name="20% - Accent4 12 3 4 2" xfId="13672"/>
    <cellStyle name="20% - Accent4 12 3 4 3" xfId="21620"/>
    <cellStyle name="20% - Accent4 12 3 5" xfId="9241"/>
    <cellStyle name="20% - Accent4 12 3 5 2" xfId="17199"/>
    <cellStyle name="20% - Accent4 12 3 5 3" xfId="25143"/>
    <cellStyle name="20% - Accent4 12 3 6" xfId="10137"/>
    <cellStyle name="20% - Accent4 12 3 7" xfId="18092"/>
    <cellStyle name="20% - Accent4 12 3_Exh G" xfId="2334"/>
    <cellStyle name="20% - Accent4 12 4" xfId="1214"/>
    <cellStyle name="20% - Accent4 12 4 2" xfId="4744"/>
    <cellStyle name="20% - Accent4 12 4 2 2" xfId="8335"/>
    <cellStyle name="20% - Accent4 12 4 2 2 2" xfId="16306"/>
    <cellStyle name="20% - Accent4 12 4 2 2 3" xfId="24252"/>
    <cellStyle name="20% - Accent4 12 4 2 3" xfId="12768"/>
    <cellStyle name="20% - Accent4 12 4 2 4" xfId="20723"/>
    <cellStyle name="20% - Accent4 12 4 3" xfId="6576"/>
    <cellStyle name="20% - Accent4 12 4 3 2" xfId="14548"/>
    <cellStyle name="20% - Accent4 12 4 3 3" xfId="22495"/>
    <cellStyle name="20% - Accent4 12 4 4" xfId="11012"/>
    <cellStyle name="20% - Accent4 12 4 5" xfId="18967"/>
    <cellStyle name="20% - Accent4 12 4_Exh G" xfId="2336"/>
    <cellStyle name="20% - Accent4 12 5" xfId="3865"/>
    <cellStyle name="20% - Accent4 12 5 2" xfId="7457"/>
    <cellStyle name="20% - Accent4 12 5 2 2" xfId="15428"/>
    <cellStyle name="20% - Accent4 12 5 2 3" xfId="23374"/>
    <cellStyle name="20% - Accent4 12 5 3" xfId="11890"/>
    <cellStyle name="20% - Accent4 12 5 4" xfId="19845"/>
    <cellStyle name="20% - Accent4 12 6" xfId="5685"/>
    <cellStyle name="20% - Accent4 12 6 2" xfId="13669"/>
    <cellStyle name="20% - Accent4 12 6 3" xfId="21617"/>
    <cellStyle name="20% - Accent4 12 7" xfId="9238"/>
    <cellStyle name="20% - Accent4 12 7 2" xfId="17196"/>
    <cellStyle name="20% - Accent4 12 7 3" xfId="25140"/>
    <cellStyle name="20% - Accent4 12 8" xfId="10134"/>
    <cellStyle name="20% - Accent4 12 9" xfId="18089"/>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 2 2" xfId="8341"/>
    <cellStyle name="20% - Accent4 13 2 2 2 2 2 2" xfId="16312"/>
    <cellStyle name="20% - Accent4 13 2 2 2 2 2 3" xfId="24258"/>
    <cellStyle name="20% - Accent4 13 2 2 2 2 3" xfId="12774"/>
    <cellStyle name="20% - Accent4 13 2 2 2 2 4" xfId="20729"/>
    <cellStyle name="20% - Accent4 13 2 2 2 3" xfId="6582"/>
    <cellStyle name="20% - Accent4 13 2 2 2 3 2" xfId="14554"/>
    <cellStyle name="20% - Accent4 13 2 2 2 3 3" xfId="22501"/>
    <cellStyle name="20% - Accent4 13 2 2 2 4" xfId="11018"/>
    <cellStyle name="20% - Accent4 13 2 2 2 5" xfId="18973"/>
    <cellStyle name="20% - Accent4 13 2 2 2_Exh G" xfId="2340"/>
    <cellStyle name="20% - Accent4 13 2 2 3" xfId="3871"/>
    <cellStyle name="20% - Accent4 13 2 2 3 2" xfId="7463"/>
    <cellStyle name="20% - Accent4 13 2 2 3 2 2" xfId="15434"/>
    <cellStyle name="20% - Accent4 13 2 2 3 2 3" xfId="23380"/>
    <cellStyle name="20% - Accent4 13 2 2 3 3" xfId="11896"/>
    <cellStyle name="20% - Accent4 13 2 2 3 4" xfId="19851"/>
    <cellStyle name="20% - Accent4 13 2 2 4" xfId="5691"/>
    <cellStyle name="20% - Accent4 13 2 2 4 2" xfId="13675"/>
    <cellStyle name="20% - Accent4 13 2 2 4 3" xfId="21623"/>
    <cellStyle name="20% - Accent4 13 2 2 5" xfId="9244"/>
    <cellStyle name="20% - Accent4 13 2 2 5 2" xfId="17202"/>
    <cellStyle name="20% - Accent4 13 2 2 5 3" xfId="25146"/>
    <cellStyle name="20% - Accent4 13 2 2 6" xfId="10140"/>
    <cellStyle name="20% - Accent4 13 2 2 7" xfId="18095"/>
    <cellStyle name="20% - Accent4 13 2 2_Exh G" xfId="2339"/>
    <cellStyle name="20% - Accent4 13 2 3" xfId="1219"/>
    <cellStyle name="20% - Accent4 13 2 3 2" xfId="4749"/>
    <cellStyle name="20% - Accent4 13 2 3 2 2" xfId="8340"/>
    <cellStyle name="20% - Accent4 13 2 3 2 2 2" xfId="16311"/>
    <cellStyle name="20% - Accent4 13 2 3 2 2 3" xfId="24257"/>
    <cellStyle name="20% - Accent4 13 2 3 2 3" xfId="12773"/>
    <cellStyle name="20% - Accent4 13 2 3 2 4" xfId="20728"/>
    <cellStyle name="20% - Accent4 13 2 3 3" xfId="6581"/>
    <cellStyle name="20% - Accent4 13 2 3 3 2" xfId="14553"/>
    <cellStyle name="20% - Accent4 13 2 3 3 3" xfId="22500"/>
    <cellStyle name="20% - Accent4 13 2 3 4" xfId="11017"/>
    <cellStyle name="20% - Accent4 13 2 3 5" xfId="18972"/>
    <cellStyle name="20% - Accent4 13 2 3_Exh G" xfId="2341"/>
    <cellStyle name="20% - Accent4 13 2 4" xfId="3870"/>
    <cellStyle name="20% - Accent4 13 2 4 2" xfId="7462"/>
    <cellStyle name="20% - Accent4 13 2 4 2 2" xfId="15433"/>
    <cellStyle name="20% - Accent4 13 2 4 2 3" xfId="23379"/>
    <cellStyle name="20% - Accent4 13 2 4 3" xfId="11895"/>
    <cellStyle name="20% - Accent4 13 2 4 4" xfId="19850"/>
    <cellStyle name="20% - Accent4 13 2 5" xfId="5690"/>
    <cellStyle name="20% - Accent4 13 2 5 2" xfId="13674"/>
    <cellStyle name="20% - Accent4 13 2 5 3" xfId="21622"/>
    <cellStyle name="20% - Accent4 13 2 6" xfId="9243"/>
    <cellStyle name="20% - Accent4 13 2 6 2" xfId="17201"/>
    <cellStyle name="20% - Accent4 13 2 6 3" xfId="25145"/>
    <cellStyle name="20% - Accent4 13 2 7" xfId="10139"/>
    <cellStyle name="20% - Accent4 13 2 8" xfId="18094"/>
    <cellStyle name="20% - Accent4 13 2_Exh G" xfId="2338"/>
    <cellStyle name="20% - Accent4 13 3" xfId="193"/>
    <cellStyle name="20% - Accent4 13 3 2" xfId="1221"/>
    <cellStyle name="20% - Accent4 13 3 2 2" xfId="4751"/>
    <cellStyle name="20% - Accent4 13 3 2 2 2" xfId="8342"/>
    <cellStyle name="20% - Accent4 13 3 2 2 2 2" xfId="16313"/>
    <cellStyle name="20% - Accent4 13 3 2 2 2 3" xfId="24259"/>
    <cellStyle name="20% - Accent4 13 3 2 2 3" xfId="12775"/>
    <cellStyle name="20% - Accent4 13 3 2 2 4" xfId="20730"/>
    <cellStyle name="20% - Accent4 13 3 2 3" xfId="6583"/>
    <cellStyle name="20% - Accent4 13 3 2 3 2" xfId="14555"/>
    <cellStyle name="20% - Accent4 13 3 2 3 3" xfId="22502"/>
    <cellStyle name="20% - Accent4 13 3 2 4" xfId="11019"/>
    <cellStyle name="20% - Accent4 13 3 2 5" xfId="18974"/>
    <cellStyle name="20% - Accent4 13 3 2_Exh G" xfId="2343"/>
    <cellStyle name="20% - Accent4 13 3 3" xfId="3872"/>
    <cellStyle name="20% - Accent4 13 3 3 2" xfId="7464"/>
    <cellStyle name="20% - Accent4 13 3 3 2 2" xfId="15435"/>
    <cellStyle name="20% - Accent4 13 3 3 2 3" xfId="23381"/>
    <cellStyle name="20% - Accent4 13 3 3 3" xfId="11897"/>
    <cellStyle name="20% - Accent4 13 3 3 4" xfId="19852"/>
    <cellStyle name="20% - Accent4 13 3 4" xfId="5692"/>
    <cellStyle name="20% - Accent4 13 3 4 2" xfId="13676"/>
    <cellStyle name="20% - Accent4 13 3 4 3" xfId="21624"/>
    <cellStyle name="20% - Accent4 13 3 5" xfId="9245"/>
    <cellStyle name="20% - Accent4 13 3 5 2" xfId="17203"/>
    <cellStyle name="20% - Accent4 13 3 5 3" xfId="25147"/>
    <cellStyle name="20% - Accent4 13 3 6" xfId="10141"/>
    <cellStyle name="20% - Accent4 13 3 7" xfId="18096"/>
    <cellStyle name="20% - Accent4 13 3_Exh G" xfId="2342"/>
    <cellStyle name="20% - Accent4 13 4" xfId="1218"/>
    <cellStyle name="20% - Accent4 13 4 2" xfId="4748"/>
    <cellStyle name="20% - Accent4 13 4 2 2" xfId="8339"/>
    <cellStyle name="20% - Accent4 13 4 2 2 2" xfId="16310"/>
    <cellStyle name="20% - Accent4 13 4 2 2 3" xfId="24256"/>
    <cellStyle name="20% - Accent4 13 4 2 3" xfId="12772"/>
    <cellStyle name="20% - Accent4 13 4 2 4" xfId="20727"/>
    <cellStyle name="20% - Accent4 13 4 3" xfId="6580"/>
    <cellStyle name="20% - Accent4 13 4 3 2" xfId="14552"/>
    <cellStyle name="20% - Accent4 13 4 3 3" xfId="22499"/>
    <cellStyle name="20% - Accent4 13 4 4" xfId="11016"/>
    <cellStyle name="20% - Accent4 13 4 5" xfId="18971"/>
    <cellStyle name="20% - Accent4 13 4_Exh G" xfId="2344"/>
    <cellStyle name="20% - Accent4 13 5" xfId="3869"/>
    <cellStyle name="20% - Accent4 13 5 2" xfId="7461"/>
    <cellStyle name="20% - Accent4 13 5 2 2" xfId="15432"/>
    <cellStyle name="20% - Accent4 13 5 2 3" xfId="23378"/>
    <cellStyle name="20% - Accent4 13 5 3" xfId="11894"/>
    <cellStyle name="20% - Accent4 13 5 4" xfId="19849"/>
    <cellStyle name="20% - Accent4 13 6" xfId="5689"/>
    <cellStyle name="20% - Accent4 13 6 2" xfId="13673"/>
    <cellStyle name="20% - Accent4 13 6 3" xfId="21621"/>
    <cellStyle name="20% - Accent4 13 7" xfId="9242"/>
    <cellStyle name="20% - Accent4 13 7 2" xfId="17200"/>
    <cellStyle name="20% - Accent4 13 7 3" xfId="25144"/>
    <cellStyle name="20% - Accent4 13 8" xfId="10138"/>
    <cellStyle name="20% - Accent4 13 9" xfId="18093"/>
    <cellStyle name="20% - Accent4 13_Exh G" xfId="2337"/>
    <cellStyle name="20% - Accent4 14" xfId="194"/>
    <cellStyle name="20% - Accent4 14 2" xfId="195"/>
    <cellStyle name="20% - Accent4 14 2 2" xfId="1223"/>
    <cellStyle name="20% - Accent4 14 2 2 2" xfId="4753"/>
    <cellStyle name="20% - Accent4 14 2 2 2 2" xfId="8344"/>
    <cellStyle name="20% - Accent4 14 2 2 2 2 2" xfId="16315"/>
    <cellStyle name="20% - Accent4 14 2 2 2 2 3" xfId="24261"/>
    <cellStyle name="20% - Accent4 14 2 2 2 3" xfId="12777"/>
    <cellStyle name="20% - Accent4 14 2 2 2 4" xfId="20732"/>
    <cellStyle name="20% - Accent4 14 2 2 3" xfId="6585"/>
    <cellStyle name="20% - Accent4 14 2 2 3 2" xfId="14557"/>
    <cellStyle name="20% - Accent4 14 2 2 3 3" xfId="22504"/>
    <cellStyle name="20% - Accent4 14 2 2 4" xfId="11021"/>
    <cellStyle name="20% - Accent4 14 2 2 5" xfId="18976"/>
    <cellStyle name="20% - Accent4 14 2 2_Exh G" xfId="2347"/>
    <cellStyle name="20% - Accent4 14 2 3" xfId="3874"/>
    <cellStyle name="20% - Accent4 14 2 3 2" xfId="7466"/>
    <cellStyle name="20% - Accent4 14 2 3 2 2" xfId="15437"/>
    <cellStyle name="20% - Accent4 14 2 3 2 3" xfId="23383"/>
    <cellStyle name="20% - Accent4 14 2 3 3" xfId="11899"/>
    <cellStyle name="20% - Accent4 14 2 3 4" xfId="19854"/>
    <cellStyle name="20% - Accent4 14 2 4" xfId="5694"/>
    <cellStyle name="20% - Accent4 14 2 4 2" xfId="13678"/>
    <cellStyle name="20% - Accent4 14 2 4 3" xfId="21626"/>
    <cellStyle name="20% - Accent4 14 2 5" xfId="9247"/>
    <cellStyle name="20% - Accent4 14 2 5 2" xfId="17205"/>
    <cellStyle name="20% - Accent4 14 2 5 3" xfId="25149"/>
    <cellStyle name="20% - Accent4 14 2 6" xfId="10143"/>
    <cellStyle name="20% - Accent4 14 2 7" xfId="18098"/>
    <cellStyle name="20% - Accent4 14 2_Exh G" xfId="2346"/>
    <cellStyle name="20% - Accent4 14 3" xfId="1222"/>
    <cellStyle name="20% - Accent4 14 3 2" xfId="4752"/>
    <cellStyle name="20% - Accent4 14 3 2 2" xfId="8343"/>
    <cellStyle name="20% - Accent4 14 3 2 2 2" xfId="16314"/>
    <cellStyle name="20% - Accent4 14 3 2 2 3" xfId="24260"/>
    <cellStyle name="20% - Accent4 14 3 2 3" xfId="12776"/>
    <cellStyle name="20% - Accent4 14 3 2 4" xfId="20731"/>
    <cellStyle name="20% - Accent4 14 3 3" xfId="6584"/>
    <cellStyle name="20% - Accent4 14 3 3 2" xfId="14556"/>
    <cellStyle name="20% - Accent4 14 3 3 3" xfId="22503"/>
    <cellStyle name="20% - Accent4 14 3 4" xfId="11020"/>
    <cellStyle name="20% - Accent4 14 3 5" xfId="18975"/>
    <cellStyle name="20% - Accent4 14 3_Exh G" xfId="2348"/>
    <cellStyle name="20% - Accent4 14 4" xfId="3873"/>
    <cellStyle name="20% - Accent4 14 4 2" xfId="7465"/>
    <cellStyle name="20% - Accent4 14 4 2 2" xfId="15436"/>
    <cellStyle name="20% - Accent4 14 4 2 3" xfId="23382"/>
    <cellStyle name="20% - Accent4 14 4 3" xfId="11898"/>
    <cellStyle name="20% - Accent4 14 4 4" xfId="19853"/>
    <cellStyle name="20% - Accent4 14 5" xfId="5693"/>
    <cellStyle name="20% - Accent4 14 5 2" xfId="13677"/>
    <cellStyle name="20% - Accent4 14 5 3" xfId="21625"/>
    <cellStyle name="20% - Accent4 14 6" xfId="9246"/>
    <cellStyle name="20% - Accent4 14 6 2" xfId="17204"/>
    <cellStyle name="20% - Accent4 14 6 3" xfId="25148"/>
    <cellStyle name="20% - Accent4 14 7" xfId="10142"/>
    <cellStyle name="20% - Accent4 14 8" xfId="18097"/>
    <cellStyle name="20% - Accent4 14_Exh G" xfId="2345"/>
    <cellStyle name="20% - Accent4 15" xfId="196"/>
    <cellStyle name="20% - Accent4 15 2" xfId="1224"/>
    <cellStyle name="20% - Accent4 15 2 2" xfId="4754"/>
    <cellStyle name="20% - Accent4 15 2 2 2" xfId="8345"/>
    <cellStyle name="20% - Accent4 15 2 2 2 2" xfId="16316"/>
    <cellStyle name="20% - Accent4 15 2 2 2 3" xfId="24262"/>
    <cellStyle name="20% - Accent4 15 2 2 3" xfId="12778"/>
    <cellStyle name="20% - Accent4 15 2 2 4" xfId="20733"/>
    <cellStyle name="20% - Accent4 15 2 3" xfId="6586"/>
    <cellStyle name="20% - Accent4 15 2 3 2" xfId="14558"/>
    <cellStyle name="20% - Accent4 15 2 3 3" xfId="22505"/>
    <cellStyle name="20% - Accent4 15 2 4" xfId="11022"/>
    <cellStyle name="20% - Accent4 15 2 5" xfId="18977"/>
    <cellStyle name="20% - Accent4 15 2_Exh G" xfId="2350"/>
    <cellStyle name="20% - Accent4 15 3" xfId="3875"/>
    <cellStyle name="20% - Accent4 15 3 2" xfId="7467"/>
    <cellStyle name="20% - Accent4 15 3 2 2" xfId="15438"/>
    <cellStyle name="20% - Accent4 15 3 2 3" xfId="23384"/>
    <cellStyle name="20% - Accent4 15 3 3" xfId="11900"/>
    <cellStyle name="20% - Accent4 15 3 4" xfId="19855"/>
    <cellStyle name="20% - Accent4 15 4" xfId="5695"/>
    <cellStyle name="20% - Accent4 15 4 2" xfId="13679"/>
    <cellStyle name="20% - Accent4 15 4 3" xfId="21627"/>
    <cellStyle name="20% - Accent4 15 5" xfId="9248"/>
    <cellStyle name="20% - Accent4 15 5 2" xfId="17206"/>
    <cellStyle name="20% - Accent4 15 5 3" xfId="25150"/>
    <cellStyle name="20% - Accent4 15 6" xfId="10144"/>
    <cellStyle name="20% - Accent4 15 7" xfId="18099"/>
    <cellStyle name="20% - Accent4 15_Exh G" xfId="2349"/>
    <cellStyle name="20% - Accent4 16" xfId="846"/>
    <cellStyle name="20% - Accent4 16 2" xfId="1785"/>
    <cellStyle name="20% - Accent4 16 2 2" xfId="5306"/>
    <cellStyle name="20% - Accent4 16 2 2 2" xfId="8897"/>
    <cellStyle name="20% - Accent4 16 2 2 2 2" xfId="16868"/>
    <cellStyle name="20% - Accent4 16 2 2 2 3" xfId="24814"/>
    <cellStyle name="20% - Accent4 16 2 2 3" xfId="13330"/>
    <cellStyle name="20% - Accent4 16 2 2 4" xfId="21285"/>
    <cellStyle name="20% - Accent4 16 2 3" xfId="7138"/>
    <cellStyle name="20% - Accent4 16 2 3 2" xfId="15110"/>
    <cellStyle name="20% - Accent4 16 2 3 3" xfId="23057"/>
    <cellStyle name="20% - Accent4 16 2 4" xfId="11574"/>
    <cellStyle name="20% - Accent4 16 2 5" xfId="19529"/>
    <cellStyle name="20% - Accent4 16 2_Exh G" xfId="2352"/>
    <cellStyle name="20% - Accent4 16 3" xfId="4427"/>
    <cellStyle name="20% - Accent4 16 3 2" xfId="8019"/>
    <cellStyle name="20% - Accent4 16 3 2 2" xfId="15990"/>
    <cellStyle name="20% - Accent4 16 3 2 3" xfId="23936"/>
    <cellStyle name="20% - Accent4 16 3 3" xfId="12452"/>
    <cellStyle name="20% - Accent4 16 3 4" xfId="20407"/>
    <cellStyle name="20% - Accent4 16 4" xfId="6257"/>
    <cellStyle name="20% - Accent4 16 4 2" xfId="14232"/>
    <cellStyle name="20% - Accent4 16 4 3" xfId="22179"/>
    <cellStyle name="20% - Accent4 16 5" xfId="9800"/>
    <cellStyle name="20% - Accent4 16 5 2" xfId="17758"/>
    <cellStyle name="20% - Accent4 16 5 3" xfId="25702"/>
    <cellStyle name="20% - Accent4 16 6" xfId="10696"/>
    <cellStyle name="20% - Accent4 16 7" xfId="18651"/>
    <cellStyle name="20% - Accent4 16_Exh G" xfId="2351"/>
    <cellStyle name="20% - Accent4 2" xfId="197"/>
    <cellStyle name="20% - Accent4 2 10" xfId="18100"/>
    <cellStyle name="20% - Accent4 2 2" xfId="198"/>
    <cellStyle name="20% - Accent4 2 2 2" xfId="199"/>
    <cellStyle name="20% - Accent4 2 2 2 2" xfId="1227"/>
    <cellStyle name="20% - Accent4 2 2 2 2 2" xfId="4757"/>
    <cellStyle name="20% - Accent4 2 2 2 2 2 2" xfId="8348"/>
    <cellStyle name="20% - Accent4 2 2 2 2 2 2 2" xfId="16319"/>
    <cellStyle name="20% - Accent4 2 2 2 2 2 2 3" xfId="24265"/>
    <cellStyle name="20% - Accent4 2 2 2 2 2 3" xfId="12781"/>
    <cellStyle name="20% - Accent4 2 2 2 2 2 4" xfId="20736"/>
    <cellStyle name="20% - Accent4 2 2 2 2 3" xfId="6589"/>
    <cellStyle name="20% - Accent4 2 2 2 2 3 2" xfId="14561"/>
    <cellStyle name="20% - Accent4 2 2 2 2 3 3" xfId="22508"/>
    <cellStyle name="20% - Accent4 2 2 2 2 4" xfId="11025"/>
    <cellStyle name="20% - Accent4 2 2 2 2 5" xfId="18980"/>
    <cellStyle name="20% - Accent4 2 2 2 2_Exh G" xfId="2356"/>
    <cellStyle name="20% - Accent4 2 2 2 3" xfId="3878"/>
    <cellStyle name="20% - Accent4 2 2 2 3 2" xfId="7470"/>
    <cellStyle name="20% - Accent4 2 2 2 3 2 2" xfId="15441"/>
    <cellStyle name="20% - Accent4 2 2 2 3 2 3" xfId="23387"/>
    <cellStyle name="20% - Accent4 2 2 2 3 3" xfId="11903"/>
    <cellStyle name="20% - Accent4 2 2 2 3 4" xfId="19858"/>
    <cellStyle name="20% - Accent4 2 2 2 4" xfId="5698"/>
    <cellStyle name="20% - Accent4 2 2 2 4 2" xfId="13682"/>
    <cellStyle name="20% - Accent4 2 2 2 4 3" xfId="21630"/>
    <cellStyle name="20% - Accent4 2 2 2 5" xfId="9251"/>
    <cellStyle name="20% - Accent4 2 2 2 5 2" xfId="17209"/>
    <cellStyle name="20% - Accent4 2 2 2 5 3" xfId="25153"/>
    <cellStyle name="20% - Accent4 2 2 2 6" xfId="10147"/>
    <cellStyle name="20% - Accent4 2 2 2 7" xfId="18102"/>
    <cellStyle name="20% - Accent4 2 2 2_Exh G" xfId="2355"/>
    <cellStyle name="20% - Accent4 2 2 3" xfId="900"/>
    <cellStyle name="20% - Accent4 2 2 3 2" xfId="1830"/>
    <cellStyle name="20% - Accent4 2 2 3 2 2" xfId="5348"/>
    <cellStyle name="20% - Accent4 2 2 3 2 2 2" xfId="8939"/>
    <cellStyle name="20% - Accent4 2 2 3 2 2 2 2" xfId="16910"/>
    <cellStyle name="20% - Accent4 2 2 3 2 2 2 3" xfId="24856"/>
    <cellStyle name="20% - Accent4 2 2 3 2 2 3" xfId="13372"/>
    <cellStyle name="20% - Accent4 2 2 3 2 2 4" xfId="21327"/>
    <cellStyle name="20% - Accent4 2 2 3 2 3" xfId="7180"/>
    <cellStyle name="20% - Accent4 2 2 3 2 3 2" xfId="15152"/>
    <cellStyle name="20% - Accent4 2 2 3 2 3 3" xfId="23099"/>
    <cellStyle name="20% - Accent4 2 2 3 2 4" xfId="11616"/>
    <cellStyle name="20% - Accent4 2 2 3 2 5" xfId="19571"/>
    <cellStyle name="20% - Accent4 2 2 3 2_Exh G" xfId="2358"/>
    <cellStyle name="20% - Accent4 2 2 3 3" xfId="4469"/>
    <cellStyle name="20% - Accent4 2 2 3 3 2" xfId="8061"/>
    <cellStyle name="20% - Accent4 2 2 3 3 2 2" xfId="16032"/>
    <cellStyle name="20% - Accent4 2 2 3 3 2 3" xfId="23978"/>
    <cellStyle name="20% - Accent4 2 2 3 3 3" xfId="12494"/>
    <cellStyle name="20% - Accent4 2 2 3 3 4" xfId="20449"/>
    <cellStyle name="20% - Accent4 2 2 3 4" xfId="6299"/>
    <cellStyle name="20% - Accent4 2 2 3 4 2" xfId="14274"/>
    <cellStyle name="20% - Accent4 2 2 3 4 3" xfId="22221"/>
    <cellStyle name="20% - Accent4 2 2 3 5" xfId="9842"/>
    <cellStyle name="20% - Accent4 2 2 3 5 2" xfId="17800"/>
    <cellStyle name="20% - Accent4 2 2 3 5 3" xfId="25744"/>
    <cellStyle name="20% - Accent4 2 2 3 6" xfId="10738"/>
    <cellStyle name="20% - Accent4 2 2 3 7" xfId="18693"/>
    <cellStyle name="20% - Accent4 2 2 3_Exh G" xfId="2357"/>
    <cellStyle name="20% - Accent4 2 2 4" xfId="1226"/>
    <cellStyle name="20% - Accent4 2 2 4 2" xfId="4756"/>
    <cellStyle name="20% - Accent4 2 2 4 2 2" xfId="8347"/>
    <cellStyle name="20% - Accent4 2 2 4 2 2 2" xfId="16318"/>
    <cellStyle name="20% - Accent4 2 2 4 2 2 3" xfId="24264"/>
    <cellStyle name="20% - Accent4 2 2 4 2 3" xfId="12780"/>
    <cellStyle name="20% - Accent4 2 2 4 2 4" xfId="20735"/>
    <cellStyle name="20% - Accent4 2 2 4 3" xfId="6588"/>
    <cellStyle name="20% - Accent4 2 2 4 3 2" xfId="14560"/>
    <cellStyle name="20% - Accent4 2 2 4 3 3" xfId="22507"/>
    <cellStyle name="20% - Accent4 2 2 4 4" xfId="11024"/>
    <cellStyle name="20% - Accent4 2 2 4 5" xfId="18979"/>
    <cellStyle name="20% - Accent4 2 2 4_Exh G" xfId="2359"/>
    <cellStyle name="20% - Accent4 2 2 5" xfId="3877"/>
    <cellStyle name="20% - Accent4 2 2 5 2" xfId="7469"/>
    <cellStyle name="20% - Accent4 2 2 5 2 2" xfId="15440"/>
    <cellStyle name="20% - Accent4 2 2 5 2 3" xfId="23386"/>
    <cellStyle name="20% - Accent4 2 2 5 3" xfId="11902"/>
    <cellStyle name="20% - Accent4 2 2 5 4" xfId="19857"/>
    <cellStyle name="20% - Accent4 2 2 6" xfId="5697"/>
    <cellStyle name="20% - Accent4 2 2 6 2" xfId="13681"/>
    <cellStyle name="20% - Accent4 2 2 6 3" xfId="21629"/>
    <cellStyle name="20% - Accent4 2 2 7" xfId="9250"/>
    <cellStyle name="20% - Accent4 2 2 7 2" xfId="17208"/>
    <cellStyle name="20% - Accent4 2 2 7 3" xfId="25152"/>
    <cellStyle name="20% - Accent4 2 2 8" xfId="10146"/>
    <cellStyle name="20% - Accent4 2 2 9" xfId="18101"/>
    <cellStyle name="20% - Accent4 2 2_Exh G" xfId="2354"/>
    <cellStyle name="20% - Accent4 2 3" xfId="200"/>
    <cellStyle name="20% - Accent4 2 3 2" xfId="1228"/>
    <cellStyle name="20% - Accent4 2 3 2 2" xfId="4758"/>
    <cellStyle name="20% - Accent4 2 3 2 2 2" xfId="8349"/>
    <cellStyle name="20% - Accent4 2 3 2 2 2 2" xfId="16320"/>
    <cellStyle name="20% - Accent4 2 3 2 2 2 3" xfId="24266"/>
    <cellStyle name="20% - Accent4 2 3 2 2 3" xfId="12782"/>
    <cellStyle name="20% - Accent4 2 3 2 2 4" xfId="20737"/>
    <cellStyle name="20% - Accent4 2 3 2 3" xfId="6590"/>
    <cellStyle name="20% - Accent4 2 3 2 3 2" xfId="14562"/>
    <cellStyle name="20% - Accent4 2 3 2 3 3" xfId="22509"/>
    <cellStyle name="20% - Accent4 2 3 2 4" xfId="11026"/>
    <cellStyle name="20% - Accent4 2 3 2 5" xfId="18981"/>
    <cellStyle name="20% - Accent4 2 3 2_Exh G" xfId="2361"/>
    <cellStyle name="20% - Accent4 2 3 3" xfId="3879"/>
    <cellStyle name="20% - Accent4 2 3 3 2" xfId="7471"/>
    <cellStyle name="20% - Accent4 2 3 3 2 2" xfId="15442"/>
    <cellStyle name="20% - Accent4 2 3 3 2 3" xfId="23388"/>
    <cellStyle name="20% - Accent4 2 3 3 3" xfId="11904"/>
    <cellStyle name="20% - Accent4 2 3 3 4" xfId="19859"/>
    <cellStyle name="20% - Accent4 2 3 4" xfId="5699"/>
    <cellStyle name="20% - Accent4 2 3 4 2" xfId="13683"/>
    <cellStyle name="20% - Accent4 2 3 4 3" xfId="21631"/>
    <cellStyle name="20% - Accent4 2 3 5" xfId="9252"/>
    <cellStyle name="20% - Accent4 2 3 5 2" xfId="17210"/>
    <cellStyle name="20% - Accent4 2 3 5 3" xfId="25154"/>
    <cellStyle name="20% - Accent4 2 3 6" xfId="10148"/>
    <cellStyle name="20% - Accent4 2 3 7" xfId="18103"/>
    <cellStyle name="20% - Accent4 2 3_Exh G" xfId="2360"/>
    <cellStyle name="20% - Accent4 2 4" xfId="899"/>
    <cellStyle name="20% - Accent4 2 4 2" xfId="1829"/>
    <cellStyle name="20% - Accent4 2 4 2 2" xfId="5347"/>
    <cellStyle name="20% - Accent4 2 4 2 2 2" xfId="8938"/>
    <cellStyle name="20% - Accent4 2 4 2 2 2 2" xfId="16909"/>
    <cellStyle name="20% - Accent4 2 4 2 2 2 3" xfId="24855"/>
    <cellStyle name="20% - Accent4 2 4 2 2 3" xfId="13371"/>
    <cellStyle name="20% - Accent4 2 4 2 2 4" xfId="21326"/>
    <cellStyle name="20% - Accent4 2 4 2 3" xfId="7179"/>
    <cellStyle name="20% - Accent4 2 4 2 3 2" xfId="15151"/>
    <cellStyle name="20% - Accent4 2 4 2 3 3" xfId="23098"/>
    <cellStyle name="20% - Accent4 2 4 2 4" xfId="11615"/>
    <cellStyle name="20% - Accent4 2 4 2 5" xfId="19570"/>
    <cellStyle name="20% - Accent4 2 4 2_Exh G" xfId="2363"/>
    <cellStyle name="20% - Accent4 2 4 3" xfId="4468"/>
    <cellStyle name="20% - Accent4 2 4 3 2" xfId="8060"/>
    <cellStyle name="20% - Accent4 2 4 3 2 2" xfId="16031"/>
    <cellStyle name="20% - Accent4 2 4 3 2 3" xfId="23977"/>
    <cellStyle name="20% - Accent4 2 4 3 3" xfId="12493"/>
    <cellStyle name="20% - Accent4 2 4 3 4" xfId="20448"/>
    <cellStyle name="20% - Accent4 2 4 4" xfId="6298"/>
    <cellStyle name="20% - Accent4 2 4 4 2" xfId="14273"/>
    <cellStyle name="20% - Accent4 2 4 4 3" xfId="22220"/>
    <cellStyle name="20% - Accent4 2 4 5" xfId="9841"/>
    <cellStyle name="20% - Accent4 2 4 5 2" xfId="17799"/>
    <cellStyle name="20% - Accent4 2 4 5 3" xfId="25743"/>
    <cellStyle name="20% - Accent4 2 4 6" xfId="10737"/>
    <cellStyle name="20% - Accent4 2 4 7" xfId="18692"/>
    <cellStyle name="20% - Accent4 2 4_Exh G" xfId="2362"/>
    <cellStyle name="20% - Accent4 2 5" xfId="1225"/>
    <cellStyle name="20% - Accent4 2 5 2" xfId="4755"/>
    <cellStyle name="20% - Accent4 2 5 2 2" xfId="8346"/>
    <cellStyle name="20% - Accent4 2 5 2 2 2" xfId="16317"/>
    <cellStyle name="20% - Accent4 2 5 2 2 3" xfId="24263"/>
    <cellStyle name="20% - Accent4 2 5 2 3" xfId="12779"/>
    <cellStyle name="20% - Accent4 2 5 2 4" xfId="20734"/>
    <cellStyle name="20% - Accent4 2 5 3" xfId="6587"/>
    <cellStyle name="20% - Accent4 2 5 3 2" xfId="14559"/>
    <cellStyle name="20% - Accent4 2 5 3 3" xfId="22506"/>
    <cellStyle name="20% - Accent4 2 5 4" xfId="11023"/>
    <cellStyle name="20% - Accent4 2 5 5" xfId="18978"/>
    <cellStyle name="20% - Accent4 2 5_Exh G" xfId="2364"/>
    <cellStyle name="20% - Accent4 2 6" xfId="3876"/>
    <cellStyle name="20% - Accent4 2 6 2" xfId="7468"/>
    <cellStyle name="20% - Accent4 2 6 2 2" xfId="15439"/>
    <cellStyle name="20% - Accent4 2 6 2 3" xfId="23385"/>
    <cellStyle name="20% - Accent4 2 6 3" xfId="11901"/>
    <cellStyle name="20% - Accent4 2 6 4" xfId="19856"/>
    <cellStyle name="20% - Accent4 2 7" xfId="5696"/>
    <cellStyle name="20% - Accent4 2 7 2" xfId="13680"/>
    <cellStyle name="20% - Accent4 2 7 3" xfId="21628"/>
    <cellStyle name="20% - Accent4 2 8" xfId="9249"/>
    <cellStyle name="20% - Accent4 2 8 2" xfId="17207"/>
    <cellStyle name="20% - Accent4 2 8 3" xfId="25151"/>
    <cellStyle name="20% - Accent4 2 9" xfId="10145"/>
    <cellStyle name="20% - Accent4 2_Exh G" xfId="2353"/>
    <cellStyle name="20% - Accent4 3" xfId="201"/>
    <cellStyle name="20% - Accent4 3 10" xfId="18104"/>
    <cellStyle name="20% - Accent4 3 2" xfId="202"/>
    <cellStyle name="20% - Accent4 3 2 2" xfId="203"/>
    <cellStyle name="20% - Accent4 3 2 2 2" xfId="1231"/>
    <cellStyle name="20% - Accent4 3 2 2 2 2" xfId="4761"/>
    <cellStyle name="20% - Accent4 3 2 2 2 2 2" xfId="8352"/>
    <cellStyle name="20% - Accent4 3 2 2 2 2 2 2" xfId="16323"/>
    <cellStyle name="20% - Accent4 3 2 2 2 2 2 3" xfId="24269"/>
    <cellStyle name="20% - Accent4 3 2 2 2 2 3" xfId="12785"/>
    <cellStyle name="20% - Accent4 3 2 2 2 2 4" xfId="20740"/>
    <cellStyle name="20% - Accent4 3 2 2 2 3" xfId="6593"/>
    <cellStyle name="20% - Accent4 3 2 2 2 3 2" xfId="14565"/>
    <cellStyle name="20% - Accent4 3 2 2 2 3 3" xfId="22512"/>
    <cellStyle name="20% - Accent4 3 2 2 2 4" xfId="11029"/>
    <cellStyle name="20% - Accent4 3 2 2 2 5" xfId="18984"/>
    <cellStyle name="20% - Accent4 3 2 2 2_Exh G" xfId="2368"/>
    <cellStyle name="20% - Accent4 3 2 2 3" xfId="3882"/>
    <cellStyle name="20% - Accent4 3 2 2 3 2" xfId="7474"/>
    <cellStyle name="20% - Accent4 3 2 2 3 2 2" xfId="15445"/>
    <cellStyle name="20% - Accent4 3 2 2 3 2 3" xfId="23391"/>
    <cellStyle name="20% - Accent4 3 2 2 3 3" xfId="11907"/>
    <cellStyle name="20% - Accent4 3 2 2 3 4" xfId="19862"/>
    <cellStyle name="20% - Accent4 3 2 2 4" xfId="5702"/>
    <cellStyle name="20% - Accent4 3 2 2 4 2" xfId="13686"/>
    <cellStyle name="20% - Accent4 3 2 2 4 3" xfId="21634"/>
    <cellStyle name="20% - Accent4 3 2 2 5" xfId="9255"/>
    <cellStyle name="20% - Accent4 3 2 2 5 2" xfId="17213"/>
    <cellStyle name="20% - Accent4 3 2 2 5 3" xfId="25157"/>
    <cellStyle name="20% - Accent4 3 2 2 6" xfId="10151"/>
    <cellStyle name="20% - Accent4 3 2 2 7" xfId="18106"/>
    <cellStyle name="20% - Accent4 3 2 2_Exh G" xfId="2367"/>
    <cellStyle name="20% - Accent4 3 2 3" xfId="902"/>
    <cellStyle name="20% - Accent4 3 2 3 2" xfId="1832"/>
    <cellStyle name="20% - Accent4 3 2 3 2 2" xfId="5350"/>
    <cellStyle name="20% - Accent4 3 2 3 2 2 2" xfId="8941"/>
    <cellStyle name="20% - Accent4 3 2 3 2 2 2 2" xfId="16912"/>
    <cellStyle name="20% - Accent4 3 2 3 2 2 2 3" xfId="24858"/>
    <cellStyle name="20% - Accent4 3 2 3 2 2 3" xfId="13374"/>
    <cellStyle name="20% - Accent4 3 2 3 2 2 4" xfId="21329"/>
    <cellStyle name="20% - Accent4 3 2 3 2 3" xfId="7182"/>
    <cellStyle name="20% - Accent4 3 2 3 2 3 2" xfId="15154"/>
    <cellStyle name="20% - Accent4 3 2 3 2 3 3" xfId="23101"/>
    <cellStyle name="20% - Accent4 3 2 3 2 4" xfId="11618"/>
    <cellStyle name="20% - Accent4 3 2 3 2 5" xfId="19573"/>
    <cellStyle name="20% - Accent4 3 2 3 2_Exh G" xfId="2370"/>
    <cellStyle name="20% - Accent4 3 2 3 3" xfId="4471"/>
    <cellStyle name="20% - Accent4 3 2 3 3 2" xfId="8063"/>
    <cellStyle name="20% - Accent4 3 2 3 3 2 2" xfId="16034"/>
    <cellStyle name="20% - Accent4 3 2 3 3 2 3" xfId="23980"/>
    <cellStyle name="20% - Accent4 3 2 3 3 3" xfId="12496"/>
    <cellStyle name="20% - Accent4 3 2 3 3 4" xfId="20451"/>
    <cellStyle name="20% - Accent4 3 2 3 4" xfId="6301"/>
    <cellStyle name="20% - Accent4 3 2 3 4 2" xfId="14276"/>
    <cellStyle name="20% - Accent4 3 2 3 4 3" xfId="22223"/>
    <cellStyle name="20% - Accent4 3 2 3 5" xfId="9844"/>
    <cellStyle name="20% - Accent4 3 2 3 5 2" xfId="17802"/>
    <cellStyle name="20% - Accent4 3 2 3 5 3" xfId="25746"/>
    <cellStyle name="20% - Accent4 3 2 3 6" xfId="10740"/>
    <cellStyle name="20% - Accent4 3 2 3 7" xfId="18695"/>
    <cellStyle name="20% - Accent4 3 2 3_Exh G" xfId="2369"/>
    <cellStyle name="20% - Accent4 3 2 4" xfId="1230"/>
    <cellStyle name="20% - Accent4 3 2 4 2" xfId="4760"/>
    <cellStyle name="20% - Accent4 3 2 4 2 2" xfId="8351"/>
    <cellStyle name="20% - Accent4 3 2 4 2 2 2" xfId="16322"/>
    <cellStyle name="20% - Accent4 3 2 4 2 2 3" xfId="24268"/>
    <cellStyle name="20% - Accent4 3 2 4 2 3" xfId="12784"/>
    <cellStyle name="20% - Accent4 3 2 4 2 4" xfId="20739"/>
    <cellStyle name="20% - Accent4 3 2 4 3" xfId="6592"/>
    <cellStyle name="20% - Accent4 3 2 4 3 2" xfId="14564"/>
    <cellStyle name="20% - Accent4 3 2 4 3 3" xfId="22511"/>
    <cellStyle name="20% - Accent4 3 2 4 4" xfId="11028"/>
    <cellStyle name="20% - Accent4 3 2 4 5" xfId="18983"/>
    <cellStyle name="20% - Accent4 3 2 4_Exh G" xfId="2371"/>
    <cellStyle name="20% - Accent4 3 2 5" xfId="3881"/>
    <cellStyle name="20% - Accent4 3 2 5 2" xfId="7473"/>
    <cellStyle name="20% - Accent4 3 2 5 2 2" xfId="15444"/>
    <cellStyle name="20% - Accent4 3 2 5 2 3" xfId="23390"/>
    <cellStyle name="20% - Accent4 3 2 5 3" xfId="11906"/>
    <cellStyle name="20% - Accent4 3 2 5 4" xfId="19861"/>
    <cellStyle name="20% - Accent4 3 2 6" xfId="5701"/>
    <cellStyle name="20% - Accent4 3 2 6 2" xfId="13685"/>
    <cellStyle name="20% - Accent4 3 2 6 3" xfId="21633"/>
    <cellStyle name="20% - Accent4 3 2 7" xfId="9254"/>
    <cellStyle name="20% - Accent4 3 2 7 2" xfId="17212"/>
    <cellStyle name="20% - Accent4 3 2 7 3" xfId="25156"/>
    <cellStyle name="20% - Accent4 3 2 8" xfId="10150"/>
    <cellStyle name="20% - Accent4 3 2 9" xfId="18105"/>
    <cellStyle name="20% - Accent4 3 2_Exh G" xfId="2366"/>
    <cellStyle name="20% - Accent4 3 3" xfId="204"/>
    <cellStyle name="20% - Accent4 3 3 2" xfId="1232"/>
    <cellStyle name="20% - Accent4 3 3 2 2" xfId="4762"/>
    <cellStyle name="20% - Accent4 3 3 2 2 2" xfId="8353"/>
    <cellStyle name="20% - Accent4 3 3 2 2 2 2" xfId="16324"/>
    <cellStyle name="20% - Accent4 3 3 2 2 2 3" xfId="24270"/>
    <cellStyle name="20% - Accent4 3 3 2 2 3" xfId="12786"/>
    <cellStyle name="20% - Accent4 3 3 2 2 4" xfId="20741"/>
    <cellStyle name="20% - Accent4 3 3 2 3" xfId="6594"/>
    <cellStyle name="20% - Accent4 3 3 2 3 2" xfId="14566"/>
    <cellStyle name="20% - Accent4 3 3 2 3 3" xfId="22513"/>
    <cellStyle name="20% - Accent4 3 3 2 4" xfId="11030"/>
    <cellStyle name="20% - Accent4 3 3 2 5" xfId="18985"/>
    <cellStyle name="20% - Accent4 3 3 2_Exh G" xfId="2373"/>
    <cellStyle name="20% - Accent4 3 3 3" xfId="3883"/>
    <cellStyle name="20% - Accent4 3 3 3 2" xfId="7475"/>
    <cellStyle name="20% - Accent4 3 3 3 2 2" xfId="15446"/>
    <cellStyle name="20% - Accent4 3 3 3 2 3" xfId="23392"/>
    <cellStyle name="20% - Accent4 3 3 3 3" xfId="11908"/>
    <cellStyle name="20% - Accent4 3 3 3 4" xfId="19863"/>
    <cellStyle name="20% - Accent4 3 3 4" xfId="5703"/>
    <cellStyle name="20% - Accent4 3 3 4 2" xfId="13687"/>
    <cellStyle name="20% - Accent4 3 3 4 3" xfId="21635"/>
    <cellStyle name="20% - Accent4 3 3 5" xfId="9256"/>
    <cellStyle name="20% - Accent4 3 3 5 2" xfId="17214"/>
    <cellStyle name="20% - Accent4 3 3 5 3" xfId="25158"/>
    <cellStyle name="20% - Accent4 3 3 6" xfId="10152"/>
    <cellStyle name="20% - Accent4 3 3 7" xfId="18107"/>
    <cellStyle name="20% - Accent4 3 3_Exh G" xfId="2372"/>
    <cellStyle name="20% - Accent4 3 4" xfId="901"/>
    <cellStyle name="20% - Accent4 3 4 2" xfId="1831"/>
    <cellStyle name="20% - Accent4 3 4 2 2" xfId="5349"/>
    <cellStyle name="20% - Accent4 3 4 2 2 2" xfId="8940"/>
    <cellStyle name="20% - Accent4 3 4 2 2 2 2" xfId="16911"/>
    <cellStyle name="20% - Accent4 3 4 2 2 2 3" xfId="24857"/>
    <cellStyle name="20% - Accent4 3 4 2 2 3" xfId="13373"/>
    <cellStyle name="20% - Accent4 3 4 2 2 4" xfId="21328"/>
    <cellStyle name="20% - Accent4 3 4 2 3" xfId="7181"/>
    <cellStyle name="20% - Accent4 3 4 2 3 2" xfId="15153"/>
    <cellStyle name="20% - Accent4 3 4 2 3 3" xfId="23100"/>
    <cellStyle name="20% - Accent4 3 4 2 4" xfId="11617"/>
    <cellStyle name="20% - Accent4 3 4 2 5" xfId="19572"/>
    <cellStyle name="20% - Accent4 3 4 2_Exh G" xfId="2375"/>
    <cellStyle name="20% - Accent4 3 4 3" xfId="4470"/>
    <cellStyle name="20% - Accent4 3 4 3 2" xfId="8062"/>
    <cellStyle name="20% - Accent4 3 4 3 2 2" xfId="16033"/>
    <cellStyle name="20% - Accent4 3 4 3 2 3" xfId="23979"/>
    <cellStyle name="20% - Accent4 3 4 3 3" xfId="12495"/>
    <cellStyle name="20% - Accent4 3 4 3 4" xfId="20450"/>
    <cellStyle name="20% - Accent4 3 4 4" xfId="6300"/>
    <cellStyle name="20% - Accent4 3 4 4 2" xfId="14275"/>
    <cellStyle name="20% - Accent4 3 4 4 3" xfId="22222"/>
    <cellStyle name="20% - Accent4 3 4 5" xfId="9843"/>
    <cellStyle name="20% - Accent4 3 4 5 2" xfId="17801"/>
    <cellStyle name="20% - Accent4 3 4 5 3" xfId="25745"/>
    <cellStyle name="20% - Accent4 3 4 6" xfId="10739"/>
    <cellStyle name="20% - Accent4 3 4 7" xfId="18694"/>
    <cellStyle name="20% - Accent4 3 4_Exh G" xfId="2374"/>
    <cellStyle name="20% - Accent4 3 5" xfId="1229"/>
    <cellStyle name="20% - Accent4 3 5 2" xfId="4759"/>
    <cellStyle name="20% - Accent4 3 5 2 2" xfId="8350"/>
    <cellStyle name="20% - Accent4 3 5 2 2 2" xfId="16321"/>
    <cellStyle name="20% - Accent4 3 5 2 2 3" xfId="24267"/>
    <cellStyle name="20% - Accent4 3 5 2 3" xfId="12783"/>
    <cellStyle name="20% - Accent4 3 5 2 4" xfId="20738"/>
    <cellStyle name="20% - Accent4 3 5 3" xfId="6591"/>
    <cellStyle name="20% - Accent4 3 5 3 2" xfId="14563"/>
    <cellStyle name="20% - Accent4 3 5 3 3" xfId="22510"/>
    <cellStyle name="20% - Accent4 3 5 4" xfId="11027"/>
    <cellStyle name="20% - Accent4 3 5 5" xfId="18982"/>
    <cellStyle name="20% - Accent4 3 5_Exh G" xfId="2376"/>
    <cellStyle name="20% - Accent4 3 6" xfId="3880"/>
    <cellStyle name="20% - Accent4 3 6 2" xfId="7472"/>
    <cellStyle name="20% - Accent4 3 6 2 2" xfId="15443"/>
    <cellStyle name="20% - Accent4 3 6 2 3" xfId="23389"/>
    <cellStyle name="20% - Accent4 3 6 3" xfId="11905"/>
    <cellStyle name="20% - Accent4 3 6 4" xfId="19860"/>
    <cellStyle name="20% - Accent4 3 7" xfId="5700"/>
    <cellStyle name="20% - Accent4 3 7 2" xfId="13684"/>
    <cellStyle name="20% - Accent4 3 7 3" xfId="21632"/>
    <cellStyle name="20% - Accent4 3 8" xfId="9253"/>
    <cellStyle name="20% - Accent4 3 8 2" xfId="17211"/>
    <cellStyle name="20% - Accent4 3 8 3" xfId="25155"/>
    <cellStyle name="20% - Accent4 3 9" xfId="10149"/>
    <cellStyle name="20% - Accent4 3_Exh G" xfId="2365"/>
    <cellStyle name="20% - Accent4 4" xfId="205"/>
    <cellStyle name="20% - Accent4 4 10" xfId="18108"/>
    <cellStyle name="20% - Accent4 4 2" xfId="206"/>
    <cellStyle name="20% - Accent4 4 2 2" xfId="207"/>
    <cellStyle name="20% - Accent4 4 2 2 2" xfId="1235"/>
    <cellStyle name="20% - Accent4 4 2 2 2 2" xfId="4765"/>
    <cellStyle name="20% - Accent4 4 2 2 2 2 2" xfId="8356"/>
    <cellStyle name="20% - Accent4 4 2 2 2 2 2 2" xfId="16327"/>
    <cellStyle name="20% - Accent4 4 2 2 2 2 2 3" xfId="24273"/>
    <cellStyle name="20% - Accent4 4 2 2 2 2 3" xfId="12789"/>
    <cellStyle name="20% - Accent4 4 2 2 2 2 4" xfId="20744"/>
    <cellStyle name="20% - Accent4 4 2 2 2 3" xfId="6597"/>
    <cellStyle name="20% - Accent4 4 2 2 2 3 2" xfId="14569"/>
    <cellStyle name="20% - Accent4 4 2 2 2 3 3" xfId="22516"/>
    <cellStyle name="20% - Accent4 4 2 2 2 4" xfId="11033"/>
    <cellStyle name="20% - Accent4 4 2 2 2 5" xfId="18988"/>
    <cellStyle name="20% - Accent4 4 2 2 2_Exh G" xfId="2380"/>
    <cellStyle name="20% - Accent4 4 2 2 3" xfId="3886"/>
    <cellStyle name="20% - Accent4 4 2 2 3 2" xfId="7478"/>
    <cellStyle name="20% - Accent4 4 2 2 3 2 2" xfId="15449"/>
    <cellStyle name="20% - Accent4 4 2 2 3 2 3" xfId="23395"/>
    <cellStyle name="20% - Accent4 4 2 2 3 3" xfId="11911"/>
    <cellStyle name="20% - Accent4 4 2 2 3 4" xfId="19866"/>
    <cellStyle name="20% - Accent4 4 2 2 4" xfId="5706"/>
    <cellStyle name="20% - Accent4 4 2 2 4 2" xfId="13690"/>
    <cellStyle name="20% - Accent4 4 2 2 4 3" xfId="21638"/>
    <cellStyle name="20% - Accent4 4 2 2 5" xfId="9259"/>
    <cellStyle name="20% - Accent4 4 2 2 5 2" xfId="17217"/>
    <cellStyle name="20% - Accent4 4 2 2 5 3" xfId="25161"/>
    <cellStyle name="20% - Accent4 4 2 2 6" xfId="10155"/>
    <cellStyle name="20% - Accent4 4 2 2 7" xfId="18110"/>
    <cellStyle name="20% - Accent4 4 2 2_Exh G" xfId="2379"/>
    <cellStyle name="20% - Accent4 4 2 3" xfId="904"/>
    <cellStyle name="20% - Accent4 4 2 3 2" xfId="1834"/>
    <cellStyle name="20% - Accent4 4 2 3 2 2" xfId="5352"/>
    <cellStyle name="20% - Accent4 4 2 3 2 2 2" xfId="8943"/>
    <cellStyle name="20% - Accent4 4 2 3 2 2 2 2" xfId="16914"/>
    <cellStyle name="20% - Accent4 4 2 3 2 2 2 3" xfId="24860"/>
    <cellStyle name="20% - Accent4 4 2 3 2 2 3" xfId="13376"/>
    <cellStyle name="20% - Accent4 4 2 3 2 2 4" xfId="21331"/>
    <cellStyle name="20% - Accent4 4 2 3 2 3" xfId="7184"/>
    <cellStyle name="20% - Accent4 4 2 3 2 3 2" xfId="15156"/>
    <cellStyle name="20% - Accent4 4 2 3 2 3 3" xfId="23103"/>
    <cellStyle name="20% - Accent4 4 2 3 2 4" xfId="11620"/>
    <cellStyle name="20% - Accent4 4 2 3 2 5" xfId="19575"/>
    <cellStyle name="20% - Accent4 4 2 3 2_Exh G" xfId="2382"/>
    <cellStyle name="20% - Accent4 4 2 3 3" xfId="4473"/>
    <cellStyle name="20% - Accent4 4 2 3 3 2" xfId="8065"/>
    <cellStyle name="20% - Accent4 4 2 3 3 2 2" xfId="16036"/>
    <cellStyle name="20% - Accent4 4 2 3 3 2 3" xfId="23982"/>
    <cellStyle name="20% - Accent4 4 2 3 3 3" xfId="12498"/>
    <cellStyle name="20% - Accent4 4 2 3 3 4" xfId="20453"/>
    <cellStyle name="20% - Accent4 4 2 3 4" xfId="6303"/>
    <cellStyle name="20% - Accent4 4 2 3 4 2" xfId="14278"/>
    <cellStyle name="20% - Accent4 4 2 3 4 3" xfId="22225"/>
    <cellStyle name="20% - Accent4 4 2 3 5" xfId="9846"/>
    <cellStyle name="20% - Accent4 4 2 3 5 2" xfId="17804"/>
    <cellStyle name="20% - Accent4 4 2 3 5 3" xfId="25748"/>
    <cellStyle name="20% - Accent4 4 2 3 6" xfId="10742"/>
    <cellStyle name="20% - Accent4 4 2 3 7" xfId="18697"/>
    <cellStyle name="20% - Accent4 4 2 3_Exh G" xfId="2381"/>
    <cellStyle name="20% - Accent4 4 2 4" xfId="1234"/>
    <cellStyle name="20% - Accent4 4 2 4 2" xfId="4764"/>
    <cellStyle name="20% - Accent4 4 2 4 2 2" xfId="8355"/>
    <cellStyle name="20% - Accent4 4 2 4 2 2 2" xfId="16326"/>
    <cellStyle name="20% - Accent4 4 2 4 2 2 3" xfId="24272"/>
    <cellStyle name="20% - Accent4 4 2 4 2 3" xfId="12788"/>
    <cellStyle name="20% - Accent4 4 2 4 2 4" xfId="20743"/>
    <cellStyle name="20% - Accent4 4 2 4 3" xfId="6596"/>
    <cellStyle name="20% - Accent4 4 2 4 3 2" xfId="14568"/>
    <cellStyle name="20% - Accent4 4 2 4 3 3" xfId="22515"/>
    <cellStyle name="20% - Accent4 4 2 4 4" xfId="11032"/>
    <cellStyle name="20% - Accent4 4 2 4 5" xfId="18987"/>
    <cellStyle name="20% - Accent4 4 2 4_Exh G" xfId="2383"/>
    <cellStyle name="20% - Accent4 4 2 5" xfId="3885"/>
    <cellStyle name="20% - Accent4 4 2 5 2" xfId="7477"/>
    <cellStyle name="20% - Accent4 4 2 5 2 2" xfId="15448"/>
    <cellStyle name="20% - Accent4 4 2 5 2 3" xfId="23394"/>
    <cellStyle name="20% - Accent4 4 2 5 3" xfId="11910"/>
    <cellStyle name="20% - Accent4 4 2 5 4" xfId="19865"/>
    <cellStyle name="20% - Accent4 4 2 6" xfId="5705"/>
    <cellStyle name="20% - Accent4 4 2 6 2" xfId="13689"/>
    <cellStyle name="20% - Accent4 4 2 6 3" xfId="21637"/>
    <cellStyle name="20% - Accent4 4 2 7" xfId="9258"/>
    <cellStyle name="20% - Accent4 4 2 7 2" xfId="17216"/>
    <cellStyle name="20% - Accent4 4 2 7 3" xfId="25160"/>
    <cellStyle name="20% - Accent4 4 2 8" xfId="10154"/>
    <cellStyle name="20% - Accent4 4 2 9" xfId="18109"/>
    <cellStyle name="20% - Accent4 4 2_Exh G" xfId="2378"/>
    <cellStyle name="20% - Accent4 4 3" xfId="208"/>
    <cellStyle name="20% - Accent4 4 3 2" xfId="1236"/>
    <cellStyle name="20% - Accent4 4 3 2 2" xfId="4766"/>
    <cellStyle name="20% - Accent4 4 3 2 2 2" xfId="8357"/>
    <cellStyle name="20% - Accent4 4 3 2 2 2 2" xfId="16328"/>
    <cellStyle name="20% - Accent4 4 3 2 2 2 3" xfId="24274"/>
    <cellStyle name="20% - Accent4 4 3 2 2 3" xfId="12790"/>
    <cellStyle name="20% - Accent4 4 3 2 2 4" xfId="20745"/>
    <cellStyle name="20% - Accent4 4 3 2 3" xfId="6598"/>
    <cellStyle name="20% - Accent4 4 3 2 3 2" xfId="14570"/>
    <cellStyle name="20% - Accent4 4 3 2 3 3" xfId="22517"/>
    <cellStyle name="20% - Accent4 4 3 2 4" xfId="11034"/>
    <cellStyle name="20% - Accent4 4 3 2 5" xfId="18989"/>
    <cellStyle name="20% - Accent4 4 3 2_Exh G" xfId="2385"/>
    <cellStyle name="20% - Accent4 4 3 3" xfId="3887"/>
    <cellStyle name="20% - Accent4 4 3 3 2" xfId="7479"/>
    <cellStyle name="20% - Accent4 4 3 3 2 2" xfId="15450"/>
    <cellStyle name="20% - Accent4 4 3 3 2 3" xfId="23396"/>
    <cellStyle name="20% - Accent4 4 3 3 3" xfId="11912"/>
    <cellStyle name="20% - Accent4 4 3 3 4" xfId="19867"/>
    <cellStyle name="20% - Accent4 4 3 4" xfId="5707"/>
    <cellStyle name="20% - Accent4 4 3 4 2" xfId="13691"/>
    <cellStyle name="20% - Accent4 4 3 4 3" xfId="21639"/>
    <cellStyle name="20% - Accent4 4 3 5" xfId="9260"/>
    <cellStyle name="20% - Accent4 4 3 5 2" xfId="17218"/>
    <cellStyle name="20% - Accent4 4 3 5 3" xfId="25162"/>
    <cellStyle name="20% - Accent4 4 3 6" xfId="10156"/>
    <cellStyle name="20% - Accent4 4 3 7" xfId="18111"/>
    <cellStyle name="20% - Accent4 4 3_Exh G" xfId="2384"/>
    <cellStyle name="20% - Accent4 4 4" xfId="903"/>
    <cellStyle name="20% - Accent4 4 4 2" xfId="1833"/>
    <cellStyle name="20% - Accent4 4 4 2 2" xfId="5351"/>
    <cellStyle name="20% - Accent4 4 4 2 2 2" xfId="8942"/>
    <cellStyle name="20% - Accent4 4 4 2 2 2 2" xfId="16913"/>
    <cellStyle name="20% - Accent4 4 4 2 2 2 3" xfId="24859"/>
    <cellStyle name="20% - Accent4 4 4 2 2 3" xfId="13375"/>
    <cellStyle name="20% - Accent4 4 4 2 2 4" xfId="21330"/>
    <cellStyle name="20% - Accent4 4 4 2 3" xfId="7183"/>
    <cellStyle name="20% - Accent4 4 4 2 3 2" xfId="15155"/>
    <cellStyle name="20% - Accent4 4 4 2 3 3" xfId="23102"/>
    <cellStyle name="20% - Accent4 4 4 2 4" xfId="11619"/>
    <cellStyle name="20% - Accent4 4 4 2 5" xfId="19574"/>
    <cellStyle name="20% - Accent4 4 4 2_Exh G" xfId="2387"/>
    <cellStyle name="20% - Accent4 4 4 3" xfId="4472"/>
    <cellStyle name="20% - Accent4 4 4 3 2" xfId="8064"/>
    <cellStyle name="20% - Accent4 4 4 3 2 2" xfId="16035"/>
    <cellStyle name="20% - Accent4 4 4 3 2 3" xfId="23981"/>
    <cellStyle name="20% - Accent4 4 4 3 3" xfId="12497"/>
    <cellStyle name="20% - Accent4 4 4 3 4" xfId="20452"/>
    <cellStyle name="20% - Accent4 4 4 4" xfId="6302"/>
    <cellStyle name="20% - Accent4 4 4 4 2" xfId="14277"/>
    <cellStyle name="20% - Accent4 4 4 4 3" xfId="22224"/>
    <cellStyle name="20% - Accent4 4 4 5" xfId="9845"/>
    <cellStyle name="20% - Accent4 4 4 5 2" xfId="17803"/>
    <cellStyle name="20% - Accent4 4 4 5 3" xfId="25747"/>
    <cellStyle name="20% - Accent4 4 4 6" xfId="10741"/>
    <cellStyle name="20% - Accent4 4 4 7" xfId="18696"/>
    <cellStyle name="20% - Accent4 4 4_Exh G" xfId="2386"/>
    <cellStyle name="20% - Accent4 4 5" xfId="1233"/>
    <cellStyle name="20% - Accent4 4 5 2" xfId="4763"/>
    <cellStyle name="20% - Accent4 4 5 2 2" xfId="8354"/>
    <cellStyle name="20% - Accent4 4 5 2 2 2" xfId="16325"/>
    <cellStyle name="20% - Accent4 4 5 2 2 3" xfId="24271"/>
    <cellStyle name="20% - Accent4 4 5 2 3" xfId="12787"/>
    <cellStyle name="20% - Accent4 4 5 2 4" xfId="20742"/>
    <cellStyle name="20% - Accent4 4 5 3" xfId="6595"/>
    <cellStyle name="20% - Accent4 4 5 3 2" xfId="14567"/>
    <cellStyle name="20% - Accent4 4 5 3 3" xfId="22514"/>
    <cellStyle name="20% - Accent4 4 5 4" xfId="11031"/>
    <cellStyle name="20% - Accent4 4 5 5" xfId="18986"/>
    <cellStyle name="20% - Accent4 4 5_Exh G" xfId="2388"/>
    <cellStyle name="20% - Accent4 4 6" xfId="3884"/>
    <cellStyle name="20% - Accent4 4 6 2" xfId="7476"/>
    <cellStyle name="20% - Accent4 4 6 2 2" xfId="15447"/>
    <cellStyle name="20% - Accent4 4 6 2 3" xfId="23393"/>
    <cellStyle name="20% - Accent4 4 6 3" xfId="11909"/>
    <cellStyle name="20% - Accent4 4 6 4" xfId="19864"/>
    <cellStyle name="20% - Accent4 4 7" xfId="5704"/>
    <cellStyle name="20% - Accent4 4 7 2" xfId="13688"/>
    <cellStyle name="20% - Accent4 4 7 3" xfId="21636"/>
    <cellStyle name="20% - Accent4 4 8" xfId="9257"/>
    <cellStyle name="20% - Accent4 4 8 2" xfId="17215"/>
    <cellStyle name="20% - Accent4 4 8 3" xfId="25159"/>
    <cellStyle name="20% - Accent4 4 9" xfId="10153"/>
    <cellStyle name="20% - Accent4 4_Exh G" xfId="2377"/>
    <cellStyle name="20% - Accent4 5" xfId="209"/>
    <cellStyle name="20% - Accent4 5 10" xfId="18112"/>
    <cellStyle name="20% - Accent4 5 2" xfId="210"/>
    <cellStyle name="20% - Accent4 5 2 2" xfId="211"/>
    <cellStyle name="20% - Accent4 5 2 2 2" xfId="1239"/>
    <cellStyle name="20% - Accent4 5 2 2 2 2" xfId="4769"/>
    <cellStyle name="20% - Accent4 5 2 2 2 2 2" xfId="8360"/>
    <cellStyle name="20% - Accent4 5 2 2 2 2 2 2" xfId="16331"/>
    <cellStyle name="20% - Accent4 5 2 2 2 2 2 3" xfId="24277"/>
    <cellStyle name="20% - Accent4 5 2 2 2 2 3" xfId="12793"/>
    <cellStyle name="20% - Accent4 5 2 2 2 2 4" xfId="20748"/>
    <cellStyle name="20% - Accent4 5 2 2 2 3" xfId="6601"/>
    <cellStyle name="20% - Accent4 5 2 2 2 3 2" xfId="14573"/>
    <cellStyle name="20% - Accent4 5 2 2 2 3 3" xfId="22520"/>
    <cellStyle name="20% - Accent4 5 2 2 2 4" xfId="11037"/>
    <cellStyle name="20% - Accent4 5 2 2 2 5" xfId="18992"/>
    <cellStyle name="20% - Accent4 5 2 2 2_Exh G" xfId="2392"/>
    <cellStyle name="20% - Accent4 5 2 2 3" xfId="3890"/>
    <cellStyle name="20% - Accent4 5 2 2 3 2" xfId="7482"/>
    <cellStyle name="20% - Accent4 5 2 2 3 2 2" xfId="15453"/>
    <cellStyle name="20% - Accent4 5 2 2 3 2 3" xfId="23399"/>
    <cellStyle name="20% - Accent4 5 2 2 3 3" xfId="11915"/>
    <cellStyle name="20% - Accent4 5 2 2 3 4" xfId="19870"/>
    <cellStyle name="20% - Accent4 5 2 2 4" xfId="5710"/>
    <cellStyle name="20% - Accent4 5 2 2 4 2" xfId="13694"/>
    <cellStyle name="20% - Accent4 5 2 2 4 3" xfId="21642"/>
    <cellStyle name="20% - Accent4 5 2 2 5" xfId="9263"/>
    <cellStyle name="20% - Accent4 5 2 2 5 2" xfId="17221"/>
    <cellStyle name="20% - Accent4 5 2 2 5 3" xfId="25165"/>
    <cellStyle name="20% - Accent4 5 2 2 6" xfId="10159"/>
    <cellStyle name="20% - Accent4 5 2 2 7" xfId="18114"/>
    <cellStyle name="20% - Accent4 5 2 2_Exh G" xfId="2391"/>
    <cellStyle name="20% - Accent4 5 2 3" xfId="1238"/>
    <cellStyle name="20% - Accent4 5 2 3 2" xfId="4768"/>
    <cellStyle name="20% - Accent4 5 2 3 2 2" xfId="8359"/>
    <cellStyle name="20% - Accent4 5 2 3 2 2 2" xfId="16330"/>
    <cellStyle name="20% - Accent4 5 2 3 2 2 3" xfId="24276"/>
    <cellStyle name="20% - Accent4 5 2 3 2 3" xfId="12792"/>
    <cellStyle name="20% - Accent4 5 2 3 2 4" xfId="20747"/>
    <cellStyle name="20% - Accent4 5 2 3 3" xfId="6600"/>
    <cellStyle name="20% - Accent4 5 2 3 3 2" xfId="14572"/>
    <cellStyle name="20% - Accent4 5 2 3 3 3" xfId="22519"/>
    <cellStyle name="20% - Accent4 5 2 3 4" xfId="11036"/>
    <cellStyle name="20% - Accent4 5 2 3 5" xfId="18991"/>
    <cellStyle name="20% - Accent4 5 2 3_Exh G" xfId="2393"/>
    <cellStyle name="20% - Accent4 5 2 4" xfId="3889"/>
    <cellStyle name="20% - Accent4 5 2 4 2" xfId="7481"/>
    <cellStyle name="20% - Accent4 5 2 4 2 2" xfId="15452"/>
    <cellStyle name="20% - Accent4 5 2 4 2 3" xfId="23398"/>
    <cellStyle name="20% - Accent4 5 2 4 3" xfId="11914"/>
    <cellStyle name="20% - Accent4 5 2 4 4" xfId="19869"/>
    <cellStyle name="20% - Accent4 5 2 5" xfId="5709"/>
    <cellStyle name="20% - Accent4 5 2 5 2" xfId="13693"/>
    <cellStyle name="20% - Accent4 5 2 5 3" xfId="21641"/>
    <cellStyle name="20% - Accent4 5 2 6" xfId="9262"/>
    <cellStyle name="20% - Accent4 5 2 6 2" xfId="17220"/>
    <cellStyle name="20% - Accent4 5 2 6 3" xfId="25164"/>
    <cellStyle name="20% - Accent4 5 2 7" xfId="10158"/>
    <cellStyle name="20% - Accent4 5 2 8" xfId="18113"/>
    <cellStyle name="20% - Accent4 5 2_Exh G" xfId="2390"/>
    <cellStyle name="20% - Accent4 5 3" xfId="212"/>
    <cellStyle name="20% - Accent4 5 3 2" xfId="1240"/>
    <cellStyle name="20% - Accent4 5 3 2 2" xfId="4770"/>
    <cellStyle name="20% - Accent4 5 3 2 2 2" xfId="8361"/>
    <cellStyle name="20% - Accent4 5 3 2 2 2 2" xfId="16332"/>
    <cellStyle name="20% - Accent4 5 3 2 2 2 3" xfId="24278"/>
    <cellStyle name="20% - Accent4 5 3 2 2 3" xfId="12794"/>
    <cellStyle name="20% - Accent4 5 3 2 2 4" xfId="20749"/>
    <cellStyle name="20% - Accent4 5 3 2 3" xfId="6602"/>
    <cellStyle name="20% - Accent4 5 3 2 3 2" xfId="14574"/>
    <cellStyle name="20% - Accent4 5 3 2 3 3" xfId="22521"/>
    <cellStyle name="20% - Accent4 5 3 2 4" xfId="11038"/>
    <cellStyle name="20% - Accent4 5 3 2 5" xfId="18993"/>
    <cellStyle name="20% - Accent4 5 3 2_Exh G" xfId="2395"/>
    <cellStyle name="20% - Accent4 5 3 3" xfId="3891"/>
    <cellStyle name="20% - Accent4 5 3 3 2" xfId="7483"/>
    <cellStyle name="20% - Accent4 5 3 3 2 2" xfId="15454"/>
    <cellStyle name="20% - Accent4 5 3 3 2 3" xfId="23400"/>
    <cellStyle name="20% - Accent4 5 3 3 3" xfId="11916"/>
    <cellStyle name="20% - Accent4 5 3 3 4" xfId="19871"/>
    <cellStyle name="20% - Accent4 5 3 4" xfId="5711"/>
    <cellStyle name="20% - Accent4 5 3 4 2" xfId="13695"/>
    <cellStyle name="20% - Accent4 5 3 4 3" xfId="21643"/>
    <cellStyle name="20% - Accent4 5 3 5" xfId="9264"/>
    <cellStyle name="20% - Accent4 5 3 5 2" xfId="17222"/>
    <cellStyle name="20% - Accent4 5 3 5 3" xfId="25166"/>
    <cellStyle name="20% - Accent4 5 3 6" xfId="10160"/>
    <cellStyle name="20% - Accent4 5 3 7" xfId="18115"/>
    <cellStyle name="20% - Accent4 5 3_Exh G" xfId="2394"/>
    <cellStyle name="20% - Accent4 5 4" xfId="905"/>
    <cellStyle name="20% - Accent4 5 5" xfId="1237"/>
    <cellStyle name="20% - Accent4 5 5 2" xfId="4767"/>
    <cellStyle name="20% - Accent4 5 5 2 2" xfId="8358"/>
    <cellStyle name="20% - Accent4 5 5 2 2 2" xfId="16329"/>
    <cellStyle name="20% - Accent4 5 5 2 2 3" xfId="24275"/>
    <cellStyle name="20% - Accent4 5 5 2 3" xfId="12791"/>
    <cellStyle name="20% - Accent4 5 5 2 4" xfId="20746"/>
    <cellStyle name="20% - Accent4 5 5 3" xfId="6599"/>
    <cellStyle name="20% - Accent4 5 5 3 2" xfId="14571"/>
    <cellStyle name="20% - Accent4 5 5 3 3" xfId="22518"/>
    <cellStyle name="20% - Accent4 5 5 4" xfId="11035"/>
    <cellStyle name="20% - Accent4 5 5 5" xfId="18990"/>
    <cellStyle name="20% - Accent4 5 5_Exh G" xfId="2396"/>
    <cellStyle name="20% - Accent4 5 6" xfId="3888"/>
    <cellStyle name="20% - Accent4 5 6 2" xfId="7480"/>
    <cellStyle name="20% - Accent4 5 6 2 2" xfId="15451"/>
    <cellStyle name="20% - Accent4 5 6 2 3" xfId="23397"/>
    <cellStyle name="20% - Accent4 5 6 3" xfId="11913"/>
    <cellStyle name="20% - Accent4 5 6 4" xfId="19868"/>
    <cellStyle name="20% - Accent4 5 7" xfId="5708"/>
    <cellStyle name="20% - Accent4 5 7 2" xfId="13692"/>
    <cellStyle name="20% - Accent4 5 7 3" xfId="21640"/>
    <cellStyle name="20% - Accent4 5 8" xfId="9261"/>
    <cellStyle name="20% - Accent4 5 8 2" xfId="17219"/>
    <cellStyle name="20% - Accent4 5 8 3" xfId="25163"/>
    <cellStyle name="20% - Accent4 5 9" xfId="10157"/>
    <cellStyle name="20% - Accent4 5_Exh G" xfId="2389"/>
    <cellStyle name="20% - Accent4 6" xfId="213"/>
    <cellStyle name="20% - Accent4 6 10" xfId="18116"/>
    <cellStyle name="20% - Accent4 6 2" xfId="214"/>
    <cellStyle name="20% - Accent4 6 2 2" xfId="215"/>
    <cellStyle name="20% - Accent4 6 2 2 2" xfId="1243"/>
    <cellStyle name="20% - Accent4 6 2 2 2 2" xfId="4773"/>
    <cellStyle name="20% - Accent4 6 2 2 2 2 2" xfId="8364"/>
    <cellStyle name="20% - Accent4 6 2 2 2 2 2 2" xfId="16335"/>
    <cellStyle name="20% - Accent4 6 2 2 2 2 2 3" xfId="24281"/>
    <cellStyle name="20% - Accent4 6 2 2 2 2 3" xfId="12797"/>
    <cellStyle name="20% - Accent4 6 2 2 2 2 4" xfId="20752"/>
    <cellStyle name="20% - Accent4 6 2 2 2 3" xfId="6605"/>
    <cellStyle name="20% - Accent4 6 2 2 2 3 2" xfId="14577"/>
    <cellStyle name="20% - Accent4 6 2 2 2 3 3" xfId="22524"/>
    <cellStyle name="20% - Accent4 6 2 2 2 4" xfId="11041"/>
    <cellStyle name="20% - Accent4 6 2 2 2 5" xfId="18996"/>
    <cellStyle name="20% - Accent4 6 2 2 2_Exh G" xfId="2400"/>
    <cellStyle name="20% - Accent4 6 2 2 3" xfId="3894"/>
    <cellStyle name="20% - Accent4 6 2 2 3 2" xfId="7486"/>
    <cellStyle name="20% - Accent4 6 2 2 3 2 2" xfId="15457"/>
    <cellStyle name="20% - Accent4 6 2 2 3 2 3" xfId="23403"/>
    <cellStyle name="20% - Accent4 6 2 2 3 3" xfId="11919"/>
    <cellStyle name="20% - Accent4 6 2 2 3 4" xfId="19874"/>
    <cellStyle name="20% - Accent4 6 2 2 4" xfId="5714"/>
    <cellStyle name="20% - Accent4 6 2 2 4 2" xfId="13698"/>
    <cellStyle name="20% - Accent4 6 2 2 4 3" xfId="21646"/>
    <cellStyle name="20% - Accent4 6 2 2 5" xfId="9267"/>
    <cellStyle name="20% - Accent4 6 2 2 5 2" xfId="17225"/>
    <cellStyle name="20% - Accent4 6 2 2 5 3" xfId="25169"/>
    <cellStyle name="20% - Accent4 6 2 2 6" xfId="10163"/>
    <cellStyle name="20% - Accent4 6 2 2 7" xfId="18118"/>
    <cellStyle name="20% - Accent4 6 2 2_Exh G" xfId="2399"/>
    <cellStyle name="20% - Accent4 6 2 3" xfId="1242"/>
    <cellStyle name="20% - Accent4 6 2 3 2" xfId="4772"/>
    <cellStyle name="20% - Accent4 6 2 3 2 2" xfId="8363"/>
    <cellStyle name="20% - Accent4 6 2 3 2 2 2" xfId="16334"/>
    <cellStyle name="20% - Accent4 6 2 3 2 2 3" xfId="24280"/>
    <cellStyle name="20% - Accent4 6 2 3 2 3" xfId="12796"/>
    <cellStyle name="20% - Accent4 6 2 3 2 4" xfId="20751"/>
    <cellStyle name="20% - Accent4 6 2 3 3" xfId="6604"/>
    <cellStyle name="20% - Accent4 6 2 3 3 2" xfId="14576"/>
    <cellStyle name="20% - Accent4 6 2 3 3 3" xfId="22523"/>
    <cellStyle name="20% - Accent4 6 2 3 4" xfId="11040"/>
    <cellStyle name="20% - Accent4 6 2 3 5" xfId="18995"/>
    <cellStyle name="20% - Accent4 6 2 3_Exh G" xfId="2401"/>
    <cellStyle name="20% - Accent4 6 2 4" xfId="3893"/>
    <cellStyle name="20% - Accent4 6 2 4 2" xfId="7485"/>
    <cellStyle name="20% - Accent4 6 2 4 2 2" xfId="15456"/>
    <cellStyle name="20% - Accent4 6 2 4 2 3" xfId="23402"/>
    <cellStyle name="20% - Accent4 6 2 4 3" xfId="11918"/>
    <cellStyle name="20% - Accent4 6 2 4 4" xfId="19873"/>
    <cellStyle name="20% - Accent4 6 2 5" xfId="5713"/>
    <cellStyle name="20% - Accent4 6 2 5 2" xfId="13697"/>
    <cellStyle name="20% - Accent4 6 2 5 3" xfId="21645"/>
    <cellStyle name="20% - Accent4 6 2 6" xfId="9266"/>
    <cellStyle name="20% - Accent4 6 2 6 2" xfId="17224"/>
    <cellStyle name="20% - Accent4 6 2 6 3" xfId="25168"/>
    <cellStyle name="20% - Accent4 6 2 7" xfId="10162"/>
    <cellStyle name="20% - Accent4 6 2 8" xfId="18117"/>
    <cellStyle name="20% - Accent4 6 2_Exh G" xfId="2398"/>
    <cellStyle name="20% - Accent4 6 3" xfId="216"/>
    <cellStyle name="20% - Accent4 6 3 2" xfId="1244"/>
    <cellStyle name="20% - Accent4 6 3 2 2" xfId="4774"/>
    <cellStyle name="20% - Accent4 6 3 2 2 2" xfId="8365"/>
    <cellStyle name="20% - Accent4 6 3 2 2 2 2" xfId="16336"/>
    <cellStyle name="20% - Accent4 6 3 2 2 2 3" xfId="24282"/>
    <cellStyle name="20% - Accent4 6 3 2 2 3" xfId="12798"/>
    <cellStyle name="20% - Accent4 6 3 2 2 4" xfId="20753"/>
    <cellStyle name="20% - Accent4 6 3 2 3" xfId="6606"/>
    <cellStyle name="20% - Accent4 6 3 2 3 2" xfId="14578"/>
    <cellStyle name="20% - Accent4 6 3 2 3 3" xfId="22525"/>
    <cellStyle name="20% - Accent4 6 3 2 4" xfId="11042"/>
    <cellStyle name="20% - Accent4 6 3 2 5" xfId="18997"/>
    <cellStyle name="20% - Accent4 6 3 2_Exh G" xfId="2403"/>
    <cellStyle name="20% - Accent4 6 3 3" xfId="3895"/>
    <cellStyle name="20% - Accent4 6 3 3 2" xfId="7487"/>
    <cellStyle name="20% - Accent4 6 3 3 2 2" xfId="15458"/>
    <cellStyle name="20% - Accent4 6 3 3 2 3" xfId="23404"/>
    <cellStyle name="20% - Accent4 6 3 3 3" xfId="11920"/>
    <cellStyle name="20% - Accent4 6 3 3 4" xfId="19875"/>
    <cellStyle name="20% - Accent4 6 3 4" xfId="5715"/>
    <cellStyle name="20% - Accent4 6 3 4 2" xfId="13699"/>
    <cellStyle name="20% - Accent4 6 3 4 3" xfId="21647"/>
    <cellStyle name="20% - Accent4 6 3 5" xfId="9268"/>
    <cellStyle name="20% - Accent4 6 3 5 2" xfId="17226"/>
    <cellStyle name="20% - Accent4 6 3 5 3" xfId="25170"/>
    <cellStyle name="20% - Accent4 6 3 6" xfId="10164"/>
    <cellStyle name="20% - Accent4 6 3 7" xfId="18119"/>
    <cellStyle name="20% - Accent4 6 3_Exh G" xfId="2402"/>
    <cellStyle name="20% - Accent4 6 4" xfId="906"/>
    <cellStyle name="20% - Accent4 6 4 2" xfId="1835"/>
    <cellStyle name="20% - Accent4 6 4 2 2" xfId="5353"/>
    <cellStyle name="20% - Accent4 6 4 2 2 2" xfId="8944"/>
    <cellStyle name="20% - Accent4 6 4 2 2 2 2" xfId="16915"/>
    <cellStyle name="20% - Accent4 6 4 2 2 2 3" xfId="24861"/>
    <cellStyle name="20% - Accent4 6 4 2 2 3" xfId="13377"/>
    <cellStyle name="20% - Accent4 6 4 2 2 4" xfId="21332"/>
    <cellStyle name="20% - Accent4 6 4 2 3" xfId="7185"/>
    <cellStyle name="20% - Accent4 6 4 2 3 2" xfId="15157"/>
    <cellStyle name="20% - Accent4 6 4 2 3 3" xfId="23104"/>
    <cellStyle name="20% - Accent4 6 4 2 4" xfId="11621"/>
    <cellStyle name="20% - Accent4 6 4 2 5" xfId="19576"/>
    <cellStyle name="20% - Accent4 6 4 2_Exh G" xfId="2405"/>
    <cellStyle name="20% - Accent4 6 4 3" xfId="4474"/>
    <cellStyle name="20% - Accent4 6 4 3 2" xfId="8066"/>
    <cellStyle name="20% - Accent4 6 4 3 2 2" xfId="16037"/>
    <cellStyle name="20% - Accent4 6 4 3 2 3" xfId="23983"/>
    <cellStyle name="20% - Accent4 6 4 3 3" xfId="12499"/>
    <cellStyle name="20% - Accent4 6 4 3 4" xfId="20454"/>
    <cellStyle name="20% - Accent4 6 4 4" xfId="6304"/>
    <cellStyle name="20% - Accent4 6 4 4 2" xfId="14279"/>
    <cellStyle name="20% - Accent4 6 4 4 3" xfId="22226"/>
    <cellStyle name="20% - Accent4 6 4 5" xfId="9847"/>
    <cellStyle name="20% - Accent4 6 4 5 2" xfId="17805"/>
    <cellStyle name="20% - Accent4 6 4 5 3" xfId="25749"/>
    <cellStyle name="20% - Accent4 6 4 6" xfId="10743"/>
    <cellStyle name="20% - Accent4 6 4 7" xfId="18698"/>
    <cellStyle name="20% - Accent4 6 4_Exh G" xfId="2404"/>
    <cellStyle name="20% - Accent4 6 5" xfId="1241"/>
    <cellStyle name="20% - Accent4 6 5 2" xfId="4771"/>
    <cellStyle name="20% - Accent4 6 5 2 2" xfId="8362"/>
    <cellStyle name="20% - Accent4 6 5 2 2 2" xfId="16333"/>
    <cellStyle name="20% - Accent4 6 5 2 2 3" xfId="24279"/>
    <cellStyle name="20% - Accent4 6 5 2 3" xfId="12795"/>
    <cellStyle name="20% - Accent4 6 5 2 4" xfId="20750"/>
    <cellStyle name="20% - Accent4 6 5 3" xfId="6603"/>
    <cellStyle name="20% - Accent4 6 5 3 2" xfId="14575"/>
    <cellStyle name="20% - Accent4 6 5 3 3" xfId="22522"/>
    <cellStyle name="20% - Accent4 6 5 4" xfId="11039"/>
    <cellStyle name="20% - Accent4 6 5 5" xfId="18994"/>
    <cellStyle name="20% - Accent4 6 5_Exh G" xfId="2406"/>
    <cellStyle name="20% - Accent4 6 6" xfId="3892"/>
    <cellStyle name="20% - Accent4 6 6 2" xfId="7484"/>
    <cellStyle name="20% - Accent4 6 6 2 2" xfId="15455"/>
    <cellStyle name="20% - Accent4 6 6 2 3" xfId="23401"/>
    <cellStyle name="20% - Accent4 6 6 3" xfId="11917"/>
    <cellStyle name="20% - Accent4 6 6 4" xfId="19872"/>
    <cellStyle name="20% - Accent4 6 7" xfId="5712"/>
    <cellStyle name="20% - Accent4 6 7 2" xfId="13696"/>
    <cellStyle name="20% - Accent4 6 7 3" xfId="21644"/>
    <cellStyle name="20% - Accent4 6 8" xfId="9265"/>
    <cellStyle name="20% - Accent4 6 8 2" xfId="17223"/>
    <cellStyle name="20% - Accent4 6 8 3" xfId="25167"/>
    <cellStyle name="20% - Accent4 6 9" xfId="10161"/>
    <cellStyle name="20% - Accent4 6_Exh G" xfId="2397"/>
    <cellStyle name="20% - Accent4 7" xfId="217"/>
    <cellStyle name="20% - Accent4 7 10" xfId="18120"/>
    <cellStyle name="20% - Accent4 7 2" xfId="218"/>
    <cellStyle name="20% - Accent4 7 2 2" xfId="219"/>
    <cellStyle name="20% - Accent4 7 2 2 2" xfId="1247"/>
    <cellStyle name="20% - Accent4 7 2 2 2 2" xfId="4777"/>
    <cellStyle name="20% - Accent4 7 2 2 2 2 2" xfId="8368"/>
    <cellStyle name="20% - Accent4 7 2 2 2 2 2 2" xfId="16339"/>
    <cellStyle name="20% - Accent4 7 2 2 2 2 2 3" xfId="24285"/>
    <cellStyle name="20% - Accent4 7 2 2 2 2 3" xfId="12801"/>
    <cellStyle name="20% - Accent4 7 2 2 2 2 4" xfId="20756"/>
    <cellStyle name="20% - Accent4 7 2 2 2 3" xfId="6609"/>
    <cellStyle name="20% - Accent4 7 2 2 2 3 2" xfId="14581"/>
    <cellStyle name="20% - Accent4 7 2 2 2 3 3" xfId="22528"/>
    <cellStyle name="20% - Accent4 7 2 2 2 4" xfId="11045"/>
    <cellStyle name="20% - Accent4 7 2 2 2 5" xfId="19000"/>
    <cellStyle name="20% - Accent4 7 2 2 2_Exh G" xfId="2410"/>
    <cellStyle name="20% - Accent4 7 2 2 3" xfId="3898"/>
    <cellStyle name="20% - Accent4 7 2 2 3 2" xfId="7490"/>
    <cellStyle name="20% - Accent4 7 2 2 3 2 2" xfId="15461"/>
    <cellStyle name="20% - Accent4 7 2 2 3 2 3" xfId="23407"/>
    <cellStyle name="20% - Accent4 7 2 2 3 3" xfId="11923"/>
    <cellStyle name="20% - Accent4 7 2 2 3 4" xfId="19878"/>
    <cellStyle name="20% - Accent4 7 2 2 4" xfId="5718"/>
    <cellStyle name="20% - Accent4 7 2 2 4 2" xfId="13702"/>
    <cellStyle name="20% - Accent4 7 2 2 4 3" xfId="21650"/>
    <cellStyle name="20% - Accent4 7 2 2 5" xfId="9271"/>
    <cellStyle name="20% - Accent4 7 2 2 5 2" xfId="17229"/>
    <cellStyle name="20% - Accent4 7 2 2 5 3" xfId="25173"/>
    <cellStyle name="20% - Accent4 7 2 2 6" xfId="10167"/>
    <cellStyle name="20% - Accent4 7 2 2 7" xfId="18122"/>
    <cellStyle name="20% - Accent4 7 2 2_Exh G" xfId="2409"/>
    <cellStyle name="20% - Accent4 7 2 3" xfId="1246"/>
    <cellStyle name="20% - Accent4 7 2 3 2" xfId="4776"/>
    <cellStyle name="20% - Accent4 7 2 3 2 2" xfId="8367"/>
    <cellStyle name="20% - Accent4 7 2 3 2 2 2" xfId="16338"/>
    <cellStyle name="20% - Accent4 7 2 3 2 2 3" xfId="24284"/>
    <cellStyle name="20% - Accent4 7 2 3 2 3" xfId="12800"/>
    <cellStyle name="20% - Accent4 7 2 3 2 4" xfId="20755"/>
    <cellStyle name="20% - Accent4 7 2 3 3" xfId="6608"/>
    <cellStyle name="20% - Accent4 7 2 3 3 2" xfId="14580"/>
    <cellStyle name="20% - Accent4 7 2 3 3 3" xfId="22527"/>
    <cellStyle name="20% - Accent4 7 2 3 4" xfId="11044"/>
    <cellStyle name="20% - Accent4 7 2 3 5" xfId="18999"/>
    <cellStyle name="20% - Accent4 7 2 3_Exh G" xfId="2411"/>
    <cellStyle name="20% - Accent4 7 2 4" xfId="3897"/>
    <cellStyle name="20% - Accent4 7 2 4 2" xfId="7489"/>
    <cellStyle name="20% - Accent4 7 2 4 2 2" xfId="15460"/>
    <cellStyle name="20% - Accent4 7 2 4 2 3" xfId="23406"/>
    <cellStyle name="20% - Accent4 7 2 4 3" xfId="11922"/>
    <cellStyle name="20% - Accent4 7 2 4 4" xfId="19877"/>
    <cellStyle name="20% - Accent4 7 2 5" xfId="5717"/>
    <cellStyle name="20% - Accent4 7 2 5 2" xfId="13701"/>
    <cellStyle name="20% - Accent4 7 2 5 3" xfId="21649"/>
    <cellStyle name="20% - Accent4 7 2 6" xfId="9270"/>
    <cellStyle name="20% - Accent4 7 2 6 2" xfId="17228"/>
    <cellStyle name="20% - Accent4 7 2 6 3" xfId="25172"/>
    <cellStyle name="20% - Accent4 7 2 7" xfId="10166"/>
    <cellStyle name="20% - Accent4 7 2 8" xfId="18121"/>
    <cellStyle name="20% - Accent4 7 2_Exh G" xfId="2408"/>
    <cellStyle name="20% - Accent4 7 3" xfId="220"/>
    <cellStyle name="20% - Accent4 7 3 2" xfId="1248"/>
    <cellStyle name="20% - Accent4 7 3 2 2" xfId="4778"/>
    <cellStyle name="20% - Accent4 7 3 2 2 2" xfId="8369"/>
    <cellStyle name="20% - Accent4 7 3 2 2 2 2" xfId="16340"/>
    <cellStyle name="20% - Accent4 7 3 2 2 2 3" xfId="24286"/>
    <cellStyle name="20% - Accent4 7 3 2 2 3" xfId="12802"/>
    <cellStyle name="20% - Accent4 7 3 2 2 4" xfId="20757"/>
    <cellStyle name="20% - Accent4 7 3 2 3" xfId="6610"/>
    <cellStyle name="20% - Accent4 7 3 2 3 2" xfId="14582"/>
    <cellStyle name="20% - Accent4 7 3 2 3 3" xfId="22529"/>
    <cellStyle name="20% - Accent4 7 3 2 4" xfId="11046"/>
    <cellStyle name="20% - Accent4 7 3 2 5" xfId="19001"/>
    <cellStyle name="20% - Accent4 7 3 2_Exh G" xfId="2413"/>
    <cellStyle name="20% - Accent4 7 3 3" xfId="3899"/>
    <cellStyle name="20% - Accent4 7 3 3 2" xfId="7491"/>
    <cellStyle name="20% - Accent4 7 3 3 2 2" xfId="15462"/>
    <cellStyle name="20% - Accent4 7 3 3 2 3" xfId="23408"/>
    <cellStyle name="20% - Accent4 7 3 3 3" xfId="11924"/>
    <cellStyle name="20% - Accent4 7 3 3 4" xfId="19879"/>
    <cellStyle name="20% - Accent4 7 3 4" xfId="5719"/>
    <cellStyle name="20% - Accent4 7 3 4 2" xfId="13703"/>
    <cellStyle name="20% - Accent4 7 3 4 3" xfId="21651"/>
    <cellStyle name="20% - Accent4 7 3 5" xfId="9272"/>
    <cellStyle name="20% - Accent4 7 3 5 2" xfId="17230"/>
    <cellStyle name="20% - Accent4 7 3 5 3" xfId="25174"/>
    <cellStyle name="20% - Accent4 7 3 6" xfId="10168"/>
    <cellStyle name="20% - Accent4 7 3 7" xfId="18123"/>
    <cellStyle name="20% - Accent4 7 3_Exh G" xfId="2412"/>
    <cellStyle name="20% - Accent4 7 4" xfId="907"/>
    <cellStyle name="20% - Accent4 7 4 2" xfId="1836"/>
    <cellStyle name="20% - Accent4 7 4 2 2" xfId="5354"/>
    <cellStyle name="20% - Accent4 7 4 2 2 2" xfId="8945"/>
    <cellStyle name="20% - Accent4 7 4 2 2 2 2" xfId="16916"/>
    <cellStyle name="20% - Accent4 7 4 2 2 2 3" xfId="24862"/>
    <cellStyle name="20% - Accent4 7 4 2 2 3" xfId="13378"/>
    <cellStyle name="20% - Accent4 7 4 2 2 4" xfId="21333"/>
    <cellStyle name="20% - Accent4 7 4 2 3" xfId="7186"/>
    <cellStyle name="20% - Accent4 7 4 2 3 2" xfId="15158"/>
    <cellStyle name="20% - Accent4 7 4 2 3 3" xfId="23105"/>
    <cellStyle name="20% - Accent4 7 4 2 4" xfId="11622"/>
    <cellStyle name="20% - Accent4 7 4 2 5" xfId="19577"/>
    <cellStyle name="20% - Accent4 7 4 2_Exh G" xfId="2415"/>
    <cellStyle name="20% - Accent4 7 4 3" xfId="4475"/>
    <cellStyle name="20% - Accent4 7 4 3 2" xfId="8067"/>
    <cellStyle name="20% - Accent4 7 4 3 2 2" xfId="16038"/>
    <cellStyle name="20% - Accent4 7 4 3 2 3" xfId="23984"/>
    <cellStyle name="20% - Accent4 7 4 3 3" xfId="12500"/>
    <cellStyle name="20% - Accent4 7 4 3 4" xfId="20455"/>
    <cellStyle name="20% - Accent4 7 4 4" xfId="6305"/>
    <cellStyle name="20% - Accent4 7 4 4 2" xfId="14280"/>
    <cellStyle name="20% - Accent4 7 4 4 3" xfId="22227"/>
    <cellStyle name="20% - Accent4 7 4 5" xfId="9848"/>
    <cellStyle name="20% - Accent4 7 4 5 2" xfId="17806"/>
    <cellStyle name="20% - Accent4 7 4 5 3" xfId="25750"/>
    <cellStyle name="20% - Accent4 7 4 6" xfId="10744"/>
    <cellStyle name="20% - Accent4 7 4 7" xfId="18699"/>
    <cellStyle name="20% - Accent4 7 4_Exh G" xfId="2414"/>
    <cellStyle name="20% - Accent4 7 5" xfId="1245"/>
    <cellStyle name="20% - Accent4 7 5 2" xfId="4775"/>
    <cellStyle name="20% - Accent4 7 5 2 2" xfId="8366"/>
    <cellStyle name="20% - Accent4 7 5 2 2 2" xfId="16337"/>
    <cellStyle name="20% - Accent4 7 5 2 2 3" xfId="24283"/>
    <cellStyle name="20% - Accent4 7 5 2 3" xfId="12799"/>
    <cellStyle name="20% - Accent4 7 5 2 4" xfId="20754"/>
    <cellStyle name="20% - Accent4 7 5 3" xfId="6607"/>
    <cellStyle name="20% - Accent4 7 5 3 2" xfId="14579"/>
    <cellStyle name="20% - Accent4 7 5 3 3" xfId="22526"/>
    <cellStyle name="20% - Accent4 7 5 4" xfId="11043"/>
    <cellStyle name="20% - Accent4 7 5 5" xfId="18998"/>
    <cellStyle name="20% - Accent4 7 5_Exh G" xfId="2416"/>
    <cellStyle name="20% - Accent4 7 6" xfId="3896"/>
    <cellStyle name="20% - Accent4 7 6 2" xfId="7488"/>
    <cellStyle name="20% - Accent4 7 6 2 2" xfId="15459"/>
    <cellStyle name="20% - Accent4 7 6 2 3" xfId="23405"/>
    <cellStyle name="20% - Accent4 7 6 3" xfId="11921"/>
    <cellStyle name="20% - Accent4 7 6 4" xfId="19876"/>
    <cellStyle name="20% - Accent4 7 7" xfId="5716"/>
    <cellStyle name="20% - Accent4 7 7 2" xfId="13700"/>
    <cellStyle name="20% - Accent4 7 7 3" xfId="21648"/>
    <cellStyle name="20% - Accent4 7 8" xfId="9269"/>
    <cellStyle name="20% - Accent4 7 8 2" xfId="17227"/>
    <cellStyle name="20% - Accent4 7 8 3" xfId="25171"/>
    <cellStyle name="20% - Accent4 7 9" xfId="10165"/>
    <cellStyle name="20% - Accent4 7_Exh G" xfId="2407"/>
    <cellStyle name="20% - Accent4 8" xfId="221"/>
    <cellStyle name="20% - Accent4 8 10" xfId="18124"/>
    <cellStyle name="20% - Accent4 8 2" xfId="222"/>
    <cellStyle name="20% - Accent4 8 2 2" xfId="223"/>
    <cellStyle name="20% - Accent4 8 2 2 2" xfId="1251"/>
    <cellStyle name="20% - Accent4 8 2 2 2 2" xfId="4781"/>
    <cellStyle name="20% - Accent4 8 2 2 2 2 2" xfId="8372"/>
    <cellStyle name="20% - Accent4 8 2 2 2 2 2 2" xfId="16343"/>
    <cellStyle name="20% - Accent4 8 2 2 2 2 2 3" xfId="24289"/>
    <cellStyle name="20% - Accent4 8 2 2 2 2 3" xfId="12805"/>
    <cellStyle name="20% - Accent4 8 2 2 2 2 4" xfId="20760"/>
    <cellStyle name="20% - Accent4 8 2 2 2 3" xfId="6613"/>
    <cellStyle name="20% - Accent4 8 2 2 2 3 2" xfId="14585"/>
    <cellStyle name="20% - Accent4 8 2 2 2 3 3" xfId="22532"/>
    <cellStyle name="20% - Accent4 8 2 2 2 4" xfId="11049"/>
    <cellStyle name="20% - Accent4 8 2 2 2 5" xfId="19004"/>
    <cellStyle name="20% - Accent4 8 2 2 2_Exh G" xfId="2420"/>
    <cellStyle name="20% - Accent4 8 2 2 3" xfId="3902"/>
    <cellStyle name="20% - Accent4 8 2 2 3 2" xfId="7494"/>
    <cellStyle name="20% - Accent4 8 2 2 3 2 2" xfId="15465"/>
    <cellStyle name="20% - Accent4 8 2 2 3 2 3" xfId="23411"/>
    <cellStyle name="20% - Accent4 8 2 2 3 3" xfId="11927"/>
    <cellStyle name="20% - Accent4 8 2 2 3 4" xfId="19882"/>
    <cellStyle name="20% - Accent4 8 2 2 4" xfId="5722"/>
    <cellStyle name="20% - Accent4 8 2 2 4 2" xfId="13706"/>
    <cellStyle name="20% - Accent4 8 2 2 4 3" xfId="21654"/>
    <cellStyle name="20% - Accent4 8 2 2 5" xfId="9275"/>
    <cellStyle name="20% - Accent4 8 2 2 5 2" xfId="17233"/>
    <cellStyle name="20% - Accent4 8 2 2 5 3" xfId="25177"/>
    <cellStyle name="20% - Accent4 8 2 2 6" xfId="10171"/>
    <cellStyle name="20% - Accent4 8 2 2 7" xfId="18126"/>
    <cellStyle name="20% - Accent4 8 2 2_Exh G" xfId="2419"/>
    <cellStyle name="20% - Accent4 8 2 3" xfId="1250"/>
    <cellStyle name="20% - Accent4 8 2 3 2" xfId="4780"/>
    <cellStyle name="20% - Accent4 8 2 3 2 2" xfId="8371"/>
    <cellStyle name="20% - Accent4 8 2 3 2 2 2" xfId="16342"/>
    <cellStyle name="20% - Accent4 8 2 3 2 2 3" xfId="24288"/>
    <cellStyle name="20% - Accent4 8 2 3 2 3" xfId="12804"/>
    <cellStyle name="20% - Accent4 8 2 3 2 4" xfId="20759"/>
    <cellStyle name="20% - Accent4 8 2 3 3" xfId="6612"/>
    <cellStyle name="20% - Accent4 8 2 3 3 2" xfId="14584"/>
    <cellStyle name="20% - Accent4 8 2 3 3 3" xfId="22531"/>
    <cellStyle name="20% - Accent4 8 2 3 4" xfId="11048"/>
    <cellStyle name="20% - Accent4 8 2 3 5" xfId="19003"/>
    <cellStyle name="20% - Accent4 8 2 3_Exh G" xfId="2421"/>
    <cellStyle name="20% - Accent4 8 2 4" xfId="3901"/>
    <cellStyle name="20% - Accent4 8 2 4 2" xfId="7493"/>
    <cellStyle name="20% - Accent4 8 2 4 2 2" xfId="15464"/>
    <cellStyle name="20% - Accent4 8 2 4 2 3" xfId="23410"/>
    <cellStyle name="20% - Accent4 8 2 4 3" xfId="11926"/>
    <cellStyle name="20% - Accent4 8 2 4 4" xfId="19881"/>
    <cellStyle name="20% - Accent4 8 2 5" xfId="5721"/>
    <cellStyle name="20% - Accent4 8 2 5 2" xfId="13705"/>
    <cellStyle name="20% - Accent4 8 2 5 3" xfId="21653"/>
    <cellStyle name="20% - Accent4 8 2 6" xfId="9274"/>
    <cellStyle name="20% - Accent4 8 2 6 2" xfId="17232"/>
    <cellStyle name="20% - Accent4 8 2 6 3" xfId="25176"/>
    <cellStyle name="20% - Accent4 8 2 7" xfId="10170"/>
    <cellStyle name="20% - Accent4 8 2 8" xfId="18125"/>
    <cellStyle name="20% - Accent4 8 2_Exh G" xfId="2418"/>
    <cellStyle name="20% - Accent4 8 3" xfId="224"/>
    <cellStyle name="20% - Accent4 8 3 2" xfId="1252"/>
    <cellStyle name="20% - Accent4 8 3 2 2" xfId="4782"/>
    <cellStyle name="20% - Accent4 8 3 2 2 2" xfId="8373"/>
    <cellStyle name="20% - Accent4 8 3 2 2 2 2" xfId="16344"/>
    <cellStyle name="20% - Accent4 8 3 2 2 2 3" xfId="24290"/>
    <cellStyle name="20% - Accent4 8 3 2 2 3" xfId="12806"/>
    <cellStyle name="20% - Accent4 8 3 2 2 4" xfId="20761"/>
    <cellStyle name="20% - Accent4 8 3 2 3" xfId="6614"/>
    <cellStyle name="20% - Accent4 8 3 2 3 2" xfId="14586"/>
    <cellStyle name="20% - Accent4 8 3 2 3 3" xfId="22533"/>
    <cellStyle name="20% - Accent4 8 3 2 4" xfId="11050"/>
    <cellStyle name="20% - Accent4 8 3 2 5" xfId="19005"/>
    <cellStyle name="20% - Accent4 8 3 2_Exh G" xfId="2423"/>
    <cellStyle name="20% - Accent4 8 3 3" xfId="3903"/>
    <cellStyle name="20% - Accent4 8 3 3 2" xfId="7495"/>
    <cellStyle name="20% - Accent4 8 3 3 2 2" xfId="15466"/>
    <cellStyle name="20% - Accent4 8 3 3 2 3" xfId="23412"/>
    <cellStyle name="20% - Accent4 8 3 3 3" xfId="11928"/>
    <cellStyle name="20% - Accent4 8 3 3 4" xfId="19883"/>
    <cellStyle name="20% - Accent4 8 3 4" xfId="5723"/>
    <cellStyle name="20% - Accent4 8 3 4 2" xfId="13707"/>
    <cellStyle name="20% - Accent4 8 3 4 3" xfId="21655"/>
    <cellStyle name="20% - Accent4 8 3 5" xfId="9276"/>
    <cellStyle name="20% - Accent4 8 3 5 2" xfId="17234"/>
    <cellStyle name="20% - Accent4 8 3 5 3" xfId="25178"/>
    <cellStyle name="20% - Accent4 8 3 6" xfId="10172"/>
    <cellStyle name="20% - Accent4 8 3 7" xfId="18127"/>
    <cellStyle name="20% - Accent4 8 3_Exh G" xfId="2422"/>
    <cellStyle name="20% - Accent4 8 4" xfId="908"/>
    <cellStyle name="20% - Accent4 8 4 2" xfId="1837"/>
    <cellStyle name="20% - Accent4 8 4 2 2" xfId="5355"/>
    <cellStyle name="20% - Accent4 8 4 2 2 2" xfId="8946"/>
    <cellStyle name="20% - Accent4 8 4 2 2 2 2" xfId="16917"/>
    <cellStyle name="20% - Accent4 8 4 2 2 2 3" xfId="24863"/>
    <cellStyle name="20% - Accent4 8 4 2 2 3" xfId="13379"/>
    <cellStyle name="20% - Accent4 8 4 2 2 4" xfId="21334"/>
    <cellStyle name="20% - Accent4 8 4 2 3" xfId="7187"/>
    <cellStyle name="20% - Accent4 8 4 2 3 2" xfId="15159"/>
    <cellStyle name="20% - Accent4 8 4 2 3 3" xfId="23106"/>
    <cellStyle name="20% - Accent4 8 4 2 4" xfId="11623"/>
    <cellStyle name="20% - Accent4 8 4 2 5" xfId="19578"/>
    <cellStyle name="20% - Accent4 8 4 2_Exh G" xfId="2425"/>
    <cellStyle name="20% - Accent4 8 4 3" xfId="4476"/>
    <cellStyle name="20% - Accent4 8 4 3 2" xfId="8068"/>
    <cellStyle name="20% - Accent4 8 4 3 2 2" xfId="16039"/>
    <cellStyle name="20% - Accent4 8 4 3 2 3" xfId="23985"/>
    <cellStyle name="20% - Accent4 8 4 3 3" xfId="12501"/>
    <cellStyle name="20% - Accent4 8 4 3 4" xfId="20456"/>
    <cellStyle name="20% - Accent4 8 4 4" xfId="6306"/>
    <cellStyle name="20% - Accent4 8 4 4 2" xfId="14281"/>
    <cellStyle name="20% - Accent4 8 4 4 3" xfId="22228"/>
    <cellStyle name="20% - Accent4 8 4 5" xfId="9849"/>
    <cellStyle name="20% - Accent4 8 4 5 2" xfId="17807"/>
    <cellStyle name="20% - Accent4 8 4 5 3" xfId="25751"/>
    <cellStyle name="20% - Accent4 8 4 6" xfId="10745"/>
    <cellStyle name="20% - Accent4 8 4 7" xfId="18700"/>
    <cellStyle name="20% - Accent4 8 4_Exh G" xfId="2424"/>
    <cellStyle name="20% - Accent4 8 5" xfId="1249"/>
    <cellStyle name="20% - Accent4 8 5 2" xfId="4779"/>
    <cellStyle name="20% - Accent4 8 5 2 2" xfId="8370"/>
    <cellStyle name="20% - Accent4 8 5 2 2 2" xfId="16341"/>
    <cellStyle name="20% - Accent4 8 5 2 2 3" xfId="24287"/>
    <cellStyle name="20% - Accent4 8 5 2 3" xfId="12803"/>
    <cellStyle name="20% - Accent4 8 5 2 4" xfId="20758"/>
    <cellStyle name="20% - Accent4 8 5 3" xfId="6611"/>
    <cellStyle name="20% - Accent4 8 5 3 2" xfId="14583"/>
    <cellStyle name="20% - Accent4 8 5 3 3" xfId="22530"/>
    <cellStyle name="20% - Accent4 8 5 4" xfId="11047"/>
    <cellStyle name="20% - Accent4 8 5 5" xfId="19002"/>
    <cellStyle name="20% - Accent4 8 5_Exh G" xfId="2426"/>
    <cellStyle name="20% - Accent4 8 6" xfId="3900"/>
    <cellStyle name="20% - Accent4 8 6 2" xfId="7492"/>
    <cellStyle name="20% - Accent4 8 6 2 2" xfId="15463"/>
    <cellStyle name="20% - Accent4 8 6 2 3" xfId="23409"/>
    <cellStyle name="20% - Accent4 8 6 3" xfId="11925"/>
    <cellStyle name="20% - Accent4 8 6 4" xfId="19880"/>
    <cellStyle name="20% - Accent4 8 7" xfId="5720"/>
    <cellStyle name="20% - Accent4 8 7 2" xfId="13704"/>
    <cellStyle name="20% - Accent4 8 7 3" xfId="21652"/>
    <cellStyle name="20% - Accent4 8 8" xfId="9273"/>
    <cellStyle name="20% - Accent4 8 8 2" xfId="17231"/>
    <cellStyle name="20% - Accent4 8 8 3" xfId="25175"/>
    <cellStyle name="20% - Accent4 8 9" xfId="10169"/>
    <cellStyle name="20% - Accent4 8_Exh G" xfId="2417"/>
    <cellStyle name="20% - Accent4 9" xfId="225"/>
    <cellStyle name="20% - Accent4 9 10" xfId="18128"/>
    <cellStyle name="20% - Accent4 9 2" xfId="226"/>
    <cellStyle name="20% - Accent4 9 2 2" xfId="227"/>
    <cellStyle name="20% - Accent4 9 2 2 2" xfId="1255"/>
    <cellStyle name="20% - Accent4 9 2 2 2 2" xfId="4785"/>
    <cellStyle name="20% - Accent4 9 2 2 2 2 2" xfId="8376"/>
    <cellStyle name="20% - Accent4 9 2 2 2 2 2 2" xfId="16347"/>
    <cellStyle name="20% - Accent4 9 2 2 2 2 2 3" xfId="24293"/>
    <cellStyle name="20% - Accent4 9 2 2 2 2 3" xfId="12809"/>
    <cellStyle name="20% - Accent4 9 2 2 2 2 4" xfId="20764"/>
    <cellStyle name="20% - Accent4 9 2 2 2 3" xfId="6617"/>
    <cellStyle name="20% - Accent4 9 2 2 2 3 2" xfId="14589"/>
    <cellStyle name="20% - Accent4 9 2 2 2 3 3" xfId="22536"/>
    <cellStyle name="20% - Accent4 9 2 2 2 4" xfId="11053"/>
    <cellStyle name="20% - Accent4 9 2 2 2 5" xfId="19008"/>
    <cellStyle name="20% - Accent4 9 2 2 2_Exh G" xfId="2430"/>
    <cellStyle name="20% - Accent4 9 2 2 3" xfId="3906"/>
    <cellStyle name="20% - Accent4 9 2 2 3 2" xfId="7498"/>
    <cellStyle name="20% - Accent4 9 2 2 3 2 2" xfId="15469"/>
    <cellStyle name="20% - Accent4 9 2 2 3 2 3" xfId="23415"/>
    <cellStyle name="20% - Accent4 9 2 2 3 3" xfId="11931"/>
    <cellStyle name="20% - Accent4 9 2 2 3 4" xfId="19886"/>
    <cellStyle name="20% - Accent4 9 2 2 4" xfId="5726"/>
    <cellStyle name="20% - Accent4 9 2 2 4 2" xfId="13710"/>
    <cellStyle name="20% - Accent4 9 2 2 4 3" xfId="21658"/>
    <cellStyle name="20% - Accent4 9 2 2 5" xfId="9279"/>
    <cellStyle name="20% - Accent4 9 2 2 5 2" xfId="17237"/>
    <cellStyle name="20% - Accent4 9 2 2 5 3" xfId="25181"/>
    <cellStyle name="20% - Accent4 9 2 2 6" xfId="10175"/>
    <cellStyle name="20% - Accent4 9 2 2 7" xfId="18130"/>
    <cellStyle name="20% - Accent4 9 2 2_Exh G" xfId="2429"/>
    <cellStyle name="20% - Accent4 9 2 3" xfId="1254"/>
    <cellStyle name="20% - Accent4 9 2 3 2" xfId="4784"/>
    <cellStyle name="20% - Accent4 9 2 3 2 2" xfId="8375"/>
    <cellStyle name="20% - Accent4 9 2 3 2 2 2" xfId="16346"/>
    <cellStyle name="20% - Accent4 9 2 3 2 2 3" xfId="24292"/>
    <cellStyle name="20% - Accent4 9 2 3 2 3" xfId="12808"/>
    <cellStyle name="20% - Accent4 9 2 3 2 4" xfId="20763"/>
    <cellStyle name="20% - Accent4 9 2 3 3" xfId="6616"/>
    <cellStyle name="20% - Accent4 9 2 3 3 2" xfId="14588"/>
    <cellStyle name="20% - Accent4 9 2 3 3 3" xfId="22535"/>
    <cellStyle name="20% - Accent4 9 2 3 4" xfId="11052"/>
    <cellStyle name="20% - Accent4 9 2 3 5" xfId="19007"/>
    <cellStyle name="20% - Accent4 9 2 3_Exh G" xfId="2431"/>
    <cellStyle name="20% - Accent4 9 2 4" xfId="3905"/>
    <cellStyle name="20% - Accent4 9 2 4 2" xfId="7497"/>
    <cellStyle name="20% - Accent4 9 2 4 2 2" xfId="15468"/>
    <cellStyle name="20% - Accent4 9 2 4 2 3" xfId="23414"/>
    <cellStyle name="20% - Accent4 9 2 4 3" xfId="11930"/>
    <cellStyle name="20% - Accent4 9 2 4 4" xfId="19885"/>
    <cellStyle name="20% - Accent4 9 2 5" xfId="5725"/>
    <cellStyle name="20% - Accent4 9 2 5 2" xfId="13709"/>
    <cellStyle name="20% - Accent4 9 2 5 3" xfId="21657"/>
    <cellStyle name="20% - Accent4 9 2 6" xfId="9278"/>
    <cellStyle name="20% - Accent4 9 2 6 2" xfId="17236"/>
    <cellStyle name="20% - Accent4 9 2 6 3" xfId="25180"/>
    <cellStyle name="20% - Accent4 9 2 7" xfId="10174"/>
    <cellStyle name="20% - Accent4 9 2 8" xfId="18129"/>
    <cellStyle name="20% - Accent4 9 2_Exh G" xfId="2428"/>
    <cellStyle name="20% - Accent4 9 3" xfId="228"/>
    <cellStyle name="20% - Accent4 9 3 2" xfId="1256"/>
    <cellStyle name="20% - Accent4 9 3 2 2" xfId="4786"/>
    <cellStyle name="20% - Accent4 9 3 2 2 2" xfId="8377"/>
    <cellStyle name="20% - Accent4 9 3 2 2 2 2" xfId="16348"/>
    <cellStyle name="20% - Accent4 9 3 2 2 2 3" xfId="24294"/>
    <cellStyle name="20% - Accent4 9 3 2 2 3" xfId="12810"/>
    <cellStyle name="20% - Accent4 9 3 2 2 4" xfId="20765"/>
    <cellStyle name="20% - Accent4 9 3 2 3" xfId="6618"/>
    <cellStyle name="20% - Accent4 9 3 2 3 2" xfId="14590"/>
    <cellStyle name="20% - Accent4 9 3 2 3 3" xfId="22537"/>
    <cellStyle name="20% - Accent4 9 3 2 4" xfId="11054"/>
    <cellStyle name="20% - Accent4 9 3 2 5" xfId="19009"/>
    <cellStyle name="20% - Accent4 9 3 2_Exh G" xfId="2433"/>
    <cellStyle name="20% - Accent4 9 3 3" xfId="3907"/>
    <cellStyle name="20% - Accent4 9 3 3 2" xfId="7499"/>
    <cellStyle name="20% - Accent4 9 3 3 2 2" xfId="15470"/>
    <cellStyle name="20% - Accent4 9 3 3 2 3" xfId="23416"/>
    <cellStyle name="20% - Accent4 9 3 3 3" xfId="11932"/>
    <cellStyle name="20% - Accent4 9 3 3 4" xfId="19887"/>
    <cellStyle name="20% - Accent4 9 3 4" xfId="5727"/>
    <cellStyle name="20% - Accent4 9 3 4 2" xfId="13711"/>
    <cellStyle name="20% - Accent4 9 3 4 3" xfId="21659"/>
    <cellStyle name="20% - Accent4 9 3 5" xfId="9280"/>
    <cellStyle name="20% - Accent4 9 3 5 2" xfId="17238"/>
    <cellStyle name="20% - Accent4 9 3 5 3" xfId="25182"/>
    <cellStyle name="20% - Accent4 9 3 6" xfId="10176"/>
    <cellStyle name="20% - Accent4 9 3 7" xfId="18131"/>
    <cellStyle name="20% - Accent4 9 3_Exh G" xfId="2432"/>
    <cellStyle name="20% - Accent4 9 4" xfId="909"/>
    <cellStyle name="20% - Accent4 9 4 2" xfId="1838"/>
    <cellStyle name="20% - Accent4 9 4 2 2" xfId="5356"/>
    <cellStyle name="20% - Accent4 9 4 2 2 2" xfId="8947"/>
    <cellStyle name="20% - Accent4 9 4 2 2 2 2" xfId="16918"/>
    <cellStyle name="20% - Accent4 9 4 2 2 2 3" xfId="24864"/>
    <cellStyle name="20% - Accent4 9 4 2 2 3" xfId="13380"/>
    <cellStyle name="20% - Accent4 9 4 2 2 4" xfId="21335"/>
    <cellStyle name="20% - Accent4 9 4 2 3" xfId="7188"/>
    <cellStyle name="20% - Accent4 9 4 2 3 2" xfId="15160"/>
    <cellStyle name="20% - Accent4 9 4 2 3 3" xfId="23107"/>
    <cellStyle name="20% - Accent4 9 4 2 4" xfId="11624"/>
    <cellStyle name="20% - Accent4 9 4 2 5" xfId="19579"/>
    <cellStyle name="20% - Accent4 9 4 2_Exh G" xfId="2435"/>
    <cellStyle name="20% - Accent4 9 4 3" xfId="4477"/>
    <cellStyle name="20% - Accent4 9 4 3 2" xfId="8069"/>
    <cellStyle name="20% - Accent4 9 4 3 2 2" xfId="16040"/>
    <cellStyle name="20% - Accent4 9 4 3 2 3" xfId="23986"/>
    <cellStyle name="20% - Accent4 9 4 3 3" xfId="12502"/>
    <cellStyle name="20% - Accent4 9 4 3 4" xfId="20457"/>
    <cellStyle name="20% - Accent4 9 4 4" xfId="6307"/>
    <cellStyle name="20% - Accent4 9 4 4 2" xfId="14282"/>
    <cellStyle name="20% - Accent4 9 4 4 3" xfId="22229"/>
    <cellStyle name="20% - Accent4 9 4 5" xfId="9850"/>
    <cellStyle name="20% - Accent4 9 4 5 2" xfId="17808"/>
    <cellStyle name="20% - Accent4 9 4 5 3" xfId="25752"/>
    <cellStyle name="20% - Accent4 9 4 6" xfId="10746"/>
    <cellStyle name="20% - Accent4 9 4 7" xfId="18701"/>
    <cellStyle name="20% - Accent4 9 4_Exh G" xfId="2434"/>
    <cellStyle name="20% - Accent4 9 5" xfId="1253"/>
    <cellStyle name="20% - Accent4 9 5 2" xfId="4783"/>
    <cellStyle name="20% - Accent4 9 5 2 2" xfId="8374"/>
    <cellStyle name="20% - Accent4 9 5 2 2 2" xfId="16345"/>
    <cellStyle name="20% - Accent4 9 5 2 2 3" xfId="24291"/>
    <cellStyle name="20% - Accent4 9 5 2 3" xfId="12807"/>
    <cellStyle name="20% - Accent4 9 5 2 4" xfId="20762"/>
    <cellStyle name="20% - Accent4 9 5 3" xfId="6615"/>
    <cellStyle name="20% - Accent4 9 5 3 2" xfId="14587"/>
    <cellStyle name="20% - Accent4 9 5 3 3" xfId="22534"/>
    <cellStyle name="20% - Accent4 9 5 4" xfId="11051"/>
    <cellStyle name="20% - Accent4 9 5 5" xfId="19006"/>
    <cellStyle name="20% - Accent4 9 5_Exh G" xfId="2436"/>
    <cellStyle name="20% - Accent4 9 6" xfId="3904"/>
    <cellStyle name="20% - Accent4 9 6 2" xfId="7496"/>
    <cellStyle name="20% - Accent4 9 6 2 2" xfId="15467"/>
    <cellStyle name="20% - Accent4 9 6 2 3" xfId="23413"/>
    <cellStyle name="20% - Accent4 9 6 3" xfId="11929"/>
    <cellStyle name="20% - Accent4 9 6 4" xfId="19884"/>
    <cellStyle name="20% - Accent4 9 7" xfId="5724"/>
    <cellStyle name="20% - Accent4 9 7 2" xfId="13708"/>
    <cellStyle name="20% - Accent4 9 7 3" xfId="21656"/>
    <cellStyle name="20% - Accent4 9 8" xfId="9277"/>
    <cellStyle name="20% - Accent4 9 8 2" xfId="17235"/>
    <cellStyle name="20% - Accent4 9 8 3" xfId="25179"/>
    <cellStyle name="20% - Accent4 9 9" xfId="10173"/>
    <cellStyle name="20% - Accent4 9_Exh G" xfId="2427"/>
    <cellStyle name="20% - Accent5 10" xfId="229"/>
    <cellStyle name="20% - Accent5 10 10" xfId="18132"/>
    <cellStyle name="20% - Accent5 10 2" xfId="230"/>
    <cellStyle name="20% - Accent5 10 2 2" xfId="231"/>
    <cellStyle name="20% - Accent5 10 2 2 2" xfId="1259"/>
    <cellStyle name="20% - Accent5 10 2 2 2 2" xfId="4789"/>
    <cellStyle name="20% - Accent5 10 2 2 2 2 2" xfId="8380"/>
    <cellStyle name="20% - Accent5 10 2 2 2 2 2 2" xfId="16351"/>
    <cellStyle name="20% - Accent5 10 2 2 2 2 2 3" xfId="24297"/>
    <cellStyle name="20% - Accent5 10 2 2 2 2 3" xfId="12813"/>
    <cellStyle name="20% - Accent5 10 2 2 2 2 4" xfId="20768"/>
    <cellStyle name="20% - Accent5 10 2 2 2 3" xfId="6621"/>
    <cellStyle name="20% - Accent5 10 2 2 2 3 2" xfId="14593"/>
    <cellStyle name="20% - Accent5 10 2 2 2 3 3" xfId="22540"/>
    <cellStyle name="20% - Accent5 10 2 2 2 4" xfId="11057"/>
    <cellStyle name="20% - Accent5 10 2 2 2 5" xfId="19012"/>
    <cellStyle name="20% - Accent5 10 2 2 2_Exh G" xfId="2440"/>
    <cellStyle name="20% - Accent5 10 2 2 3" xfId="3910"/>
    <cellStyle name="20% - Accent5 10 2 2 3 2" xfId="7502"/>
    <cellStyle name="20% - Accent5 10 2 2 3 2 2" xfId="15473"/>
    <cellStyle name="20% - Accent5 10 2 2 3 2 3" xfId="23419"/>
    <cellStyle name="20% - Accent5 10 2 2 3 3" xfId="11935"/>
    <cellStyle name="20% - Accent5 10 2 2 3 4" xfId="19890"/>
    <cellStyle name="20% - Accent5 10 2 2 4" xfId="5730"/>
    <cellStyle name="20% - Accent5 10 2 2 4 2" xfId="13714"/>
    <cellStyle name="20% - Accent5 10 2 2 4 3" xfId="21662"/>
    <cellStyle name="20% - Accent5 10 2 2 5" xfId="9283"/>
    <cellStyle name="20% - Accent5 10 2 2 5 2" xfId="17241"/>
    <cellStyle name="20% - Accent5 10 2 2 5 3" xfId="25185"/>
    <cellStyle name="20% - Accent5 10 2 2 6" xfId="10179"/>
    <cellStyle name="20% - Accent5 10 2 2 7" xfId="18134"/>
    <cellStyle name="20% - Accent5 10 2 2_Exh G" xfId="2439"/>
    <cellStyle name="20% - Accent5 10 2 3" xfId="1258"/>
    <cellStyle name="20% - Accent5 10 2 3 2" xfId="4788"/>
    <cellStyle name="20% - Accent5 10 2 3 2 2" xfId="8379"/>
    <cellStyle name="20% - Accent5 10 2 3 2 2 2" xfId="16350"/>
    <cellStyle name="20% - Accent5 10 2 3 2 2 3" xfId="24296"/>
    <cellStyle name="20% - Accent5 10 2 3 2 3" xfId="12812"/>
    <cellStyle name="20% - Accent5 10 2 3 2 4" xfId="20767"/>
    <cellStyle name="20% - Accent5 10 2 3 3" xfId="6620"/>
    <cellStyle name="20% - Accent5 10 2 3 3 2" xfId="14592"/>
    <cellStyle name="20% - Accent5 10 2 3 3 3" xfId="22539"/>
    <cellStyle name="20% - Accent5 10 2 3 4" xfId="11056"/>
    <cellStyle name="20% - Accent5 10 2 3 5" xfId="19011"/>
    <cellStyle name="20% - Accent5 10 2 3_Exh G" xfId="2441"/>
    <cellStyle name="20% - Accent5 10 2 4" xfId="3909"/>
    <cellStyle name="20% - Accent5 10 2 4 2" xfId="7501"/>
    <cellStyle name="20% - Accent5 10 2 4 2 2" xfId="15472"/>
    <cellStyle name="20% - Accent5 10 2 4 2 3" xfId="23418"/>
    <cellStyle name="20% - Accent5 10 2 4 3" xfId="11934"/>
    <cellStyle name="20% - Accent5 10 2 4 4" xfId="19889"/>
    <cellStyle name="20% - Accent5 10 2 5" xfId="5729"/>
    <cellStyle name="20% - Accent5 10 2 5 2" xfId="13713"/>
    <cellStyle name="20% - Accent5 10 2 5 3" xfId="21661"/>
    <cellStyle name="20% - Accent5 10 2 6" xfId="9282"/>
    <cellStyle name="20% - Accent5 10 2 6 2" xfId="17240"/>
    <cellStyle name="20% - Accent5 10 2 6 3" xfId="25184"/>
    <cellStyle name="20% - Accent5 10 2 7" xfId="10178"/>
    <cellStyle name="20% - Accent5 10 2 8" xfId="18133"/>
    <cellStyle name="20% - Accent5 10 2_Exh G" xfId="2438"/>
    <cellStyle name="20% - Accent5 10 3" xfId="232"/>
    <cellStyle name="20% - Accent5 10 3 2" xfId="1260"/>
    <cellStyle name="20% - Accent5 10 3 2 2" xfId="4790"/>
    <cellStyle name="20% - Accent5 10 3 2 2 2" xfId="8381"/>
    <cellStyle name="20% - Accent5 10 3 2 2 2 2" xfId="16352"/>
    <cellStyle name="20% - Accent5 10 3 2 2 2 3" xfId="24298"/>
    <cellStyle name="20% - Accent5 10 3 2 2 3" xfId="12814"/>
    <cellStyle name="20% - Accent5 10 3 2 2 4" xfId="20769"/>
    <cellStyle name="20% - Accent5 10 3 2 3" xfId="6622"/>
    <cellStyle name="20% - Accent5 10 3 2 3 2" xfId="14594"/>
    <cellStyle name="20% - Accent5 10 3 2 3 3" xfId="22541"/>
    <cellStyle name="20% - Accent5 10 3 2 4" xfId="11058"/>
    <cellStyle name="20% - Accent5 10 3 2 5" xfId="19013"/>
    <cellStyle name="20% - Accent5 10 3 2_Exh G" xfId="2443"/>
    <cellStyle name="20% - Accent5 10 3 3" xfId="3911"/>
    <cellStyle name="20% - Accent5 10 3 3 2" xfId="7503"/>
    <cellStyle name="20% - Accent5 10 3 3 2 2" xfId="15474"/>
    <cellStyle name="20% - Accent5 10 3 3 2 3" xfId="23420"/>
    <cellStyle name="20% - Accent5 10 3 3 3" xfId="11936"/>
    <cellStyle name="20% - Accent5 10 3 3 4" xfId="19891"/>
    <cellStyle name="20% - Accent5 10 3 4" xfId="5731"/>
    <cellStyle name="20% - Accent5 10 3 4 2" xfId="13715"/>
    <cellStyle name="20% - Accent5 10 3 4 3" xfId="21663"/>
    <cellStyle name="20% - Accent5 10 3 5" xfId="9284"/>
    <cellStyle name="20% - Accent5 10 3 5 2" xfId="17242"/>
    <cellStyle name="20% - Accent5 10 3 5 3" xfId="25186"/>
    <cellStyle name="20% - Accent5 10 3 6" xfId="10180"/>
    <cellStyle name="20% - Accent5 10 3 7" xfId="18135"/>
    <cellStyle name="20% - Accent5 10 3_Exh G" xfId="2442"/>
    <cellStyle name="20% - Accent5 10 4" xfId="910"/>
    <cellStyle name="20% - Accent5 10 5" xfId="1257"/>
    <cellStyle name="20% - Accent5 10 5 2" xfId="4787"/>
    <cellStyle name="20% - Accent5 10 5 2 2" xfId="8378"/>
    <cellStyle name="20% - Accent5 10 5 2 2 2" xfId="16349"/>
    <cellStyle name="20% - Accent5 10 5 2 2 3" xfId="24295"/>
    <cellStyle name="20% - Accent5 10 5 2 3" xfId="12811"/>
    <cellStyle name="20% - Accent5 10 5 2 4" xfId="20766"/>
    <cellStyle name="20% - Accent5 10 5 3" xfId="6619"/>
    <cellStyle name="20% - Accent5 10 5 3 2" xfId="14591"/>
    <cellStyle name="20% - Accent5 10 5 3 3" xfId="22538"/>
    <cellStyle name="20% - Accent5 10 5 4" xfId="11055"/>
    <cellStyle name="20% - Accent5 10 5 5" xfId="19010"/>
    <cellStyle name="20% - Accent5 10 5_Exh G" xfId="2444"/>
    <cellStyle name="20% - Accent5 10 6" xfId="3908"/>
    <cellStyle name="20% - Accent5 10 6 2" xfId="7500"/>
    <cellStyle name="20% - Accent5 10 6 2 2" xfId="15471"/>
    <cellStyle name="20% - Accent5 10 6 2 3" xfId="23417"/>
    <cellStyle name="20% - Accent5 10 6 3" xfId="11933"/>
    <cellStyle name="20% - Accent5 10 6 4" xfId="19888"/>
    <cellStyle name="20% - Accent5 10 7" xfId="5728"/>
    <cellStyle name="20% - Accent5 10 7 2" xfId="13712"/>
    <cellStyle name="20% - Accent5 10 7 3" xfId="21660"/>
    <cellStyle name="20% - Accent5 10 8" xfId="9281"/>
    <cellStyle name="20% - Accent5 10 8 2" xfId="17239"/>
    <cellStyle name="20% - Accent5 10 8 3" xfId="25183"/>
    <cellStyle name="20% - Accent5 10 9" xfId="10177"/>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 2 2" xfId="8384"/>
    <cellStyle name="20% - Accent5 11 2 2 2 2 2 2" xfId="16355"/>
    <cellStyle name="20% - Accent5 11 2 2 2 2 2 3" xfId="24301"/>
    <cellStyle name="20% - Accent5 11 2 2 2 2 3" xfId="12817"/>
    <cellStyle name="20% - Accent5 11 2 2 2 2 4" xfId="20772"/>
    <cellStyle name="20% - Accent5 11 2 2 2 3" xfId="6625"/>
    <cellStyle name="20% - Accent5 11 2 2 2 3 2" xfId="14597"/>
    <cellStyle name="20% - Accent5 11 2 2 2 3 3" xfId="22544"/>
    <cellStyle name="20% - Accent5 11 2 2 2 4" xfId="11061"/>
    <cellStyle name="20% - Accent5 11 2 2 2 5" xfId="19016"/>
    <cellStyle name="20% - Accent5 11 2 2 2_Exh G" xfId="2448"/>
    <cellStyle name="20% - Accent5 11 2 2 3" xfId="3914"/>
    <cellStyle name="20% - Accent5 11 2 2 3 2" xfId="7506"/>
    <cellStyle name="20% - Accent5 11 2 2 3 2 2" xfId="15477"/>
    <cellStyle name="20% - Accent5 11 2 2 3 2 3" xfId="23423"/>
    <cellStyle name="20% - Accent5 11 2 2 3 3" xfId="11939"/>
    <cellStyle name="20% - Accent5 11 2 2 3 4" xfId="19894"/>
    <cellStyle name="20% - Accent5 11 2 2 4" xfId="5734"/>
    <cellStyle name="20% - Accent5 11 2 2 4 2" xfId="13718"/>
    <cellStyle name="20% - Accent5 11 2 2 4 3" xfId="21666"/>
    <cellStyle name="20% - Accent5 11 2 2 5" xfId="9287"/>
    <cellStyle name="20% - Accent5 11 2 2 5 2" xfId="17245"/>
    <cellStyle name="20% - Accent5 11 2 2 5 3" xfId="25189"/>
    <cellStyle name="20% - Accent5 11 2 2 6" xfId="10183"/>
    <cellStyle name="20% - Accent5 11 2 2 7" xfId="18138"/>
    <cellStyle name="20% - Accent5 11 2 2_Exh G" xfId="2447"/>
    <cellStyle name="20% - Accent5 11 2 3" xfId="1262"/>
    <cellStyle name="20% - Accent5 11 2 3 2" xfId="4792"/>
    <cellStyle name="20% - Accent5 11 2 3 2 2" xfId="8383"/>
    <cellStyle name="20% - Accent5 11 2 3 2 2 2" xfId="16354"/>
    <cellStyle name="20% - Accent5 11 2 3 2 2 3" xfId="24300"/>
    <cellStyle name="20% - Accent5 11 2 3 2 3" xfId="12816"/>
    <cellStyle name="20% - Accent5 11 2 3 2 4" xfId="20771"/>
    <cellStyle name="20% - Accent5 11 2 3 3" xfId="6624"/>
    <cellStyle name="20% - Accent5 11 2 3 3 2" xfId="14596"/>
    <cellStyle name="20% - Accent5 11 2 3 3 3" xfId="22543"/>
    <cellStyle name="20% - Accent5 11 2 3 4" xfId="11060"/>
    <cellStyle name="20% - Accent5 11 2 3 5" xfId="19015"/>
    <cellStyle name="20% - Accent5 11 2 3_Exh G" xfId="2449"/>
    <cellStyle name="20% - Accent5 11 2 4" xfId="3913"/>
    <cellStyle name="20% - Accent5 11 2 4 2" xfId="7505"/>
    <cellStyle name="20% - Accent5 11 2 4 2 2" xfId="15476"/>
    <cellStyle name="20% - Accent5 11 2 4 2 3" xfId="23422"/>
    <cellStyle name="20% - Accent5 11 2 4 3" xfId="11938"/>
    <cellStyle name="20% - Accent5 11 2 4 4" xfId="19893"/>
    <cellStyle name="20% - Accent5 11 2 5" xfId="5733"/>
    <cellStyle name="20% - Accent5 11 2 5 2" xfId="13717"/>
    <cellStyle name="20% - Accent5 11 2 5 3" xfId="21665"/>
    <cellStyle name="20% - Accent5 11 2 6" xfId="9286"/>
    <cellStyle name="20% - Accent5 11 2 6 2" xfId="17244"/>
    <cellStyle name="20% - Accent5 11 2 6 3" xfId="25188"/>
    <cellStyle name="20% - Accent5 11 2 7" xfId="10182"/>
    <cellStyle name="20% - Accent5 11 2 8" xfId="18137"/>
    <cellStyle name="20% - Accent5 11 2_Exh G" xfId="2446"/>
    <cellStyle name="20% - Accent5 11 3" xfId="236"/>
    <cellStyle name="20% - Accent5 11 3 2" xfId="1264"/>
    <cellStyle name="20% - Accent5 11 3 2 2" xfId="4794"/>
    <cellStyle name="20% - Accent5 11 3 2 2 2" xfId="8385"/>
    <cellStyle name="20% - Accent5 11 3 2 2 2 2" xfId="16356"/>
    <cellStyle name="20% - Accent5 11 3 2 2 2 3" xfId="24302"/>
    <cellStyle name="20% - Accent5 11 3 2 2 3" xfId="12818"/>
    <cellStyle name="20% - Accent5 11 3 2 2 4" xfId="20773"/>
    <cellStyle name="20% - Accent5 11 3 2 3" xfId="6626"/>
    <cellStyle name="20% - Accent5 11 3 2 3 2" xfId="14598"/>
    <cellStyle name="20% - Accent5 11 3 2 3 3" xfId="22545"/>
    <cellStyle name="20% - Accent5 11 3 2 4" xfId="11062"/>
    <cellStyle name="20% - Accent5 11 3 2 5" xfId="19017"/>
    <cellStyle name="20% - Accent5 11 3 2_Exh G" xfId="2451"/>
    <cellStyle name="20% - Accent5 11 3 3" xfId="3915"/>
    <cellStyle name="20% - Accent5 11 3 3 2" xfId="7507"/>
    <cellStyle name="20% - Accent5 11 3 3 2 2" xfId="15478"/>
    <cellStyle name="20% - Accent5 11 3 3 2 3" xfId="23424"/>
    <cellStyle name="20% - Accent5 11 3 3 3" xfId="11940"/>
    <cellStyle name="20% - Accent5 11 3 3 4" xfId="19895"/>
    <cellStyle name="20% - Accent5 11 3 4" xfId="5735"/>
    <cellStyle name="20% - Accent5 11 3 4 2" xfId="13719"/>
    <cellStyle name="20% - Accent5 11 3 4 3" xfId="21667"/>
    <cellStyle name="20% - Accent5 11 3 5" xfId="9288"/>
    <cellStyle name="20% - Accent5 11 3 5 2" xfId="17246"/>
    <cellStyle name="20% - Accent5 11 3 5 3" xfId="25190"/>
    <cellStyle name="20% - Accent5 11 3 6" xfId="10184"/>
    <cellStyle name="20% - Accent5 11 3 7" xfId="18139"/>
    <cellStyle name="20% - Accent5 11 3_Exh G" xfId="2450"/>
    <cellStyle name="20% - Accent5 11 4" xfId="1261"/>
    <cellStyle name="20% - Accent5 11 4 2" xfId="4791"/>
    <cellStyle name="20% - Accent5 11 4 2 2" xfId="8382"/>
    <cellStyle name="20% - Accent5 11 4 2 2 2" xfId="16353"/>
    <cellStyle name="20% - Accent5 11 4 2 2 3" xfId="24299"/>
    <cellStyle name="20% - Accent5 11 4 2 3" xfId="12815"/>
    <cellStyle name="20% - Accent5 11 4 2 4" xfId="20770"/>
    <cellStyle name="20% - Accent5 11 4 3" xfId="6623"/>
    <cellStyle name="20% - Accent5 11 4 3 2" xfId="14595"/>
    <cellStyle name="20% - Accent5 11 4 3 3" xfId="22542"/>
    <cellStyle name="20% - Accent5 11 4 4" xfId="11059"/>
    <cellStyle name="20% - Accent5 11 4 5" xfId="19014"/>
    <cellStyle name="20% - Accent5 11 4_Exh G" xfId="2452"/>
    <cellStyle name="20% - Accent5 11 5" xfId="3912"/>
    <cellStyle name="20% - Accent5 11 5 2" xfId="7504"/>
    <cellStyle name="20% - Accent5 11 5 2 2" xfId="15475"/>
    <cellStyle name="20% - Accent5 11 5 2 3" xfId="23421"/>
    <cellStyle name="20% - Accent5 11 5 3" xfId="11937"/>
    <cellStyle name="20% - Accent5 11 5 4" xfId="19892"/>
    <cellStyle name="20% - Accent5 11 6" xfId="5732"/>
    <cellStyle name="20% - Accent5 11 6 2" xfId="13716"/>
    <cellStyle name="20% - Accent5 11 6 3" xfId="21664"/>
    <cellStyle name="20% - Accent5 11 7" xfId="9285"/>
    <cellStyle name="20% - Accent5 11 7 2" xfId="17243"/>
    <cellStyle name="20% - Accent5 11 7 3" xfId="25187"/>
    <cellStyle name="20% - Accent5 11 8" xfId="10181"/>
    <cellStyle name="20% - Accent5 11 9" xfId="18136"/>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 2 2" xfId="8388"/>
    <cellStyle name="20% - Accent5 12 2 2 2 2 2 2" xfId="16359"/>
    <cellStyle name="20% - Accent5 12 2 2 2 2 2 3" xfId="24305"/>
    <cellStyle name="20% - Accent5 12 2 2 2 2 3" xfId="12821"/>
    <cellStyle name="20% - Accent5 12 2 2 2 2 4" xfId="20776"/>
    <cellStyle name="20% - Accent5 12 2 2 2 3" xfId="6629"/>
    <cellStyle name="20% - Accent5 12 2 2 2 3 2" xfId="14601"/>
    <cellStyle name="20% - Accent5 12 2 2 2 3 3" xfId="22548"/>
    <cellStyle name="20% - Accent5 12 2 2 2 4" xfId="11065"/>
    <cellStyle name="20% - Accent5 12 2 2 2 5" xfId="19020"/>
    <cellStyle name="20% - Accent5 12 2 2 2_Exh G" xfId="2456"/>
    <cellStyle name="20% - Accent5 12 2 2 3" xfId="3918"/>
    <cellStyle name="20% - Accent5 12 2 2 3 2" xfId="7510"/>
    <cellStyle name="20% - Accent5 12 2 2 3 2 2" xfId="15481"/>
    <cellStyle name="20% - Accent5 12 2 2 3 2 3" xfId="23427"/>
    <cellStyle name="20% - Accent5 12 2 2 3 3" xfId="11943"/>
    <cellStyle name="20% - Accent5 12 2 2 3 4" xfId="19898"/>
    <cellStyle name="20% - Accent5 12 2 2 4" xfId="5738"/>
    <cellStyle name="20% - Accent5 12 2 2 4 2" xfId="13722"/>
    <cellStyle name="20% - Accent5 12 2 2 4 3" xfId="21670"/>
    <cellStyle name="20% - Accent5 12 2 2 5" xfId="9291"/>
    <cellStyle name="20% - Accent5 12 2 2 5 2" xfId="17249"/>
    <cellStyle name="20% - Accent5 12 2 2 5 3" xfId="25193"/>
    <cellStyle name="20% - Accent5 12 2 2 6" xfId="10187"/>
    <cellStyle name="20% - Accent5 12 2 2 7" xfId="18142"/>
    <cellStyle name="20% - Accent5 12 2 2_Exh G" xfId="2455"/>
    <cellStyle name="20% - Accent5 12 2 3" xfId="1266"/>
    <cellStyle name="20% - Accent5 12 2 3 2" xfId="4796"/>
    <cellStyle name="20% - Accent5 12 2 3 2 2" xfId="8387"/>
    <cellStyle name="20% - Accent5 12 2 3 2 2 2" xfId="16358"/>
    <cellStyle name="20% - Accent5 12 2 3 2 2 3" xfId="24304"/>
    <cellStyle name="20% - Accent5 12 2 3 2 3" xfId="12820"/>
    <cellStyle name="20% - Accent5 12 2 3 2 4" xfId="20775"/>
    <cellStyle name="20% - Accent5 12 2 3 3" xfId="6628"/>
    <cellStyle name="20% - Accent5 12 2 3 3 2" xfId="14600"/>
    <cellStyle name="20% - Accent5 12 2 3 3 3" xfId="22547"/>
    <cellStyle name="20% - Accent5 12 2 3 4" xfId="11064"/>
    <cellStyle name="20% - Accent5 12 2 3 5" xfId="19019"/>
    <cellStyle name="20% - Accent5 12 2 3_Exh G" xfId="2457"/>
    <cellStyle name="20% - Accent5 12 2 4" xfId="3917"/>
    <cellStyle name="20% - Accent5 12 2 4 2" xfId="7509"/>
    <cellStyle name="20% - Accent5 12 2 4 2 2" xfId="15480"/>
    <cellStyle name="20% - Accent5 12 2 4 2 3" xfId="23426"/>
    <cellStyle name="20% - Accent5 12 2 4 3" xfId="11942"/>
    <cellStyle name="20% - Accent5 12 2 4 4" xfId="19897"/>
    <cellStyle name="20% - Accent5 12 2 5" xfId="5737"/>
    <cellStyle name="20% - Accent5 12 2 5 2" xfId="13721"/>
    <cellStyle name="20% - Accent5 12 2 5 3" xfId="21669"/>
    <cellStyle name="20% - Accent5 12 2 6" xfId="9290"/>
    <cellStyle name="20% - Accent5 12 2 6 2" xfId="17248"/>
    <cellStyle name="20% - Accent5 12 2 6 3" xfId="25192"/>
    <cellStyle name="20% - Accent5 12 2 7" xfId="10186"/>
    <cellStyle name="20% - Accent5 12 2 8" xfId="18141"/>
    <cellStyle name="20% - Accent5 12 2_Exh G" xfId="2454"/>
    <cellStyle name="20% - Accent5 12 3" xfId="240"/>
    <cellStyle name="20% - Accent5 12 3 2" xfId="1268"/>
    <cellStyle name="20% - Accent5 12 3 2 2" xfId="4798"/>
    <cellStyle name="20% - Accent5 12 3 2 2 2" xfId="8389"/>
    <cellStyle name="20% - Accent5 12 3 2 2 2 2" xfId="16360"/>
    <cellStyle name="20% - Accent5 12 3 2 2 2 3" xfId="24306"/>
    <cellStyle name="20% - Accent5 12 3 2 2 3" xfId="12822"/>
    <cellStyle name="20% - Accent5 12 3 2 2 4" xfId="20777"/>
    <cellStyle name="20% - Accent5 12 3 2 3" xfId="6630"/>
    <cellStyle name="20% - Accent5 12 3 2 3 2" xfId="14602"/>
    <cellStyle name="20% - Accent5 12 3 2 3 3" xfId="22549"/>
    <cellStyle name="20% - Accent5 12 3 2 4" xfId="11066"/>
    <cellStyle name="20% - Accent5 12 3 2 5" xfId="19021"/>
    <cellStyle name="20% - Accent5 12 3 2_Exh G" xfId="2459"/>
    <cellStyle name="20% - Accent5 12 3 3" xfId="3919"/>
    <cellStyle name="20% - Accent5 12 3 3 2" xfId="7511"/>
    <cellStyle name="20% - Accent5 12 3 3 2 2" xfId="15482"/>
    <cellStyle name="20% - Accent5 12 3 3 2 3" xfId="23428"/>
    <cellStyle name="20% - Accent5 12 3 3 3" xfId="11944"/>
    <cellStyle name="20% - Accent5 12 3 3 4" xfId="19899"/>
    <cellStyle name="20% - Accent5 12 3 4" xfId="5739"/>
    <cellStyle name="20% - Accent5 12 3 4 2" xfId="13723"/>
    <cellStyle name="20% - Accent5 12 3 4 3" xfId="21671"/>
    <cellStyle name="20% - Accent5 12 3 5" xfId="9292"/>
    <cellStyle name="20% - Accent5 12 3 5 2" xfId="17250"/>
    <cellStyle name="20% - Accent5 12 3 5 3" xfId="25194"/>
    <cellStyle name="20% - Accent5 12 3 6" xfId="10188"/>
    <cellStyle name="20% - Accent5 12 3 7" xfId="18143"/>
    <cellStyle name="20% - Accent5 12 3_Exh G" xfId="2458"/>
    <cellStyle name="20% - Accent5 12 4" xfId="1265"/>
    <cellStyle name="20% - Accent5 12 4 2" xfId="4795"/>
    <cellStyle name="20% - Accent5 12 4 2 2" xfId="8386"/>
    <cellStyle name="20% - Accent5 12 4 2 2 2" xfId="16357"/>
    <cellStyle name="20% - Accent5 12 4 2 2 3" xfId="24303"/>
    <cellStyle name="20% - Accent5 12 4 2 3" xfId="12819"/>
    <cellStyle name="20% - Accent5 12 4 2 4" xfId="20774"/>
    <cellStyle name="20% - Accent5 12 4 3" xfId="6627"/>
    <cellStyle name="20% - Accent5 12 4 3 2" xfId="14599"/>
    <cellStyle name="20% - Accent5 12 4 3 3" xfId="22546"/>
    <cellStyle name="20% - Accent5 12 4 4" xfId="11063"/>
    <cellStyle name="20% - Accent5 12 4 5" xfId="19018"/>
    <cellStyle name="20% - Accent5 12 4_Exh G" xfId="2460"/>
    <cellStyle name="20% - Accent5 12 5" xfId="3916"/>
    <cellStyle name="20% - Accent5 12 5 2" xfId="7508"/>
    <cellStyle name="20% - Accent5 12 5 2 2" xfId="15479"/>
    <cellStyle name="20% - Accent5 12 5 2 3" xfId="23425"/>
    <cellStyle name="20% - Accent5 12 5 3" xfId="11941"/>
    <cellStyle name="20% - Accent5 12 5 4" xfId="19896"/>
    <cellStyle name="20% - Accent5 12 6" xfId="5736"/>
    <cellStyle name="20% - Accent5 12 6 2" xfId="13720"/>
    <cellStyle name="20% - Accent5 12 6 3" xfId="21668"/>
    <cellStyle name="20% - Accent5 12 7" xfId="9289"/>
    <cellStyle name="20% - Accent5 12 7 2" xfId="17247"/>
    <cellStyle name="20% - Accent5 12 7 3" xfId="25191"/>
    <cellStyle name="20% - Accent5 12 8" xfId="10185"/>
    <cellStyle name="20% - Accent5 12 9" xfId="18140"/>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 2 2" xfId="8392"/>
    <cellStyle name="20% - Accent5 13 2 2 2 2 2 2" xfId="16363"/>
    <cellStyle name="20% - Accent5 13 2 2 2 2 2 3" xfId="24309"/>
    <cellStyle name="20% - Accent5 13 2 2 2 2 3" xfId="12825"/>
    <cellStyle name="20% - Accent5 13 2 2 2 2 4" xfId="20780"/>
    <cellStyle name="20% - Accent5 13 2 2 2 3" xfId="6633"/>
    <cellStyle name="20% - Accent5 13 2 2 2 3 2" xfId="14605"/>
    <cellStyle name="20% - Accent5 13 2 2 2 3 3" xfId="22552"/>
    <cellStyle name="20% - Accent5 13 2 2 2 4" xfId="11069"/>
    <cellStyle name="20% - Accent5 13 2 2 2 5" xfId="19024"/>
    <cellStyle name="20% - Accent5 13 2 2 2_Exh G" xfId="2464"/>
    <cellStyle name="20% - Accent5 13 2 2 3" xfId="3922"/>
    <cellStyle name="20% - Accent5 13 2 2 3 2" xfId="7514"/>
    <cellStyle name="20% - Accent5 13 2 2 3 2 2" xfId="15485"/>
    <cellStyle name="20% - Accent5 13 2 2 3 2 3" xfId="23431"/>
    <cellStyle name="20% - Accent5 13 2 2 3 3" xfId="11947"/>
    <cellStyle name="20% - Accent5 13 2 2 3 4" xfId="19902"/>
    <cellStyle name="20% - Accent5 13 2 2 4" xfId="5742"/>
    <cellStyle name="20% - Accent5 13 2 2 4 2" xfId="13726"/>
    <cellStyle name="20% - Accent5 13 2 2 4 3" xfId="21674"/>
    <cellStyle name="20% - Accent5 13 2 2 5" xfId="9295"/>
    <cellStyle name="20% - Accent5 13 2 2 5 2" xfId="17253"/>
    <cellStyle name="20% - Accent5 13 2 2 5 3" xfId="25197"/>
    <cellStyle name="20% - Accent5 13 2 2 6" xfId="10191"/>
    <cellStyle name="20% - Accent5 13 2 2 7" xfId="18146"/>
    <cellStyle name="20% - Accent5 13 2 2_Exh G" xfId="2463"/>
    <cellStyle name="20% - Accent5 13 2 3" xfId="1270"/>
    <cellStyle name="20% - Accent5 13 2 3 2" xfId="4800"/>
    <cellStyle name="20% - Accent5 13 2 3 2 2" xfId="8391"/>
    <cellStyle name="20% - Accent5 13 2 3 2 2 2" xfId="16362"/>
    <cellStyle name="20% - Accent5 13 2 3 2 2 3" xfId="24308"/>
    <cellStyle name="20% - Accent5 13 2 3 2 3" xfId="12824"/>
    <cellStyle name="20% - Accent5 13 2 3 2 4" xfId="20779"/>
    <cellStyle name="20% - Accent5 13 2 3 3" xfId="6632"/>
    <cellStyle name="20% - Accent5 13 2 3 3 2" xfId="14604"/>
    <cellStyle name="20% - Accent5 13 2 3 3 3" xfId="22551"/>
    <cellStyle name="20% - Accent5 13 2 3 4" xfId="11068"/>
    <cellStyle name="20% - Accent5 13 2 3 5" xfId="19023"/>
    <cellStyle name="20% - Accent5 13 2 3_Exh G" xfId="2465"/>
    <cellStyle name="20% - Accent5 13 2 4" xfId="3921"/>
    <cellStyle name="20% - Accent5 13 2 4 2" xfId="7513"/>
    <cellStyle name="20% - Accent5 13 2 4 2 2" xfId="15484"/>
    <cellStyle name="20% - Accent5 13 2 4 2 3" xfId="23430"/>
    <cellStyle name="20% - Accent5 13 2 4 3" xfId="11946"/>
    <cellStyle name="20% - Accent5 13 2 4 4" xfId="19901"/>
    <cellStyle name="20% - Accent5 13 2 5" xfId="5741"/>
    <cellStyle name="20% - Accent5 13 2 5 2" xfId="13725"/>
    <cellStyle name="20% - Accent5 13 2 5 3" xfId="21673"/>
    <cellStyle name="20% - Accent5 13 2 6" xfId="9294"/>
    <cellStyle name="20% - Accent5 13 2 6 2" xfId="17252"/>
    <cellStyle name="20% - Accent5 13 2 6 3" xfId="25196"/>
    <cellStyle name="20% - Accent5 13 2 7" xfId="10190"/>
    <cellStyle name="20% - Accent5 13 2 8" xfId="18145"/>
    <cellStyle name="20% - Accent5 13 2_Exh G" xfId="2462"/>
    <cellStyle name="20% - Accent5 13 3" xfId="244"/>
    <cellStyle name="20% - Accent5 13 3 2" xfId="1272"/>
    <cellStyle name="20% - Accent5 13 3 2 2" xfId="4802"/>
    <cellStyle name="20% - Accent5 13 3 2 2 2" xfId="8393"/>
    <cellStyle name="20% - Accent5 13 3 2 2 2 2" xfId="16364"/>
    <cellStyle name="20% - Accent5 13 3 2 2 2 3" xfId="24310"/>
    <cellStyle name="20% - Accent5 13 3 2 2 3" xfId="12826"/>
    <cellStyle name="20% - Accent5 13 3 2 2 4" xfId="20781"/>
    <cellStyle name="20% - Accent5 13 3 2 3" xfId="6634"/>
    <cellStyle name="20% - Accent5 13 3 2 3 2" xfId="14606"/>
    <cellStyle name="20% - Accent5 13 3 2 3 3" xfId="22553"/>
    <cellStyle name="20% - Accent5 13 3 2 4" xfId="11070"/>
    <cellStyle name="20% - Accent5 13 3 2 5" xfId="19025"/>
    <cellStyle name="20% - Accent5 13 3 2_Exh G" xfId="2467"/>
    <cellStyle name="20% - Accent5 13 3 3" xfId="3923"/>
    <cellStyle name="20% - Accent5 13 3 3 2" xfId="7515"/>
    <cellStyle name="20% - Accent5 13 3 3 2 2" xfId="15486"/>
    <cellStyle name="20% - Accent5 13 3 3 2 3" xfId="23432"/>
    <cellStyle name="20% - Accent5 13 3 3 3" xfId="11948"/>
    <cellStyle name="20% - Accent5 13 3 3 4" xfId="19903"/>
    <cellStyle name="20% - Accent5 13 3 4" xfId="5743"/>
    <cellStyle name="20% - Accent5 13 3 4 2" xfId="13727"/>
    <cellStyle name="20% - Accent5 13 3 4 3" xfId="21675"/>
    <cellStyle name="20% - Accent5 13 3 5" xfId="9296"/>
    <cellStyle name="20% - Accent5 13 3 5 2" xfId="17254"/>
    <cellStyle name="20% - Accent5 13 3 5 3" xfId="25198"/>
    <cellStyle name="20% - Accent5 13 3 6" xfId="10192"/>
    <cellStyle name="20% - Accent5 13 3 7" xfId="18147"/>
    <cellStyle name="20% - Accent5 13 3_Exh G" xfId="2466"/>
    <cellStyle name="20% - Accent5 13 4" xfId="1269"/>
    <cellStyle name="20% - Accent5 13 4 2" xfId="4799"/>
    <cellStyle name="20% - Accent5 13 4 2 2" xfId="8390"/>
    <cellStyle name="20% - Accent5 13 4 2 2 2" xfId="16361"/>
    <cellStyle name="20% - Accent5 13 4 2 2 3" xfId="24307"/>
    <cellStyle name="20% - Accent5 13 4 2 3" xfId="12823"/>
    <cellStyle name="20% - Accent5 13 4 2 4" xfId="20778"/>
    <cellStyle name="20% - Accent5 13 4 3" xfId="6631"/>
    <cellStyle name="20% - Accent5 13 4 3 2" xfId="14603"/>
    <cellStyle name="20% - Accent5 13 4 3 3" xfId="22550"/>
    <cellStyle name="20% - Accent5 13 4 4" xfId="11067"/>
    <cellStyle name="20% - Accent5 13 4 5" xfId="19022"/>
    <cellStyle name="20% - Accent5 13 4_Exh G" xfId="2468"/>
    <cellStyle name="20% - Accent5 13 5" xfId="3920"/>
    <cellStyle name="20% - Accent5 13 5 2" xfId="7512"/>
    <cellStyle name="20% - Accent5 13 5 2 2" xfId="15483"/>
    <cellStyle name="20% - Accent5 13 5 2 3" xfId="23429"/>
    <cellStyle name="20% - Accent5 13 5 3" xfId="11945"/>
    <cellStyle name="20% - Accent5 13 5 4" xfId="19900"/>
    <cellStyle name="20% - Accent5 13 6" xfId="5740"/>
    <cellStyle name="20% - Accent5 13 6 2" xfId="13724"/>
    <cellStyle name="20% - Accent5 13 6 3" xfId="21672"/>
    <cellStyle name="20% - Accent5 13 7" xfId="9293"/>
    <cellStyle name="20% - Accent5 13 7 2" xfId="17251"/>
    <cellStyle name="20% - Accent5 13 7 3" xfId="25195"/>
    <cellStyle name="20% - Accent5 13 8" xfId="10189"/>
    <cellStyle name="20% - Accent5 13 9" xfId="18144"/>
    <cellStyle name="20% - Accent5 13_Exh G" xfId="2461"/>
    <cellStyle name="20% - Accent5 14" xfId="245"/>
    <cellStyle name="20% - Accent5 14 2" xfId="246"/>
    <cellStyle name="20% - Accent5 14 2 2" xfId="1274"/>
    <cellStyle name="20% - Accent5 14 2 2 2" xfId="4804"/>
    <cellStyle name="20% - Accent5 14 2 2 2 2" xfId="8395"/>
    <cellStyle name="20% - Accent5 14 2 2 2 2 2" xfId="16366"/>
    <cellStyle name="20% - Accent5 14 2 2 2 2 3" xfId="24312"/>
    <cellStyle name="20% - Accent5 14 2 2 2 3" xfId="12828"/>
    <cellStyle name="20% - Accent5 14 2 2 2 4" xfId="20783"/>
    <cellStyle name="20% - Accent5 14 2 2 3" xfId="6636"/>
    <cellStyle name="20% - Accent5 14 2 2 3 2" xfId="14608"/>
    <cellStyle name="20% - Accent5 14 2 2 3 3" xfId="22555"/>
    <cellStyle name="20% - Accent5 14 2 2 4" xfId="11072"/>
    <cellStyle name="20% - Accent5 14 2 2 5" xfId="19027"/>
    <cellStyle name="20% - Accent5 14 2 2_Exh G" xfId="2471"/>
    <cellStyle name="20% - Accent5 14 2 3" xfId="3925"/>
    <cellStyle name="20% - Accent5 14 2 3 2" xfId="7517"/>
    <cellStyle name="20% - Accent5 14 2 3 2 2" xfId="15488"/>
    <cellStyle name="20% - Accent5 14 2 3 2 3" xfId="23434"/>
    <cellStyle name="20% - Accent5 14 2 3 3" xfId="11950"/>
    <cellStyle name="20% - Accent5 14 2 3 4" xfId="19905"/>
    <cellStyle name="20% - Accent5 14 2 4" xfId="5745"/>
    <cellStyle name="20% - Accent5 14 2 4 2" xfId="13729"/>
    <cellStyle name="20% - Accent5 14 2 4 3" xfId="21677"/>
    <cellStyle name="20% - Accent5 14 2 5" xfId="9298"/>
    <cellStyle name="20% - Accent5 14 2 5 2" xfId="17256"/>
    <cellStyle name="20% - Accent5 14 2 5 3" xfId="25200"/>
    <cellStyle name="20% - Accent5 14 2 6" xfId="10194"/>
    <cellStyle name="20% - Accent5 14 2 7" xfId="18149"/>
    <cellStyle name="20% - Accent5 14 2_Exh G" xfId="2470"/>
    <cellStyle name="20% - Accent5 14 3" xfId="1273"/>
    <cellStyle name="20% - Accent5 14 3 2" xfId="4803"/>
    <cellStyle name="20% - Accent5 14 3 2 2" xfId="8394"/>
    <cellStyle name="20% - Accent5 14 3 2 2 2" xfId="16365"/>
    <cellStyle name="20% - Accent5 14 3 2 2 3" xfId="24311"/>
    <cellStyle name="20% - Accent5 14 3 2 3" xfId="12827"/>
    <cellStyle name="20% - Accent5 14 3 2 4" xfId="20782"/>
    <cellStyle name="20% - Accent5 14 3 3" xfId="6635"/>
    <cellStyle name="20% - Accent5 14 3 3 2" xfId="14607"/>
    <cellStyle name="20% - Accent5 14 3 3 3" xfId="22554"/>
    <cellStyle name="20% - Accent5 14 3 4" xfId="11071"/>
    <cellStyle name="20% - Accent5 14 3 5" xfId="19026"/>
    <cellStyle name="20% - Accent5 14 3_Exh G" xfId="2472"/>
    <cellStyle name="20% - Accent5 14 4" xfId="3924"/>
    <cellStyle name="20% - Accent5 14 4 2" xfId="7516"/>
    <cellStyle name="20% - Accent5 14 4 2 2" xfId="15487"/>
    <cellStyle name="20% - Accent5 14 4 2 3" xfId="23433"/>
    <cellStyle name="20% - Accent5 14 4 3" xfId="11949"/>
    <cellStyle name="20% - Accent5 14 4 4" xfId="19904"/>
    <cellStyle name="20% - Accent5 14 5" xfId="5744"/>
    <cellStyle name="20% - Accent5 14 5 2" xfId="13728"/>
    <cellStyle name="20% - Accent5 14 5 3" xfId="21676"/>
    <cellStyle name="20% - Accent5 14 6" xfId="9297"/>
    <cellStyle name="20% - Accent5 14 6 2" xfId="17255"/>
    <cellStyle name="20% - Accent5 14 6 3" xfId="25199"/>
    <cellStyle name="20% - Accent5 14 7" xfId="10193"/>
    <cellStyle name="20% - Accent5 14 8" xfId="18148"/>
    <cellStyle name="20% - Accent5 14_Exh G" xfId="2469"/>
    <cellStyle name="20% - Accent5 15" xfId="247"/>
    <cellStyle name="20% - Accent5 15 2" xfId="1275"/>
    <cellStyle name="20% - Accent5 15 2 2" xfId="4805"/>
    <cellStyle name="20% - Accent5 15 2 2 2" xfId="8396"/>
    <cellStyle name="20% - Accent5 15 2 2 2 2" xfId="16367"/>
    <cellStyle name="20% - Accent5 15 2 2 2 3" xfId="24313"/>
    <cellStyle name="20% - Accent5 15 2 2 3" xfId="12829"/>
    <cellStyle name="20% - Accent5 15 2 2 4" xfId="20784"/>
    <cellStyle name="20% - Accent5 15 2 3" xfId="6637"/>
    <cellStyle name="20% - Accent5 15 2 3 2" xfId="14609"/>
    <cellStyle name="20% - Accent5 15 2 3 3" xfId="22556"/>
    <cellStyle name="20% - Accent5 15 2 4" xfId="11073"/>
    <cellStyle name="20% - Accent5 15 2 5" xfId="19028"/>
    <cellStyle name="20% - Accent5 15 2_Exh G" xfId="2474"/>
    <cellStyle name="20% - Accent5 15 3" xfId="3926"/>
    <cellStyle name="20% - Accent5 15 3 2" xfId="7518"/>
    <cellStyle name="20% - Accent5 15 3 2 2" xfId="15489"/>
    <cellStyle name="20% - Accent5 15 3 2 3" xfId="23435"/>
    <cellStyle name="20% - Accent5 15 3 3" xfId="11951"/>
    <cellStyle name="20% - Accent5 15 3 4" xfId="19906"/>
    <cellStyle name="20% - Accent5 15 4" xfId="5746"/>
    <cellStyle name="20% - Accent5 15 4 2" xfId="13730"/>
    <cellStyle name="20% - Accent5 15 4 3" xfId="21678"/>
    <cellStyle name="20% - Accent5 15 5" xfId="9299"/>
    <cellStyle name="20% - Accent5 15 5 2" xfId="17257"/>
    <cellStyle name="20% - Accent5 15 5 3" xfId="25201"/>
    <cellStyle name="20% - Accent5 15 6" xfId="10195"/>
    <cellStyle name="20% - Accent5 15 7" xfId="18150"/>
    <cellStyle name="20% - Accent5 15_Exh G" xfId="2473"/>
    <cellStyle name="20% - Accent5 16" xfId="847"/>
    <cellStyle name="20% - Accent5 16 2" xfId="1786"/>
    <cellStyle name="20% - Accent5 16 2 2" xfId="5307"/>
    <cellStyle name="20% - Accent5 16 2 2 2" xfId="8898"/>
    <cellStyle name="20% - Accent5 16 2 2 2 2" xfId="16869"/>
    <cellStyle name="20% - Accent5 16 2 2 2 3" xfId="24815"/>
    <cellStyle name="20% - Accent5 16 2 2 3" xfId="13331"/>
    <cellStyle name="20% - Accent5 16 2 2 4" xfId="21286"/>
    <cellStyle name="20% - Accent5 16 2 3" xfId="7139"/>
    <cellStyle name="20% - Accent5 16 2 3 2" xfId="15111"/>
    <cellStyle name="20% - Accent5 16 2 3 3" xfId="23058"/>
    <cellStyle name="20% - Accent5 16 2 4" xfId="11575"/>
    <cellStyle name="20% - Accent5 16 2 5" xfId="19530"/>
    <cellStyle name="20% - Accent5 16 2_Exh G" xfId="2476"/>
    <cellStyle name="20% - Accent5 16 3" xfId="4428"/>
    <cellStyle name="20% - Accent5 16 3 2" xfId="8020"/>
    <cellStyle name="20% - Accent5 16 3 2 2" xfId="15991"/>
    <cellStyle name="20% - Accent5 16 3 2 3" xfId="23937"/>
    <cellStyle name="20% - Accent5 16 3 3" xfId="12453"/>
    <cellStyle name="20% - Accent5 16 3 4" xfId="20408"/>
    <cellStyle name="20% - Accent5 16 4" xfId="6258"/>
    <cellStyle name="20% - Accent5 16 4 2" xfId="14233"/>
    <cellStyle name="20% - Accent5 16 4 3" xfId="22180"/>
    <cellStyle name="20% - Accent5 16 5" xfId="9801"/>
    <cellStyle name="20% - Accent5 16 5 2" xfId="17759"/>
    <cellStyle name="20% - Accent5 16 5 3" xfId="25703"/>
    <cellStyle name="20% - Accent5 16 6" xfId="10697"/>
    <cellStyle name="20% - Accent5 16 7" xfId="18652"/>
    <cellStyle name="20% - Accent5 16_Exh G" xfId="2475"/>
    <cellStyle name="20% - Accent5 2" xfId="248"/>
    <cellStyle name="20% - Accent5 2 10" xfId="18151"/>
    <cellStyle name="20% - Accent5 2 2" xfId="249"/>
    <cellStyle name="20% - Accent5 2 2 2" xfId="250"/>
    <cellStyle name="20% - Accent5 2 2 2 2" xfId="1278"/>
    <cellStyle name="20% - Accent5 2 2 2 2 2" xfId="4808"/>
    <cellStyle name="20% - Accent5 2 2 2 2 2 2" xfId="8399"/>
    <cellStyle name="20% - Accent5 2 2 2 2 2 2 2" xfId="16370"/>
    <cellStyle name="20% - Accent5 2 2 2 2 2 2 3" xfId="24316"/>
    <cellStyle name="20% - Accent5 2 2 2 2 2 3" xfId="12832"/>
    <cellStyle name="20% - Accent5 2 2 2 2 2 4" xfId="20787"/>
    <cellStyle name="20% - Accent5 2 2 2 2 3" xfId="6640"/>
    <cellStyle name="20% - Accent5 2 2 2 2 3 2" xfId="14612"/>
    <cellStyle name="20% - Accent5 2 2 2 2 3 3" xfId="22559"/>
    <cellStyle name="20% - Accent5 2 2 2 2 4" xfId="11076"/>
    <cellStyle name="20% - Accent5 2 2 2 2 5" xfId="19031"/>
    <cellStyle name="20% - Accent5 2 2 2 2_Exh G" xfId="2480"/>
    <cellStyle name="20% - Accent5 2 2 2 3" xfId="3929"/>
    <cellStyle name="20% - Accent5 2 2 2 3 2" xfId="7521"/>
    <cellStyle name="20% - Accent5 2 2 2 3 2 2" xfId="15492"/>
    <cellStyle name="20% - Accent5 2 2 2 3 2 3" xfId="23438"/>
    <cellStyle name="20% - Accent5 2 2 2 3 3" xfId="11954"/>
    <cellStyle name="20% - Accent5 2 2 2 3 4" xfId="19909"/>
    <cellStyle name="20% - Accent5 2 2 2 4" xfId="5749"/>
    <cellStyle name="20% - Accent5 2 2 2 4 2" xfId="13733"/>
    <cellStyle name="20% - Accent5 2 2 2 4 3" xfId="21681"/>
    <cellStyle name="20% - Accent5 2 2 2 5" xfId="9302"/>
    <cellStyle name="20% - Accent5 2 2 2 5 2" xfId="17260"/>
    <cellStyle name="20% - Accent5 2 2 2 5 3" xfId="25204"/>
    <cellStyle name="20% - Accent5 2 2 2 6" xfId="10198"/>
    <cellStyle name="20% - Accent5 2 2 2 7" xfId="18153"/>
    <cellStyle name="20% - Accent5 2 2 2_Exh G" xfId="2479"/>
    <cellStyle name="20% - Accent5 2 2 3" xfId="912"/>
    <cellStyle name="20% - Accent5 2 2 3 2" xfId="1840"/>
    <cellStyle name="20% - Accent5 2 2 3 2 2" xfId="5358"/>
    <cellStyle name="20% - Accent5 2 2 3 2 2 2" xfId="8949"/>
    <cellStyle name="20% - Accent5 2 2 3 2 2 2 2" xfId="16920"/>
    <cellStyle name="20% - Accent5 2 2 3 2 2 2 3" xfId="24866"/>
    <cellStyle name="20% - Accent5 2 2 3 2 2 3" xfId="13382"/>
    <cellStyle name="20% - Accent5 2 2 3 2 2 4" xfId="21337"/>
    <cellStyle name="20% - Accent5 2 2 3 2 3" xfId="7190"/>
    <cellStyle name="20% - Accent5 2 2 3 2 3 2" xfId="15162"/>
    <cellStyle name="20% - Accent5 2 2 3 2 3 3" xfId="23109"/>
    <cellStyle name="20% - Accent5 2 2 3 2 4" xfId="11626"/>
    <cellStyle name="20% - Accent5 2 2 3 2 5" xfId="19581"/>
    <cellStyle name="20% - Accent5 2 2 3 2_Exh G" xfId="2482"/>
    <cellStyle name="20% - Accent5 2 2 3 3" xfId="4479"/>
    <cellStyle name="20% - Accent5 2 2 3 3 2" xfId="8071"/>
    <cellStyle name="20% - Accent5 2 2 3 3 2 2" xfId="16042"/>
    <cellStyle name="20% - Accent5 2 2 3 3 2 3" xfId="23988"/>
    <cellStyle name="20% - Accent5 2 2 3 3 3" xfId="12504"/>
    <cellStyle name="20% - Accent5 2 2 3 3 4" xfId="20459"/>
    <cellStyle name="20% - Accent5 2 2 3 4" xfId="6309"/>
    <cellStyle name="20% - Accent5 2 2 3 4 2" xfId="14284"/>
    <cellStyle name="20% - Accent5 2 2 3 4 3" xfId="22231"/>
    <cellStyle name="20% - Accent5 2 2 3 5" xfId="9852"/>
    <cellStyle name="20% - Accent5 2 2 3 5 2" xfId="17810"/>
    <cellStyle name="20% - Accent5 2 2 3 5 3" xfId="25754"/>
    <cellStyle name="20% - Accent5 2 2 3 6" xfId="10748"/>
    <cellStyle name="20% - Accent5 2 2 3 7" xfId="18703"/>
    <cellStyle name="20% - Accent5 2 2 3_Exh G" xfId="2481"/>
    <cellStyle name="20% - Accent5 2 2 4" xfId="1277"/>
    <cellStyle name="20% - Accent5 2 2 4 2" xfId="4807"/>
    <cellStyle name="20% - Accent5 2 2 4 2 2" xfId="8398"/>
    <cellStyle name="20% - Accent5 2 2 4 2 2 2" xfId="16369"/>
    <cellStyle name="20% - Accent5 2 2 4 2 2 3" xfId="24315"/>
    <cellStyle name="20% - Accent5 2 2 4 2 3" xfId="12831"/>
    <cellStyle name="20% - Accent5 2 2 4 2 4" xfId="20786"/>
    <cellStyle name="20% - Accent5 2 2 4 3" xfId="6639"/>
    <cellStyle name="20% - Accent5 2 2 4 3 2" xfId="14611"/>
    <cellStyle name="20% - Accent5 2 2 4 3 3" xfId="22558"/>
    <cellStyle name="20% - Accent5 2 2 4 4" xfId="11075"/>
    <cellStyle name="20% - Accent5 2 2 4 5" xfId="19030"/>
    <cellStyle name="20% - Accent5 2 2 4_Exh G" xfId="2483"/>
    <cellStyle name="20% - Accent5 2 2 5" xfId="3928"/>
    <cellStyle name="20% - Accent5 2 2 5 2" xfId="7520"/>
    <cellStyle name="20% - Accent5 2 2 5 2 2" xfId="15491"/>
    <cellStyle name="20% - Accent5 2 2 5 2 3" xfId="23437"/>
    <cellStyle name="20% - Accent5 2 2 5 3" xfId="11953"/>
    <cellStyle name="20% - Accent5 2 2 5 4" xfId="19908"/>
    <cellStyle name="20% - Accent5 2 2 6" xfId="5748"/>
    <cellStyle name="20% - Accent5 2 2 6 2" xfId="13732"/>
    <cellStyle name="20% - Accent5 2 2 6 3" xfId="21680"/>
    <cellStyle name="20% - Accent5 2 2 7" xfId="9301"/>
    <cellStyle name="20% - Accent5 2 2 7 2" xfId="17259"/>
    <cellStyle name="20% - Accent5 2 2 7 3" xfId="25203"/>
    <cellStyle name="20% - Accent5 2 2 8" xfId="10197"/>
    <cellStyle name="20% - Accent5 2 2 9" xfId="18152"/>
    <cellStyle name="20% - Accent5 2 2_Exh G" xfId="2478"/>
    <cellStyle name="20% - Accent5 2 3" xfId="251"/>
    <cellStyle name="20% - Accent5 2 3 2" xfId="1279"/>
    <cellStyle name="20% - Accent5 2 3 2 2" xfId="4809"/>
    <cellStyle name="20% - Accent5 2 3 2 2 2" xfId="8400"/>
    <cellStyle name="20% - Accent5 2 3 2 2 2 2" xfId="16371"/>
    <cellStyle name="20% - Accent5 2 3 2 2 2 3" xfId="24317"/>
    <cellStyle name="20% - Accent5 2 3 2 2 3" xfId="12833"/>
    <cellStyle name="20% - Accent5 2 3 2 2 4" xfId="20788"/>
    <cellStyle name="20% - Accent5 2 3 2 3" xfId="6641"/>
    <cellStyle name="20% - Accent5 2 3 2 3 2" xfId="14613"/>
    <cellStyle name="20% - Accent5 2 3 2 3 3" xfId="22560"/>
    <cellStyle name="20% - Accent5 2 3 2 4" xfId="11077"/>
    <cellStyle name="20% - Accent5 2 3 2 5" xfId="19032"/>
    <cellStyle name="20% - Accent5 2 3 2_Exh G" xfId="2485"/>
    <cellStyle name="20% - Accent5 2 3 3" xfId="3930"/>
    <cellStyle name="20% - Accent5 2 3 3 2" xfId="7522"/>
    <cellStyle name="20% - Accent5 2 3 3 2 2" xfId="15493"/>
    <cellStyle name="20% - Accent5 2 3 3 2 3" xfId="23439"/>
    <cellStyle name="20% - Accent5 2 3 3 3" xfId="11955"/>
    <cellStyle name="20% - Accent5 2 3 3 4" xfId="19910"/>
    <cellStyle name="20% - Accent5 2 3 4" xfId="5750"/>
    <cellStyle name="20% - Accent5 2 3 4 2" xfId="13734"/>
    <cellStyle name="20% - Accent5 2 3 4 3" xfId="21682"/>
    <cellStyle name="20% - Accent5 2 3 5" xfId="9303"/>
    <cellStyle name="20% - Accent5 2 3 5 2" xfId="17261"/>
    <cellStyle name="20% - Accent5 2 3 5 3" xfId="25205"/>
    <cellStyle name="20% - Accent5 2 3 6" xfId="10199"/>
    <cellStyle name="20% - Accent5 2 3 7" xfId="18154"/>
    <cellStyle name="20% - Accent5 2 3_Exh G" xfId="2484"/>
    <cellStyle name="20% - Accent5 2 4" xfId="911"/>
    <cellStyle name="20% - Accent5 2 4 2" xfId="1839"/>
    <cellStyle name="20% - Accent5 2 4 2 2" xfId="5357"/>
    <cellStyle name="20% - Accent5 2 4 2 2 2" xfId="8948"/>
    <cellStyle name="20% - Accent5 2 4 2 2 2 2" xfId="16919"/>
    <cellStyle name="20% - Accent5 2 4 2 2 2 3" xfId="24865"/>
    <cellStyle name="20% - Accent5 2 4 2 2 3" xfId="13381"/>
    <cellStyle name="20% - Accent5 2 4 2 2 4" xfId="21336"/>
    <cellStyle name="20% - Accent5 2 4 2 3" xfId="7189"/>
    <cellStyle name="20% - Accent5 2 4 2 3 2" xfId="15161"/>
    <cellStyle name="20% - Accent5 2 4 2 3 3" xfId="23108"/>
    <cellStyle name="20% - Accent5 2 4 2 4" xfId="11625"/>
    <cellStyle name="20% - Accent5 2 4 2 5" xfId="19580"/>
    <cellStyle name="20% - Accent5 2 4 2_Exh G" xfId="2487"/>
    <cellStyle name="20% - Accent5 2 4 3" xfId="4478"/>
    <cellStyle name="20% - Accent5 2 4 3 2" xfId="8070"/>
    <cellStyle name="20% - Accent5 2 4 3 2 2" xfId="16041"/>
    <cellStyle name="20% - Accent5 2 4 3 2 3" xfId="23987"/>
    <cellStyle name="20% - Accent5 2 4 3 3" xfId="12503"/>
    <cellStyle name="20% - Accent5 2 4 3 4" xfId="20458"/>
    <cellStyle name="20% - Accent5 2 4 4" xfId="6308"/>
    <cellStyle name="20% - Accent5 2 4 4 2" xfId="14283"/>
    <cellStyle name="20% - Accent5 2 4 4 3" xfId="22230"/>
    <cellStyle name="20% - Accent5 2 4 5" xfId="9851"/>
    <cellStyle name="20% - Accent5 2 4 5 2" xfId="17809"/>
    <cellStyle name="20% - Accent5 2 4 5 3" xfId="25753"/>
    <cellStyle name="20% - Accent5 2 4 6" xfId="10747"/>
    <cellStyle name="20% - Accent5 2 4 7" xfId="18702"/>
    <cellStyle name="20% - Accent5 2 4_Exh G" xfId="2486"/>
    <cellStyle name="20% - Accent5 2 5" xfId="1276"/>
    <cellStyle name="20% - Accent5 2 5 2" xfId="4806"/>
    <cellStyle name="20% - Accent5 2 5 2 2" xfId="8397"/>
    <cellStyle name="20% - Accent5 2 5 2 2 2" xfId="16368"/>
    <cellStyle name="20% - Accent5 2 5 2 2 3" xfId="24314"/>
    <cellStyle name="20% - Accent5 2 5 2 3" xfId="12830"/>
    <cellStyle name="20% - Accent5 2 5 2 4" xfId="20785"/>
    <cellStyle name="20% - Accent5 2 5 3" xfId="6638"/>
    <cellStyle name="20% - Accent5 2 5 3 2" xfId="14610"/>
    <cellStyle name="20% - Accent5 2 5 3 3" xfId="22557"/>
    <cellStyle name="20% - Accent5 2 5 4" xfId="11074"/>
    <cellStyle name="20% - Accent5 2 5 5" xfId="19029"/>
    <cellStyle name="20% - Accent5 2 5_Exh G" xfId="2488"/>
    <cellStyle name="20% - Accent5 2 6" xfId="3927"/>
    <cellStyle name="20% - Accent5 2 6 2" xfId="7519"/>
    <cellStyle name="20% - Accent5 2 6 2 2" xfId="15490"/>
    <cellStyle name="20% - Accent5 2 6 2 3" xfId="23436"/>
    <cellStyle name="20% - Accent5 2 6 3" xfId="11952"/>
    <cellStyle name="20% - Accent5 2 6 4" xfId="19907"/>
    <cellStyle name="20% - Accent5 2 7" xfId="5747"/>
    <cellStyle name="20% - Accent5 2 7 2" xfId="13731"/>
    <cellStyle name="20% - Accent5 2 7 3" xfId="21679"/>
    <cellStyle name="20% - Accent5 2 8" xfId="9300"/>
    <cellStyle name="20% - Accent5 2 8 2" xfId="17258"/>
    <cellStyle name="20% - Accent5 2 8 3" xfId="25202"/>
    <cellStyle name="20% - Accent5 2 9" xfId="10196"/>
    <cellStyle name="20% - Accent5 2_Exh G" xfId="2477"/>
    <cellStyle name="20% - Accent5 3" xfId="252"/>
    <cellStyle name="20% - Accent5 3 10" xfId="18155"/>
    <cellStyle name="20% - Accent5 3 2" xfId="253"/>
    <cellStyle name="20% - Accent5 3 2 2" xfId="254"/>
    <cellStyle name="20% - Accent5 3 2 2 2" xfId="1282"/>
    <cellStyle name="20% - Accent5 3 2 2 2 2" xfId="4812"/>
    <cellStyle name="20% - Accent5 3 2 2 2 2 2" xfId="8403"/>
    <cellStyle name="20% - Accent5 3 2 2 2 2 2 2" xfId="16374"/>
    <cellStyle name="20% - Accent5 3 2 2 2 2 2 3" xfId="24320"/>
    <cellStyle name="20% - Accent5 3 2 2 2 2 3" xfId="12836"/>
    <cellStyle name="20% - Accent5 3 2 2 2 2 4" xfId="20791"/>
    <cellStyle name="20% - Accent5 3 2 2 2 3" xfId="6644"/>
    <cellStyle name="20% - Accent5 3 2 2 2 3 2" xfId="14616"/>
    <cellStyle name="20% - Accent5 3 2 2 2 3 3" xfId="22563"/>
    <cellStyle name="20% - Accent5 3 2 2 2 4" xfId="11080"/>
    <cellStyle name="20% - Accent5 3 2 2 2 5" xfId="19035"/>
    <cellStyle name="20% - Accent5 3 2 2 2_Exh G" xfId="2492"/>
    <cellStyle name="20% - Accent5 3 2 2 3" xfId="3933"/>
    <cellStyle name="20% - Accent5 3 2 2 3 2" xfId="7525"/>
    <cellStyle name="20% - Accent5 3 2 2 3 2 2" xfId="15496"/>
    <cellStyle name="20% - Accent5 3 2 2 3 2 3" xfId="23442"/>
    <cellStyle name="20% - Accent5 3 2 2 3 3" xfId="11958"/>
    <cellStyle name="20% - Accent5 3 2 2 3 4" xfId="19913"/>
    <cellStyle name="20% - Accent5 3 2 2 4" xfId="5753"/>
    <cellStyle name="20% - Accent5 3 2 2 4 2" xfId="13737"/>
    <cellStyle name="20% - Accent5 3 2 2 4 3" xfId="21685"/>
    <cellStyle name="20% - Accent5 3 2 2 5" xfId="9306"/>
    <cellStyle name="20% - Accent5 3 2 2 5 2" xfId="17264"/>
    <cellStyle name="20% - Accent5 3 2 2 5 3" xfId="25208"/>
    <cellStyle name="20% - Accent5 3 2 2 6" xfId="10202"/>
    <cellStyle name="20% - Accent5 3 2 2 7" xfId="18157"/>
    <cellStyle name="20% - Accent5 3 2 2_Exh G" xfId="2491"/>
    <cellStyle name="20% - Accent5 3 2 3" xfId="914"/>
    <cellStyle name="20% - Accent5 3 2 3 2" xfId="1842"/>
    <cellStyle name="20% - Accent5 3 2 3 2 2" xfId="5360"/>
    <cellStyle name="20% - Accent5 3 2 3 2 2 2" xfId="8951"/>
    <cellStyle name="20% - Accent5 3 2 3 2 2 2 2" xfId="16922"/>
    <cellStyle name="20% - Accent5 3 2 3 2 2 2 3" xfId="24868"/>
    <cellStyle name="20% - Accent5 3 2 3 2 2 3" xfId="13384"/>
    <cellStyle name="20% - Accent5 3 2 3 2 2 4" xfId="21339"/>
    <cellStyle name="20% - Accent5 3 2 3 2 3" xfId="7192"/>
    <cellStyle name="20% - Accent5 3 2 3 2 3 2" xfId="15164"/>
    <cellStyle name="20% - Accent5 3 2 3 2 3 3" xfId="23111"/>
    <cellStyle name="20% - Accent5 3 2 3 2 4" xfId="11628"/>
    <cellStyle name="20% - Accent5 3 2 3 2 5" xfId="19583"/>
    <cellStyle name="20% - Accent5 3 2 3 2_Exh G" xfId="2494"/>
    <cellStyle name="20% - Accent5 3 2 3 3" xfId="4481"/>
    <cellStyle name="20% - Accent5 3 2 3 3 2" xfId="8073"/>
    <cellStyle name="20% - Accent5 3 2 3 3 2 2" xfId="16044"/>
    <cellStyle name="20% - Accent5 3 2 3 3 2 3" xfId="23990"/>
    <cellStyle name="20% - Accent5 3 2 3 3 3" xfId="12506"/>
    <cellStyle name="20% - Accent5 3 2 3 3 4" xfId="20461"/>
    <cellStyle name="20% - Accent5 3 2 3 4" xfId="6311"/>
    <cellStyle name="20% - Accent5 3 2 3 4 2" xfId="14286"/>
    <cellStyle name="20% - Accent5 3 2 3 4 3" xfId="22233"/>
    <cellStyle name="20% - Accent5 3 2 3 5" xfId="9854"/>
    <cellStyle name="20% - Accent5 3 2 3 5 2" xfId="17812"/>
    <cellStyle name="20% - Accent5 3 2 3 5 3" xfId="25756"/>
    <cellStyle name="20% - Accent5 3 2 3 6" xfId="10750"/>
    <cellStyle name="20% - Accent5 3 2 3 7" xfId="18705"/>
    <cellStyle name="20% - Accent5 3 2 3_Exh G" xfId="2493"/>
    <cellStyle name="20% - Accent5 3 2 4" xfId="1281"/>
    <cellStyle name="20% - Accent5 3 2 4 2" xfId="4811"/>
    <cellStyle name="20% - Accent5 3 2 4 2 2" xfId="8402"/>
    <cellStyle name="20% - Accent5 3 2 4 2 2 2" xfId="16373"/>
    <cellStyle name="20% - Accent5 3 2 4 2 2 3" xfId="24319"/>
    <cellStyle name="20% - Accent5 3 2 4 2 3" xfId="12835"/>
    <cellStyle name="20% - Accent5 3 2 4 2 4" xfId="20790"/>
    <cellStyle name="20% - Accent5 3 2 4 3" xfId="6643"/>
    <cellStyle name="20% - Accent5 3 2 4 3 2" xfId="14615"/>
    <cellStyle name="20% - Accent5 3 2 4 3 3" xfId="22562"/>
    <cellStyle name="20% - Accent5 3 2 4 4" xfId="11079"/>
    <cellStyle name="20% - Accent5 3 2 4 5" xfId="19034"/>
    <cellStyle name="20% - Accent5 3 2 4_Exh G" xfId="2495"/>
    <cellStyle name="20% - Accent5 3 2 5" xfId="3932"/>
    <cellStyle name="20% - Accent5 3 2 5 2" xfId="7524"/>
    <cellStyle name="20% - Accent5 3 2 5 2 2" xfId="15495"/>
    <cellStyle name="20% - Accent5 3 2 5 2 3" xfId="23441"/>
    <cellStyle name="20% - Accent5 3 2 5 3" xfId="11957"/>
    <cellStyle name="20% - Accent5 3 2 5 4" xfId="19912"/>
    <cellStyle name="20% - Accent5 3 2 6" xfId="5752"/>
    <cellStyle name="20% - Accent5 3 2 6 2" xfId="13736"/>
    <cellStyle name="20% - Accent5 3 2 6 3" xfId="21684"/>
    <cellStyle name="20% - Accent5 3 2 7" xfId="9305"/>
    <cellStyle name="20% - Accent5 3 2 7 2" xfId="17263"/>
    <cellStyle name="20% - Accent5 3 2 7 3" xfId="25207"/>
    <cellStyle name="20% - Accent5 3 2 8" xfId="10201"/>
    <cellStyle name="20% - Accent5 3 2 9" xfId="18156"/>
    <cellStyle name="20% - Accent5 3 2_Exh G" xfId="2490"/>
    <cellStyle name="20% - Accent5 3 3" xfId="255"/>
    <cellStyle name="20% - Accent5 3 3 2" xfId="1283"/>
    <cellStyle name="20% - Accent5 3 3 2 2" xfId="4813"/>
    <cellStyle name="20% - Accent5 3 3 2 2 2" xfId="8404"/>
    <cellStyle name="20% - Accent5 3 3 2 2 2 2" xfId="16375"/>
    <cellStyle name="20% - Accent5 3 3 2 2 2 3" xfId="24321"/>
    <cellStyle name="20% - Accent5 3 3 2 2 3" xfId="12837"/>
    <cellStyle name="20% - Accent5 3 3 2 2 4" xfId="20792"/>
    <cellStyle name="20% - Accent5 3 3 2 3" xfId="6645"/>
    <cellStyle name="20% - Accent5 3 3 2 3 2" xfId="14617"/>
    <cellStyle name="20% - Accent5 3 3 2 3 3" xfId="22564"/>
    <cellStyle name="20% - Accent5 3 3 2 4" xfId="11081"/>
    <cellStyle name="20% - Accent5 3 3 2 5" xfId="19036"/>
    <cellStyle name="20% - Accent5 3 3 2_Exh G" xfId="2497"/>
    <cellStyle name="20% - Accent5 3 3 3" xfId="3934"/>
    <cellStyle name="20% - Accent5 3 3 3 2" xfId="7526"/>
    <cellStyle name="20% - Accent5 3 3 3 2 2" xfId="15497"/>
    <cellStyle name="20% - Accent5 3 3 3 2 3" xfId="23443"/>
    <cellStyle name="20% - Accent5 3 3 3 3" xfId="11959"/>
    <cellStyle name="20% - Accent5 3 3 3 4" xfId="19914"/>
    <cellStyle name="20% - Accent5 3 3 4" xfId="5754"/>
    <cellStyle name="20% - Accent5 3 3 4 2" xfId="13738"/>
    <cellStyle name="20% - Accent5 3 3 4 3" xfId="21686"/>
    <cellStyle name="20% - Accent5 3 3 5" xfId="9307"/>
    <cellStyle name="20% - Accent5 3 3 5 2" xfId="17265"/>
    <cellStyle name="20% - Accent5 3 3 5 3" xfId="25209"/>
    <cellStyle name="20% - Accent5 3 3 6" xfId="10203"/>
    <cellStyle name="20% - Accent5 3 3 7" xfId="18158"/>
    <cellStyle name="20% - Accent5 3 3_Exh G" xfId="2496"/>
    <cellStyle name="20% - Accent5 3 4" xfId="913"/>
    <cellStyle name="20% - Accent5 3 4 2" xfId="1841"/>
    <cellStyle name="20% - Accent5 3 4 2 2" xfId="5359"/>
    <cellStyle name="20% - Accent5 3 4 2 2 2" xfId="8950"/>
    <cellStyle name="20% - Accent5 3 4 2 2 2 2" xfId="16921"/>
    <cellStyle name="20% - Accent5 3 4 2 2 2 3" xfId="24867"/>
    <cellStyle name="20% - Accent5 3 4 2 2 3" xfId="13383"/>
    <cellStyle name="20% - Accent5 3 4 2 2 4" xfId="21338"/>
    <cellStyle name="20% - Accent5 3 4 2 3" xfId="7191"/>
    <cellStyle name="20% - Accent5 3 4 2 3 2" xfId="15163"/>
    <cellStyle name="20% - Accent5 3 4 2 3 3" xfId="23110"/>
    <cellStyle name="20% - Accent5 3 4 2 4" xfId="11627"/>
    <cellStyle name="20% - Accent5 3 4 2 5" xfId="19582"/>
    <cellStyle name="20% - Accent5 3 4 2_Exh G" xfId="2499"/>
    <cellStyle name="20% - Accent5 3 4 3" xfId="4480"/>
    <cellStyle name="20% - Accent5 3 4 3 2" xfId="8072"/>
    <cellStyle name="20% - Accent5 3 4 3 2 2" xfId="16043"/>
    <cellStyle name="20% - Accent5 3 4 3 2 3" xfId="23989"/>
    <cellStyle name="20% - Accent5 3 4 3 3" xfId="12505"/>
    <cellStyle name="20% - Accent5 3 4 3 4" xfId="20460"/>
    <cellStyle name="20% - Accent5 3 4 4" xfId="6310"/>
    <cellStyle name="20% - Accent5 3 4 4 2" xfId="14285"/>
    <cellStyle name="20% - Accent5 3 4 4 3" xfId="22232"/>
    <cellStyle name="20% - Accent5 3 4 5" xfId="9853"/>
    <cellStyle name="20% - Accent5 3 4 5 2" xfId="17811"/>
    <cellStyle name="20% - Accent5 3 4 5 3" xfId="25755"/>
    <cellStyle name="20% - Accent5 3 4 6" xfId="10749"/>
    <cellStyle name="20% - Accent5 3 4 7" xfId="18704"/>
    <cellStyle name="20% - Accent5 3 4_Exh G" xfId="2498"/>
    <cellStyle name="20% - Accent5 3 5" xfId="1280"/>
    <cellStyle name="20% - Accent5 3 5 2" xfId="4810"/>
    <cellStyle name="20% - Accent5 3 5 2 2" xfId="8401"/>
    <cellStyle name="20% - Accent5 3 5 2 2 2" xfId="16372"/>
    <cellStyle name="20% - Accent5 3 5 2 2 3" xfId="24318"/>
    <cellStyle name="20% - Accent5 3 5 2 3" xfId="12834"/>
    <cellStyle name="20% - Accent5 3 5 2 4" xfId="20789"/>
    <cellStyle name="20% - Accent5 3 5 3" xfId="6642"/>
    <cellStyle name="20% - Accent5 3 5 3 2" xfId="14614"/>
    <cellStyle name="20% - Accent5 3 5 3 3" xfId="22561"/>
    <cellStyle name="20% - Accent5 3 5 4" xfId="11078"/>
    <cellStyle name="20% - Accent5 3 5 5" xfId="19033"/>
    <cellStyle name="20% - Accent5 3 5_Exh G" xfId="2500"/>
    <cellStyle name="20% - Accent5 3 6" xfId="3931"/>
    <cellStyle name="20% - Accent5 3 6 2" xfId="7523"/>
    <cellStyle name="20% - Accent5 3 6 2 2" xfId="15494"/>
    <cellStyle name="20% - Accent5 3 6 2 3" xfId="23440"/>
    <cellStyle name="20% - Accent5 3 6 3" xfId="11956"/>
    <cellStyle name="20% - Accent5 3 6 4" xfId="19911"/>
    <cellStyle name="20% - Accent5 3 7" xfId="5751"/>
    <cellStyle name="20% - Accent5 3 7 2" xfId="13735"/>
    <cellStyle name="20% - Accent5 3 7 3" xfId="21683"/>
    <cellStyle name="20% - Accent5 3 8" xfId="9304"/>
    <cellStyle name="20% - Accent5 3 8 2" xfId="17262"/>
    <cellStyle name="20% - Accent5 3 8 3" xfId="25206"/>
    <cellStyle name="20% - Accent5 3 9" xfId="10200"/>
    <cellStyle name="20% - Accent5 3_Exh G" xfId="2489"/>
    <cellStyle name="20% - Accent5 4" xfId="256"/>
    <cellStyle name="20% - Accent5 4 10" xfId="18159"/>
    <cellStyle name="20% - Accent5 4 2" xfId="257"/>
    <cellStyle name="20% - Accent5 4 2 2" xfId="258"/>
    <cellStyle name="20% - Accent5 4 2 2 2" xfId="1286"/>
    <cellStyle name="20% - Accent5 4 2 2 2 2" xfId="4816"/>
    <cellStyle name="20% - Accent5 4 2 2 2 2 2" xfId="8407"/>
    <cellStyle name="20% - Accent5 4 2 2 2 2 2 2" xfId="16378"/>
    <cellStyle name="20% - Accent5 4 2 2 2 2 2 3" xfId="24324"/>
    <cellStyle name="20% - Accent5 4 2 2 2 2 3" xfId="12840"/>
    <cellStyle name="20% - Accent5 4 2 2 2 2 4" xfId="20795"/>
    <cellStyle name="20% - Accent5 4 2 2 2 3" xfId="6648"/>
    <cellStyle name="20% - Accent5 4 2 2 2 3 2" xfId="14620"/>
    <cellStyle name="20% - Accent5 4 2 2 2 3 3" xfId="22567"/>
    <cellStyle name="20% - Accent5 4 2 2 2 4" xfId="11084"/>
    <cellStyle name="20% - Accent5 4 2 2 2 5" xfId="19039"/>
    <cellStyle name="20% - Accent5 4 2 2 2_Exh G" xfId="2504"/>
    <cellStyle name="20% - Accent5 4 2 2 3" xfId="3937"/>
    <cellStyle name="20% - Accent5 4 2 2 3 2" xfId="7529"/>
    <cellStyle name="20% - Accent5 4 2 2 3 2 2" xfId="15500"/>
    <cellStyle name="20% - Accent5 4 2 2 3 2 3" xfId="23446"/>
    <cellStyle name="20% - Accent5 4 2 2 3 3" xfId="11962"/>
    <cellStyle name="20% - Accent5 4 2 2 3 4" xfId="19917"/>
    <cellStyle name="20% - Accent5 4 2 2 4" xfId="5757"/>
    <cellStyle name="20% - Accent5 4 2 2 4 2" xfId="13741"/>
    <cellStyle name="20% - Accent5 4 2 2 4 3" xfId="21689"/>
    <cellStyle name="20% - Accent5 4 2 2 5" xfId="9310"/>
    <cellStyle name="20% - Accent5 4 2 2 5 2" xfId="17268"/>
    <cellStyle name="20% - Accent5 4 2 2 5 3" xfId="25212"/>
    <cellStyle name="20% - Accent5 4 2 2 6" xfId="10206"/>
    <cellStyle name="20% - Accent5 4 2 2 7" xfId="18161"/>
    <cellStyle name="20% - Accent5 4 2 2_Exh G" xfId="2503"/>
    <cellStyle name="20% - Accent5 4 2 3" xfId="916"/>
    <cellStyle name="20% - Accent5 4 2 3 2" xfId="1844"/>
    <cellStyle name="20% - Accent5 4 2 3 2 2" xfId="5362"/>
    <cellStyle name="20% - Accent5 4 2 3 2 2 2" xfId="8953"/>
    <cellStyle name="20% - Accent5 4 2 3 2 2 2 2" xfId="16924"/>
    <cellStyle name="20% - Accent5 4 2 3 2 2 2 3" xfId="24870"/>
    <cellStyle name="20% - Accent5 4 2 3 2 2 3" xfId="13386"/>
    <cellStyle name="20% - Accent5 4 2 3 2 2 4" xfId="21341"/>
    <cellStyle name="20% - Accent5 4 2 3 2 3" xfId="7194"/>
    <cellStyle name="20% - Accent5 4 2 3 2 3 2" xfId="15166"/>
    <cellStyle name="20% - Accent5 4 2 3 2 3 3" xfId="23113"/>
    <cellStyle name="20% - Accent5 4 2 3 2 4" xfId="11630"/>
    <cellStyle name="20% - Accent5 4 2 3 2 5" xfId="19585"/>
    <cellStyle name="20% - Accent5 4 2 3 2_Exh G" xfId="2506"/>
    <cellStyle name="20% - Accent5 4 2 3 3" xfId="4483"/>
    <cellStyle name="20% - Accent5 4 2 3 3 2" xfId="8075"/>
    <cellStyle name="20% - Accent5 4 2 3 3 2 2" xfId="16046"/>
    <cellStyle name="20% - Accent5 4 2 3 3 2 3" xfId="23992"/>
    <cellStyle name="20% - Accent5 4 2 3 3 3" xfId="12508"/>
    <cellStyle name="20% - Accent5 4 2 3 3 4" xfId="20463"/>
    <cellStyle name="20% - Accent5 4 2 3 4" xfId="6313"/>
    <cellStyle name="20% - Accent5 4 2 3 4 2" xfId="14288"/>
    <cellStyle name="20% - Accent5 4 2 3 4 3" xfId="22235"/>
    <cellStyle name="20% - Accent5 4 2 3 5" xfId="9856"/>
    <cellStyle name="20% - Accent5 4 2 3 5 2" xfId="17814"/>
    <cellStyle name="20% - Accent5 4 2 3 5 3" xfId="25758"/>
    <cellStyle name="20% - Accent5 4 2 3 6" xfId="10752"/>
    <cellStyle name="20% - Accent5 4 2 3 7" xfId="18707"/>
    <cellStyle name="20% - Accent5 4 2 3_Exh G" xfId="2505"/>
    <cellStyle name="20% - Accent5 4 2 4" xfId="1285"/>
    <cellStyle name="20% - Accent5 4 2 4 2" xfId="4815"/>
    <cellStyle name="20% - Accent5 4 2 4 2 2" xfId="8406"/>
    <cellStyle name="20% - Accent5 4 2 4 2 2 2" xfId="16377"/>
    <cellStyle name="20% - Accent5 4 2 4 2 2 3" xfId="24323"/>
    <cellStyle name="20% - Accent5 4 2 4 2 3" xfId="12839"/>
    <cellStyle name="20% - Accent5 4 2 4 2 4" xfId="20794"/>
    <cellStyle name="20% - Accent5 4 2 4 3" xfId="6647"/>
    <cellStyle name="20% - Accent5 4 2 4 3 2" xfId="14619"/>
    <cellStyle name="20% - Accent5 4 2 4 3 3" xfId="22566"/>
    <cellStyle name="20% - Accent5 4 2 4 4" xfId="11083"/>
    <cellStyle name="20% - Accent5 4 2 4 5" xfId="19038"/>
    <cellStyle name="20% - Accent5 4 2 4_Exh G" xfId="2507"/>
    <cellStyle name="20% - Accent5 4 2 5" xfId="3936"/>
    <cellStyle name="20% - Accent5 4 2 5 2" xfId="7528"/>
    <cellStyle name="20% - Accent5 4 2 5 2 2" xfId="15499"/>
    <cellStyle name="20% - Accent5 4 2 5 2 3" xfId="23445"/>
    <cellStyle name="20% - Accent5 4 2 5 3" xfId="11961"/>
    <cellStyle name="20% - Accent5 4 2 5 4" xfId="19916"/>
    <cellStyle name="20% - Accent5 4 2 6" xfId="5756"/>
    <cellStyle name="20% - Accent5 4 2 6 2" xfId="13740"/>
    <cellStyle name="20% - Accent5 4 2 6 3" xfId="21688"/>
    <cellStyle name="20% - Accent5 4 2 7" xfId="9309"/>
    <cellStyle name="20% - Accent5 4 2 7 2" xfId="17267"/>
    <cellStyle name="20% - Accent5 4 2 7 3" xfId="25211"/>
    <cellStyle name="20% - Accent5 4 2 8" xfId="10205"/>
    <cellStyle name="20% - Accent5 4 2 9" xfId="18160"/>
    <cellStyle name="20% - Accent5 4 2_Exh G" xfId="2502"/>
    <cellStyle name="20% - Accent5 4 3" xfId="259"/>
    <cellStyle name="20% - Accent5 4 3 2" xfId="1287"/>
    <cellStyle name="20% - Accent5 4 3 2 2" xfId="4817"/>
    <cellStyle name="20% - Accent5 4 3 2 2 2" xfId="8408"/>
    <cellStyle name="20% - Accent5 4 3 2 2 2 2" xfId="16379"/>
    <cellStyle name="20% - Accent5 4 3 2 2 2 3" xfId="24325"/>
    <cellStyle name="20% - Accent5 4 3 2 2 3" xfId="12841"/>
    <cellStyle name="20% - Accent5 4 3 2 2 4" xfId="20796"/>
    <cellStyle name="20% - Accent5 4 3 2 3" xfId="6649"/>
    <cellStyle name="20% - Accent5 4 3 2 3 2" xfId="14621"/>
    <cellStyle name="20% - Accent5 4 3 2 3 3" xfId="22568"/>
    <cellStyle name="20% - Accent5 4 3 2 4" xfId="11085"/>
    <cellStyle name="20% - Accent5 4 3 2 5" xfId="19040"/>
    <cellStyle name="20% - Accent5 4 3 2_Exh G" xfId="2509"/>
    <cellStyle name="20% - Accent5 4 3 3" xfId="3938"/>
    <cellStyle name="20% - Accent5 4 3 3 2" xfId="7530"/>
    <cellStyle name="20% - Accent5 4 3 3 2 2" xfId="15501"/>
    <cellStyle name="20% - Accent5 4 3 3 2 3" xfId="23447"/>
    <cellStyle name="20% - Accent5 4 3 3 3" xfId="11963"/>
    <cellStyle name="20% - Accent5 4 3 3 4" xfId="19918"/>
    <cellStyle name="20% - Accent5 4 3 4" xfId="5758"/>
    <cellStyle name="20% - Accent5 4 3 4 2" xfId="13742"/>
    <cellStyle name="20% - Accent5 4 3 4 3" xfId="21690"/>
    <cellStyle name="20% - Accent5 4 3 5" xfId="9311"/>
    <cellStyle name="20% - Accent5 4 3 5 2" xfId="17269"/>
    <cellStyle name="20% - Accent5 4 3 5 3" xfId="25213"/>
    <cellStyle name="20% - Accent5 4 3 6" xfId="10207"/>
    <cellStyle name="20% - Accent5 4 3 7" xfId="18162"/>
    <cellStyle name="20% - Accent5 4 3_Exh G" xfId="2508"/>
    <cellStyle name="20% - Accent5 4 4" xfId="915"/>
    <cellStyle name="20% - Accent5 4 4 2" xfId="1843"/>
    <cellStyle name="20% - Accent5 4 4 2 2" xfId="5361"/>
    <cellStyle name="20% - Accent5 4 4 2 2 2" xfId="8952"/>
    <cellStyle name="20% - Accent5 4 4 2 2 2 2" xfId="16923"/>
    <cellStyle name="20% - Accent5 4 4 2 2 2 3" xfId="24869"/>
    <cellStyle name="20% - Accent5 4 4 2 2 3" xfId="13385"/>
    <cellStyle name="20% - Accent5 4 4 2 2 4" xfId="21340"/>
    <cellStyle name="20% - Accent5 4 4 2 3" xfId="7193"/>
    <cellStyle name="20% - Accent5 4 4 2 3 2" xfId="15165"/>
    <cellStyle name="20% - Accent5 4 4 2 3 3" xfId="23112"/>
    <cellStyle name="20% - Accent5 4 4 2 4" xfId="11629"/>
    <cellStyle name="20% - Accent5 4 4 2 5" xfId="19584"/>
    <cellStyle name="20% - Accent5 4 4 2_Exh G" xfId="2511"/>
    <cellStyle name="20% - Accent5 4 4 3" xfId="4482"/>
    <cellStyle name="20% - Accent5 4 4 3 2" xfId="8074"/>
    <cellStyle name="20% - Accent5 4 4 3 2 2" xfId="16045"/>
    <cellStyle name="20% - Accent5 4 4 3 2 3" xfId="23991"/>
    <cellStyle name="20% - Accent5 4 4 3 3" xfId="12507"/>
    <cellStyle name="20% - Accent5 4 4 3 4" xfId="20462"/>
    <cellStyle name="20% - Accent5 4 4 4" xfId="6312"/>
    <cellStyle name="20% - Accent5 4 4 4 2" xfId="14287"/>
    <cellStyle name="20% - Accent5 4 4 4 3" xfId="22234"/>
    <cellStyle name="20% - Accent5 4 4 5" xfId="9855"/>
    <cellStyle name="20% - Accent5 4 4 5 2" xfId="17813"/>
    <cellStyle name="20% - Accent5 4 4 5 3" xfId="25757"/>
    <cellStyle name="20% - Accent5 4 4 6" xfId="10751"/>
    <cellStyle name="20% - Accent5 4 4 7" xfId="18706"/>
    <cellStyle name="20% - Accent5 4 4_Exh G" xfId="2510"/>
    <cellStyle name="20% - Accent5 4 5" xfId="1284"/>
    <cellStyle name="20% - Accent5 4 5 2" xfId="4814"/>
    <cellStyle name="20% - Accent5 4 5 2 2" xfId="8405"/>
    <cellStyle name="20% - Accent5 4 5 2 2 2" xfId="16376"/>
    <cellStyle name="20% - Accent5 4 5 2 2 3" xfId="24322"/>
    <cellStyle name="20% - Accent5 4 5 2 3" xfId="12838"/>
    <cellStyle name="20% - Accent5 4 5 2 4" xfId="20793"/>
    <cellStyle name="20% - Accent5 4 5 3" xfId="6646"/>
    <cellStyle name="20% - Accent5 4 5 3 2" xfId="14618"/>
    <cellStyle name="20% - Accent5 4 5 3 3" xfId="22565"/>
    <cellStyle name="20% - Accent5 4 5 4" xfId="11082"/>
    <cellStyle name="20% - Accent5 4 5 5" xfId="19037"/>
    <cellStyle name="20% - Accent5 4 5_Exh G" xfId="2512"/>
    <cellStyle name="20% - Accent5 4 6" xfId="3935"/>
    <cellStyle name="20% - Accent5 4 6 2" xfId="7527"/>
    <cellStyle name="20% - Accent5 4 6 2 2" xfId="15498"/>
    <cellStyle name="20% - Accent5 4 6 2 3" xfId="23444"/>
    <cellStyle name="20% - Accent5 4 6 3" xfId="11960"/>
    <cellStyle name="20% - Accent5 4 6 4" xfId="19915"/>
    <cellStyle name="20% - Accent5 4 7" xfId="5755"/>
    <cellStyle name="20% - Accent5 4 7 2" xfId="13739"/>
    <cellStyle name="20% - Accent5 4 7 3" xfId="21687"/>
    <cellStyle name="20% - Accent5 4 8" xfId="9308"/>
    <cellStyle name="20% - Accent5 4 8 2" xfId="17266"/>
    <cellStyle name="20% - Accent5 4 8 3" xfId="25210"/>
    <cellStyle name="20% - Accent5 4 9" xfId="10204"/>
    <cellStyle name="20% - Accent5 4_Exh G" xfId="2501"/>
    <cellStyle name="20% - Accent5 5" xfId="260"/>
    <cellStyle name="20% - Accent5 5 10" xfId="18163"/>
    <cellStyle name="20% - Accent5 5 2" xfId="261"/>
    <cellStyle name="20% - Accent5 5 2 2" xfId="262"/>
    <cellStyle name="20% - Accent5 5 2 2 2" xfId="1290"/>
    <cellStyle name="20% - Accent5 5 2 2 2 2" xfId="4820"/>
    <cellStyle name="20% - Accent5 5 2 2 2 2 2" xfId="8411"/>
    <cellStyle name="20% - Accent5 5 2 2 2 2 2 2" xfId="16382"/>
    <cellStyle name="20% - Accent5 5 2 2 2 2 2 3" xfId="24328"/>
    <cellStyle name="20% - Accent5 5 2 2 2 2 3" xfId="12844"/>
    <cellStyle name="20% - Accent5 5 2 2 2 2 4" xfId="20799"/>
    <cellStyle name="20% - Accent5 5 2 2 2 3" xfId="6652"/>
    <cellStyle name="20% - Accent5 5 2 2 2 3 2" xfId="14624"/>
    <cellStyle name="20% - Accent5 5 2 2 2 3 3" xfId="22571"/>
    <cellStyle name="20% - Accent5 5 2 2 2 4" xfId="11088"/>
    <cellStyle name="20% - Accent5 5 2 2 2 5" xfId="19043"/>
    <cellStyle name="20% - Accent5 5 2 2 2_Exh G" xfId="2516"/>
    <cellStyle name="20% - Accent5 5 2 2 3" xfId="3941"/>
    <cellStyle name="20% - Accent5 5 2 2 3 2" xfId="7533"/>
    <cellStyle name="20% - Accent5 5 2 2 3 2 2" xfId="15504"/>
    <cellStyle name="20% - Accent5 5 2 2 3 2 3" xfId="23450"/>
    <cellStyle name="20% - Accent5 5 2 2 3 3" xfId="11966"/>
    <cellStyle name="20% - Accent5 5 2 2 3 4" xfId="19921"/>
    <cellStyle name="20% - Accent5 5 2 2 4" xfId="5761"/>
    <cellStyle name="20% - Accent5 5 2 2 4 2" xfId="13745"/>
    <cellStyle name="20% - Accent5 5 2 2 4 3" xfId="21693"/>
    <cellStyle name="20% - Accent5 5 2 2 5" xfId="9314"/>
    <cellStyle name="20% - Accent5 5 2 2 5 2" xfId="17272"/>
    <cellStyle name="20% - Accent5 5 2 2 5 3" xfId="25216"/>
    <cellStyle name="20% - Accent5 5 2 2 6" xfId="10210"/>
    <cellStyle name="20% - Accent5 5 2 2 7" xfId="18165"/>
    <cellStyle name="20% - Accent5 5 2 2_Exh G" xfId="2515"/>
    <cellStyle name="20% - Accent5 5 2 3" xfId="1289"/>
    <cellStyle name="20% - Accent5 5 2 3 2" xfId="4819"/>
    <cellStyle name="20% - Accent5 5 2 3 2 2" xfId="8410"/>
    <cellStyle name="20% - Accent5 5 2 3 2 2 2" xfId="16381"/>
    <cellStyle name="20% - Accent5 5 2 3 2 2 3" xfId="24327"/>
    <cellStyle name="20% - Accent5 5 2 3 2 3" xfId="12843"/>
    <cellStyle name="20% - Accent5 5 2 3 2 4" xfId="20798"/>
    <cellStyle name="20% - Accent5 5 2 3 3" xfId="6651"/>
    <cellStyle name="20% - Accent5 5 2 3 3 2" xfId="14623"/>
    <cellStyle name="20% - Accent5 5 2 3 3 3" xfId="22570"/>
    <cellStyle name="20% - Accent5 5 2 3 4" xfId="11087"/>
    <cellStyle name="20% - Accent5 5 2 3 5" xfId="19042"/>
    <cellStyle name="20% - Accent5 5 2 3_Exh G" xfId="2517"/>
    <cellStyle name="20% - Accent5 5 2 4" xfId="3940"/>
    <cellStyle name="20% - Accent5 5 2 4 2" xfId="7532"/>
    <cellStyle name="20% - Accent5 5 2 4 2 2" xfId="15503"/>
    <cellStyle name="20% - Accent5 5 2 4 2 3" xfId="23449"/>
    <cellStyle name="20% - Accent5 5 2 4 3" xfId="11965"/>
    <cellStyle name="20% - Accent5 5 2 4 4" xfId="19920"/>
    <cellStyle name="20% - Accent5 5 2 5" xfId="5760"/>
    <cellStyle name="20% - Accent5 5 2 5 2" xfId="13744"/>
    <cellStyle name="20% - Accent5 5 2 5 3" xfId="21692"/>
    <cellStyle name="20% - Accent5 5 2 6" xfId="9313"/>
    <cellStyle name="20% - Accent5 5 2 6 2" xfId="17271"/>
    <cellStyle name="20% - Accent5 5 2 6 3" xfId="25215"/>
    <cellStyle name="20% - Accent5 5 2 7" xfId="10209"/>
    <cellStyle name="20% - Accent5 5 2 8" xfId="18164"/>
    <cellStyle name="20% - Accent5 5 2_Exh G" xfId="2514"/>
    <cellStyle name="20% - Accent5 5 3" xfId="263"/>
    <cellStyle name="20% - Accent5 5 3 2" xfId="1291"/>
    <cellStyle name="20% - Accent5 5 3 2 2" xfId="4821"/>
    <cellStyle name="20% - Accent5 5 3 2 2 2" xfId="8412"/>
    <cellStyle name="20% - Accent5 5 3 2 2 2 2" xfId="16383"/>
    <cellStyle name="20% - Accent5 5 3 2 2 2 3" xfId="24329"/>
    <cellStyle name="20% - Accent5 5 3 2 2 3" xfId="12845"/>
    <cellStyle name="20% - Accent5 5 3 2 2 4" xfId="20800"/>
    <cellStyle name="20% - Accent5 5 3 2 3" xfId="6653"/>
    <cellStyle name="20% - Accent5 5 3 2 3 2" xfId="14625"/>
    <cellStyle name="20% - Accent5 5 3 2 3 3" xfId="22572"/>
    <cellStyle name="20% - Accent5 5 3 2 4" xfId="11089"/>
    <cellStyle name="20% - Accent5 5 3 2 5" xfId="19044"/>
    <cellStyle name="20% - Accent5 5 3 2_Exh G" xfId="2519"/>
    <cellStyle name="20% - Accent5 5 3 3" xfId="3942"/>
    <cellStyle name="20% - Accent5 5 3 3 2" xfId="7534"/>
    <cellStyle name="20% - Accent5 5 3 3 2 2" xfId="15505"/>
    <cellStyle name="20% - Accent5 5 3 3 2 3" xfId="23451"/>
    <cellStyle name="20% - Accent5 5 3 3 3" xfId="11967"/>
    <cellStyle name="20% - Accent5 5 3 3 4" xfId="19922"/>
    <cellStyle name="20% - Accent5 5 3 4" xfId="5762"/>
    <cellStyle name="20% - Accent5 5 3 4 2" xfId="13746"/>
    <cellStyle name="20% - Accent5 5 3 4 3" xfId="21694"/>
    <cellStyle name="20% - Accent5 5 3 5" xfId="9315"/>
    <cellStyle name="20% - Accent5 5 3 5 2" xfId="17273"/>
    <cellStyle name="20% - Accent5 5 3 5 3" xfId="25217"/>
    <cellStyle name="20% - Accent5 5 3 6" xfId="10211"/>
    <cellStyle name="20% - Accent5 5 3 7" xfId="18166"/>
    <cellStyle name="20% - Accent5 5 3_Exh G" xfId="2518"/>
    <cellStyle name="20% - Accent5 5 4" xfId="917"/>
    <cellStyle name="20% - Accent5 5 5" xfId="1288"/>
    <cellStyle name="20% - Accent5 5 5 2" xfId="4818"/>
    <cellStyle name="20% - Accent5 5 5 2 2" xfId="8409"/>
    <cellStyle name="20% - Accent5 5 5 2 2 2" xfId="16380"/>
    <cellStyle name="20% - Accent5 5 5 2 2 3" xfId="24326"/>
    <cellStyle name="20% - Accent5 5 5 2 3" xfId="12842"/>
    <cellStyle name="20% - Accent5 5 5 2 4" xfId="20797"/>
    <cellStyle name="20% - Accent5 5 5 3" xfId="6650"/>
    <cellStyle name="20% - Accent5 5 5 3 2" xfId="14622"/>
    <cellStyle name="20% - Accent5 5 5 3 3" xfId="22569"/>
    <cellStyle name="20% - Accent5 5 5 4" xfId="11086"/>
    <cellStyle name="20% - Accent5 5 5 5" xfId="19041"/>
    <cellStyle name="20% - Accent5 5 5_Exh G" xfId="2520"/>
    <cellStyle name="20% - Accent5 5 6" xfId="3939"/>
    <cellStyle name="20% - Accent5 5 6 2" xfId="7531"/>
    <cellStyle name="20% - Accent5 5 6 2 2" xfId="15502"/>
    <cellStyle name="20% - Accent5 5 6 2 3" xfId="23448"/>
    <cellStyle name="20% - Accent5 5 6 3" xfId="11964"/>
    <cellStyle name="20% - Accent5 5 6 4" xfId="19919"/>
    <cellStyle name="20% - Accent5 5 7" xfId="5759"/>
    <cellStyle name="20% - Accent5 5 7 2" xfId="13743"/>
    <cellStyle name="20% - Accent5 5 7 3" xfId="21691"/>
    <cellStyle name="20% - Accent5 5 8" xfId="9312"/>
    <cellStyle name="20% - Accent5 5 8 2" xfId="17270"/>
    <cellStyle name="20% - Accent5 5 8 3" xfId="25214"/>
    <cellStyle name="20% - Accent5 5 9" xfId="10208"/>
    <cellStyle name="20% - Accent5 5_Exh G" xfId="2513"/>
    <cellStyle name="20% - Accent5 6" xfId="264"/>
    <cellStyle name="20% - Accent5 6 10" xfId="18167"/>
    <cellStyle name="20% - Accent5 6 2" xfId="265"/>
    <cellStyle name="20% - Accent5 6 2 2" xfId="266"/>
    <cellStyle name="20% - Accent5 6 2 2 2" xfId="1294"/>
    <cellStyle name="20% - Accent5 6 2 2 2 2" xfId="4824"/>
    <cellStyle name="20% - Accent5 6 2 2 2 2 2" xfId="8415"/>
    <cellStyle name="20% - Accent5 6 2 2 2 2 2 2" xfId="16386"/>
    <cellStyle name="20% - Accent5 6 2 2 2 2 2 3" xfId="24332"/>
    <cellStyle name="20% - Accent5 6 2 2 2 2 3" xfId="12848"/>
    <cellStyle name="20% - Accent5 6 2 2 2 2 4" xfId="20803"/>
    <cellStyle name="20% - Accent5 6 2 2 2 3" xfId="6656"/>
    <cellStyle name="20% - Accent5 6 2 2 2 3 2" xfId="14628"/>
    <cellStyle name="20% - Accent5 6 2 2 2 3 3" xfId="22575"/>
    <cellStyle name="20% - Accent5 6 2 2 2 4" xfId="11092"/>
    <cellStyle name="20% - Accent5 6 2 2 2 5" xfId="19047"/>
    <cellStyle name="20% - Accent5 6 2 2 2_Exh G" xfId="2524"/>
    <cellStyle name="20% - Accent5 6 2 2 3" xfId="3945"/>
    <cellStyle name="20% - Accent5 6 2 2 3 2" xfId="7537"/>
    <cellStyle name="20% - Accent5 6 2 2 3 2 2" xfId="15508"/>
    <cellStyle name="20% - Accent5 6 2 2 3 2 3" xfId="23454"/>
    <cellStyle name="20% - Accent5 6 2 2 3 3" xfId="11970"/>
    <cellStyle name="20% - Accent5 6 2 2 3 4" xfId="19925"/>
    <cellStyle name="20% - Accent5 6 2 2 4" xfId="5765"/>
    <cellStyle name="20% - Accent5 6 2 2 4 2" xfId="13749"/>
    <cellStyle name="20% - Accent5 6 2 2 4 3" xfId="21697"/>
    <cellStyle name="20% - Accent5 6 2 2 5" xfId="9318"/>
    <cellStyle name="20% - Accent5 6 2 2 5 2" xfId="17276"/>
    <cellStyle name="20% - Accent5 6 2 2 5 3" xfId="25220"/>
    <cellStyle name="20% - Accent5 6 2 2 6" xfId="10214"/>
    <cellStyle name="20% - Accent5 6 2 2 7" xfId="18169"/>
    <cellStyle name="20% - Accent5 6 2 2_Exh G" xfId="2523"/>
    <cellStyle name="20% - Accent5 6 2 3" xfId="1293"/>
    <cellStyle name="20% - Accent5 6 2 3 2" xfId="4823"/>
    <cellStyle name="20% - Accent5 6 2 3 2 2" xfId="8414"/>
    <cellStyle name="20% - Accent5 6 2 3 2 2 2" xfId="16385"/>
    <cellStyle name="20% - Accent5 6 2 3 2 2 3" xfId="24331"/>
    <cellStyle name="20% - Accent5 6 2 3 2 3" xfId="12847"/>
    <cellStyle name="20% - Accent5 6 2 3 2 4" xfId="20802"/>
    <cellStyle name="20% - Accent5 6 2 3 3" xfId="6655"/>
    <cellStyle name="20% - Accent5 6 2 3 3 2" xfId="14627"/>
    <cellStyle name="20% - Accent5 6 2 3 3 3" xfId="22574"/>
    <cellStyle name="20% - Accent5 6 2 3 4" xfId="11091"/>
    <cellStyle name="20% - Accent5 6 2 3 5" xfId="19046"/>
    <cellStyle name="20% - Accent5 6 2 3_Exh G" xfId="2525"/>
    <cellStyle name="20% - Accent5 6 2 4" xfId="3944"/>
    <cellStyle name="20% - Accent5 6 2 4 2" xfId="7536"/>
    <cellStyle name="20% - Accent5 6 2 4 2 2" xfId="15507"/>
    <cellStyle name="20% - Accent5 6 2 4 2 3" xfId="23453"/>
    <cellStyle name="20% - Accent5 6 2 4 3" xfId="11969"/>
    <cellStyle name="20% - Accent5 6 2 4 4" xfId="19924"/>
    <cellStyle name="20% - Accent5 6 2 5" xfId="5764"/>
    <cellStyle name="20% - Accent5 6 2 5 2" xfId="13748"/>
    <cellStyle name="20% - Accent5 6 2 5 3" xfId="21696"/>
    <cellStyle name="20% - Accent5 6 2 6" xfId="9317"/>
    <cellStyle name="20% - Accent5 6 2 6 2" xfId="17275"/>
    <cellStyle name="20% - Accent5 6 2 6 3" xfId="25219"/>
    <cellStyle name="20% - Accent5 6 2 7" xfId="10213"/>
    <cellStyle name="20% - Accent5 6 2 8" xfId="18168"/>
    <cellStyle name="20% - Accent5 6 2_Exh G" xfId="2522"/>
    <cellStyle name="20% - Accent5 6 3" xfId="267"/>
    <cellStyle name="20% - Accent5 6 3 2" xfId="1295"/>
    <cellStyle name="20% - Accent5 6 3 2 2" xfId="4825"/>
    <cellStyle name="20% - Accent5 6 3 2 2 2" xfId="8416"/>
    <cellStyle name="20% - Accent5 6 3 2 2 2 2" xfId="16387"/>
    <cellStyle name="20% - Accent5 6 3 2 2 2 3" xfId="24333"/>
    <cellStyle name="20% - Accent5 6 3 2 2 3" xfId="12849"/>
    <cellStyle name="20% - Accent5 6 3 2 2 4" xfId="20804"/>
    <cellStyle name="20% - Accent5 6 3 2 3" xfId="6657"/>
    <cellStyle name="20% - Accent5 6 3 2 3 2" xfId="14629"/>
    <cellStyle name="20% - Accent5 6 3 2 3 3" xfId="22576"/>
    <cellStyle name="20% - Accent5 6 3 2 4" xfId="11093"/>
    <cellStyle name="20% - Accent5 6 3 2 5" xfId="19048"/>
    <cellStyle name="20% - Accent5 6 3 2_Exh G" xfId="2527"/>
    <cellStyle name="20% - Accent5 6 3 3" xfId="3946"/>
    <cellStyle name="20% - Accent5 6 3 3 2" xfId="7538"/>
    <cellStyle name="20% - Accent5 6 3 3 2 2" xfId="15509"/>
    <cellStyle name="20% - Accent5 6 3 3 2 3" xfId="23455"/>
    <cellStyle name="20% - Accent5 6 3 3 3" xfId="11971"/>
    <cellStyle name="20% - Accent5 6 3 3 4" xfId="19926"/>
    <cellStyle name="20% - Accent5 6 3 4" xfId="5766"/>
    <cellStyle name="20% - Accent5 6 3 4 2" xfId="13750"/>
    <cellStyle name="20% - Accent5 6 3 4 3" xfId="21698"/>
    <cellStyle name="20% - Accent5 6 3 5" xfId="9319"/>
    <cellStyle name="20% - Accent5 6 3 5 2" xfId="17277"/>
    <cellStyle name="20% - Accent5 6 3 5 3" xfId="25221"/>
    <cellStyle name="20% - Accent5 6 3 6" xfId="10215"/>
    <cellStyle name="20% - Accent5 6 3 7" xfId="18170"/>
    <cellStyle name="20% - Accent5 6 3_Exh G" xfId="2526"/>
    <cellStyle name="20% - Accent5 6 4" xfId="918"/>
    <cellStyle name="20% - Accent5 6 4 2" xfId="1845"/>
    <cellStyle name="20% - Accent5 6 4 2 2" xfId="5363"/>
    <cellStyle name="20% - Accent5 6 4 2 2 2" xfId="8954"/>
    <cellStyle name="20% - Accent5 6 4 2 2 2 2" xfId="16925"/>
    <cellStyle name="20% - Accent5 6 4 2 2 2 3" xfId="24871"/>
    <cellStyle name="20% - Accent5 6 4 2 2 3" xfId="13387"/>
    <cellStyle name="20% - Accent5 6 4 2 2 4" xfId="21342"/>
    <cellStyle name="20% - Accent5 6 4 2 3" xfId="7195"/>
    <cellStyle name="20% - Accent5 6 4 2 3 2" xfId="15167"/>
    <cellStyle name="20% - Accent5 6 4 2 3 3" xfId="23114"/>
    <cellStyle name="20% - Accent5 6 4 2 4" xfId="11631"/>
    <cellStyle name="20% - Accent5 6 4 2 5" xfId="19586"/>
    <cellStyle name="20% - Accent5 6 4 2_Exh G" xfId="2529"/>
    <cellStyle name="20% - Accent5 6 4 3" xfId="4484"/>
    <cellStyle name="20% - Accent5 6 4 3 2" xfId="8076"/>
    <cellStyle name="20% - Accent5 6 4 3 2 2" xfId="16047"/>
    <cellStyle name="20% - Accent5 6 4 3 2 3" xfId="23993"/>
    <cellStyle name="20% - Accent5 6 4 3 3" xfId="12509"/>
    <cellStyle name="20% - Accent5 6 4 3 4" xfId="20464"/>
    <cellStyle name="20% - Accent5 6 4 4" xfId="6314"/>
    <cellStyle name="20% - Accent5 6 4 4 2" xfId="14289"/>
    <cellStyle name="20% - Accent5 6 4 4 3" xfId="22236"/>
    <cellStyle name="20% - Accent5 6 4 5" xfId="9857"/>
    <cellStyle name="20% - Accent5 6 4 5 2" xfId="17815"/>
    <cellStyle name="20% - Accent5 6 4 5 3" xfId="25759"/>
    <cellStyle name="20% - Accent5 6 4 6" xfId="10753"/>
    <cellStyle name="20% - Accent5 6 4 7" xfId="18708"/>
    <cellStyle name="20% - Accent5 6 4_Exh G" xfId="2528"/>
    <cellStyle name="20% - Accent5 6 5" xfId="1292"/>
    <cellStyle name="20% - Accent5 6 5 2" xfId="4822"/>
    <cellStyle name="20% - Accent5 6 5 2 2" xfId="8413"/>
    <cellStyle name="20% - Accent5 6 5 2 2 2" xfId="16384"/>
    <cellStyle name="20% - Accent5 6 5 2 2 3" xfId="24330"/>
    <cellStyle name="20% - Accent5 6 5 2 3" xfId="12846"/>
    <cellStyle name="20% - Accent5 6 5 2 4" xfId="20801"/>
    <cellStyle name="20% - Accent5 6 5 3" xfId="6654"/>
    <cellStyle name="20% - Accent5 6 5 3 2" xfId="14626"/>
    <cellStyle name="20% - Accent5 6 5 3 3" xfId="22573"/>
    <cellStyle name="20% - Accent5 6 5 4" xfId="11090"/>
    <cellStyle name="20% - Accent5 6 5 5" xfId="19045"/>
    <cellStyle name="20% - Accent5 6 5_Exh G" xfId="2530"/>
    <cellStyle name="20% - Accent5 6 6" xfId="3943"/>
    <cellStyle name="20% - Accent5 6 6 2" xfId="7535"/>
    <cellStyle name="20% - Accent5 6 6 2 2" xfId="15506"/>
    <cellStyle name="20% - Accent5 6 6 2 3" xfId="23452"/>
    <cellStyle name="20% - Accent5 6 6 3" xfId="11968"/>
    <cellStyle name="20% - Accent5 6 6 4" xfId="19923"/>
    <cellStyle name="20% - Accent5 6 7" xfId="5763"/>
    <cellStyle name="20% - Accent5 6 7 2" xfId="13747"/>
    <cellStyle name="20% - Accent5 6 7 3" xfId="21695"/>
    <cellStyle name="20% - Accent5 6 8" xfId="9316"/>
    <cellStyle name="20% - Accent5 6 8 2" xfId="17274"/>
    <cellStyle name="20% - Accent5 6 8 3" xfId="25218"/>
    <cellStyle name="20% - Accent5 6 9" xfId="10212"/>
    <cellStyle name="20% - Accent5 6_Exh G" xfId="2521"/>
    <cellStyle name="20% - Accent5 7" xfId="268"/>
    <cellStyle name="20% - Accent5 7 10" xfId="18171"/>
    <cellStyle name="20% - Accent5 7 2" xfId="269"/>
    <cellStyle name="20% - Accent5 7 2 2" xfId="270"/>
    <cellStyle name="20% - Accent5 7 2 2 2" xfId="1298"/>
    <cellStyle name="20% - Accent5 7 2 2 2 2" xfId="4828"/>
    <cellStyle name="20% - Accent5 7 2 2 2 2 2" xfId="8419"/>
    <cellStyle name="20% - Accent5 7 2 2 2 2 2 2" xfId="16390"/>
    <cellStyle name="20% - Accent5 7 2 2 2 2 2 3" xfId="24336"/>
    <cellStyle name="20% - Accent5 7 2 2 2 2 3" xfId="12852"/>
    <cellStyle name="20% - Accent5 7 2 2 2 2 4" xfId="20807"/>
    <cellStyle name="20% - Accent5 7 2 2 2 3" xfId="6660"/>
    <cellStyle name="20% - Accent5 7 2 2 2 3 2" xfId="14632"/>
    <cellStyle name="20% - Accent5 7 2 2 2 3 3" xfId="22579"/>
    <cellStyle name="20% - Accent5 7 2 2 2 4" xfId="11096"/>
    <cellStyle name="20% - Accent5 7 2 2 2 5" xfId="19051"/>
    <cellStyle name="20% - Accent5 7 2 2 2_Exh G" xfId="2534"/>
    <cellStyle name="20% - Accent5 7 2 2 3" xfId="3949"/>
    <cellStyle name="20% - Accent5 7 2 2 3 2" xfId="7541"/>
    <cellStyle name="20% - Accent5 7 2 2 3 2 2" xfId="15512"/>
    <cellStyle name="20% - Accent5 7 2 2 3 2 3" xfId="23458"/>
    <cellStyle name="20% - Accent5 7 2 2 3 3" xfId="11974"/>
    <cellStyle name="20% - Accent5 7 2 2 3 4" xfId="19929"/>
    <cellStyle name="20% - Accent5 7 2 2 4" xfId="5769"/>
    <cellStyle name="20% - Accent5 7 2 2 4 2" xfId="13753"/>
    <cellStyle name="20% - Accent5 7 2 2 4 3" xfId="21701"/>
    <cellStyle name="20% - Accent5 7 2 2 5" xfId="9322"/>
    <cellStyle name="20% - Accent5 7 2 2 5 2" xfId="17280"/>
    <cellStyle name="20% - Accent5 7 2 2 5 3" xfId="25224"/>
    <cellStyle name="20% - Accent5 7 2 2 6" xfId="10218"/>
    <cellStyle name="20% - Accent5 7 2 2 7" xfId="18173"/>
    <cellStyle name="20% - Accent5 7 2 2_Exh G" xfId="2533"/>
    <cellStyle name="20% - Accent5 7 2 3" xfId="1297"/>
    <cellStyle name="20% - Accent5 7 2 3 2" xfId="4827"/>
    <cellStyle name="20% - Accent5 7 2 3 2 2" xfId="8418"/>
    <cellStyle name="20% - Accent5 7 2 3 2 2 2" xfId="16389"/>
    <cellStyle name="20% - Accent5 7 2 3 2 2 3" xfId="24335"/>
    <cellStyle name="20% - Accent5 7 2 3 2 3" xfId="12851"/>
    <cellStyle name="20% - Accent5 7 2 3 2 4" xfId="20806"/>
    <cellStyle name="20% - Accent5 7 2 3 3" xfId="6659"/>
    <cellStyle name="20% - Accent5 7 2 3 3 2" xfId="14631"/>
    <cellStyle name="20% - Accent5 7 2 3 3 3" xfId="22578"/>
    <cellStyle name="20% - Accent5 7 2 3 4" xfId="11095"/>
    <cellStyle name="20% - Accent5 7 2 3 5" xfId="19050"/>
    <cellStyle name="20% - Accent5 7 2 3_Exh G" xfId="2535"/>
    <cellStyle name="20% - Accent5 7 2 4" xfId="3948"/>
    <cellStyle name="20% - Accent5 7 2 4 2" xfId="7540"/>
    <cellStyle name="20% - Accent5 7 2 4 2 2" xfId="15511"/>
    <cellStyle name="20% - Accent5 7 2 4 2 3" xfId="23457"/>
    <cellStyle name="20% - Accent5 7 2 4 3" xfId="11973"/>
    <cellStyle name="20% - Accent5 7 2 4 4" xfId="19928"/>
    <cellStyle name="20% - Accent5 7 2 5" xfId="5768"/>
    <cellStyle name="20% - Accent5 7 2 5 2" xfId="13752"/>
    <cellStyle name="20% - Accent5 7 2 5 3" xfId="21700"/>
    <cellStyle name="20% - Accent5 7 2 6" xfId="9321"/>
    <cellStyle name="20% - Accent5 7 2 6 2" xfId="17279"/>
    <cellStyle name="20% - Accent5 7 2 6 3" xfId="25223"/>
    <cellStyle name="20% - Accent5 7 2 7" xfId="10217"/>
    <cellStyle name="20% - Accent5 7 2 8" xfId="18172"/>
    <cellStyle name="20% - Accent5 7 2_Exh G" xfId="2532"/>
    <cellStyle name="20% - Accent5 7 3" xfId="271"/>
    <cellStyle name="20% - Accent5 7 3 2" xfId="1299"/>
    <cellStyle name="20% - Accent5 7 3 2 2" xfId="4829"/>
    <cellStyle name="20% - Accent5 7 3 2 2 2" xfId="8420"/>
    <cellStyle name="20% - Accent5 7 3 2 2 2 2" xfId="16391"/>
    <cellStyle name="20% - Accent5 7 3 2 2 2 3" xfId="24337"/>
    <cellStyle name="20% - Accent5 7 3 2 2 3" xfId="12853"/>
    <cellStyle name="20% - Accent5 7 3 2 2 4" xfId="20808"/>
    <cellStyle name="20% - Accent5 7 3 2 3" xfId="6661"/>
    <cellStyle name="20% - Accent5 7 3 2 3 2" xfId="14633"/>
    <cellStyle name="20% - Accent5 7 3 2 3 3" xfId="22580"/>
    <cellStyle name="20% - Accent5 7 3 2 4" xfId="11097"/>
    <cellStyle name="20% - Accent5 7 3 2 5" xfId="19052"/>
    <cellStyle name="20% - Accent5 7 3 2_Exh G" xfId="2537"/>
    <cellStyle name="20% - Accent5 7 3 3" xfId="3950"/>
    <cellStyle name="20% - Accent5 7 3 3 2" xfId="7542"/>
    <cellStyle name="20% - Accent5 7 3 3 2 2" xfId="15513"/>
    <cellStyle name="20% - Accent5 7 3 3 2 3" xfId="23459"/>
    <cellStyle name="20% - Accent5 7 3 3 3" xfId="11975"/>
    <cellStyle name="20% - Accent5 7 3 3 4" xfId="19930"/>
    <cellStyle name="20% - Accent5 7 3 4" xfId="5770"/>
    <cellStyle name="20% - Accent5 7 3 4 2" xfId="13754"/>
    <cellStyle name="20% - Accent5 7 3 4 3" xfId="21702"/>
    <cellStyle name="20% - Accent5 7 3 5" xfId="9323"/>
    <cellStyle name="20% - Accent5 7 3 5 2" xfId="17281"/>
    <cellStyle name="20% - Accent5 7 3 5 3" xfId="25225"/>
    <cellStyle name="20% - Accent5 7 3 6" xfId="10219"/>
    <cellStyle name="20% - Accent5 7 3 7" xfId="18174"/>
    <cellStyle name="20% - Accent5 7 3_Exh G" xfId="2536"/>
    <cellStyle name="20% - Accent5 7 4" xfId="919"/>
    <cellStyle name="20% - Accent5 7 4 2" xfId="1846"/>
    <cellStyle name="20% - Accent5 7 4 2 2" xfId="5364"/>
    <cellStyle name="20% - Accent5 7 4 2 2 2" xfId="8955"/>
    <cellStyle name="20% - Accent5 7 4 2 2 2 2" xfId="16926"/>
    <cellStyle name="20% - Accent5 7 4 2 2 2 3" xfId="24872"/>
    <cellStyle name="20% - Accent5 7 4 2 2 3" xfId="13388"/>
    <cellStyle name="20% - Accent5 7 4 2 2 4" xfId="21343"/>
    <cellStyle name="20% - Accent5 7 4 2 3" xfId="7196"/>
    <cellStyle name="20% - Accent5 7 4 2 3 2" xfId="15168"/>
    <cellStyle name="20% - Accent5 7 4 2 3 3" xfId="23115"/>
    <cellStyle name="20% - Accent5 7 4 2 4" xfId="11632"/>
    <cellStyle name="20% - Accent5 7 4 2 5" xfId="19587"/>
    <cellStyle name="20% - Accent5 7 4 2_Exh G" xfId="2539"/>
    <cellStyle name="20% - Accent5 7 4 3" xfId="4485"/>
    <cellStyle name="20% - Accent5 7 4 3 2" xfId="8077"/>
    <cellStyle name="20% - Accent5 7 4 3 2 2" xfId="16048"/>
    <cellStyle name="20% - Accent5 7 4 3 2 3" xfId="23994"/>
    <cellStyle name="20% - Accent5 7 4 3 3" xfId="12510"/>
    <cellStyle name="20% - Accent5 7 4 3 4" xfId="20465"/>
    <cellStyle name="20% - Accent5 7 4 4" xfId="6315"/>
    <cellStyle name="20% - Accent5 7 4 4 2" xfId="14290"/>
    <cellStyle name="20% - Accent5 7 4 4 3" xfId="22237"/>
    <cellStyle name="20% - Accent5 7 4 5" xfId="9858"/>
    <cellStyle name="20% - Accent5 7 4 5 2" xfId="17816"/>
    <cellStyle name="20% - Accent5 7 4 5 3" xfId="25760"/>
    <cellStyle name="20% - Accent5 7 4 6" xfId="10754"/>
    <cellStyle name="20% - Accent5 7 4 7" xfId="18709"/>
    <cellStyle name="20% - Accent5 7 4_Exh G" xfId="2538"/>
    <cellStyle name="20% - Accent5 7 5" xfId="1296"/>
    <cellStyle name="20% - Accent5 7 5 2" xfId="4826"/>
    <cellStyle name="20% - Accent5 7 5 2 2" xfId="8417"/>
    <cellStyle name="20% - Accent5 7 5 2 2 2" xfId="16388"/>
    <cellStyle name="20% - Accent5 7 5 2 2 3" xfId="24334"/>
    <cellStyle name="20% - Accent5 7 5 2 3" xfId="12850"/>
    <cellStyle name="20% - Accent5 7 5 2 4" xfId="20805"/>
    <cellStyle name="20% - Accent5 7 5 3" xfId="6658"/>
    <cellStyle name="20% - Accent5 7 5 3 2" xfId="14630"/>
    <cellStyle name="20% - Accent5 7 5 3 3" xfId="22577"/>
    <cellStyle name="20% - Accent5 7 5 4" xfId="11094"/>
    <cellStyle name="20% - Accent5 7 5 5" xfId="19049"/>
    <cellStyle name="20% - Accent5 7 5_Exh G" xfId="2540"/>
    <cellStyle name="20% - Accent5 7 6" xfId="3947"/>
    <cellStyle name="20% - Accent5 7 6 2" xfId="7539"/>
    <cellStyle name="20% - Accent5 7 6 2 2" xfId="15510"/>
    <cellStyle name="20% - Accent5 7 6 2 3" xfId="23456"/>
    <cellStyle name="20% - Accent5 7 6 3" xfId="11972"/>
    <cellStyle name="20% - Accent5 7 6 4" xfId="19927"/>
    <cellStyle name="20% - Accent5 7 7" xfId="5767"/>
    <cellStyle name="20% - Accent5 7 7 2" xfId="13751"/>
    <cellStyle name="20% - Accent5 7 7 3" xfId="21699"/>
    <cellStyle name="20% - Accent5 7 8" xfId="9320"/>
    <cellStyle name="20% - Accent5 7 8 2" xfId="17278"/>
    <cellStyle name="20% - Accent5 7 8 3" xfId="25222"/>
    <cellStyle name="20% - Accent5 7 9" xfId="10216"/>
    <cellStyle name="20% - Accent5 7_Exh G" xfId="2531"/>
    <cellStyle name="20% - Accent5 8" xfId="272"/>
    <cellStyle name="20% - Accent5 8 10" xfId="18175"/>
    <cellStyle name="20% - Accent5 8 2" xfId="273"/>
    <cellStyle name="20% - Accent5 8 2 2" xfId="274"/>
    <cellStyle name="20% - Accent5 8 2 2 2" xfId="1302"/>
    <cellStyle name="20% - Accent5 8 2 2 2 2" xfId="4832"/>
    <cellStyle name="20% - Accent5 8 2 2 2 2 2" xfId="8423"/>
    <cellStyle name="20% - Accent5 8 2 2 2 2 2 2" xfId="16394"/>
    <cellStyle name="20% - Accent5 8 2 2 2 2 2 3" xfId="24340"/>
    <cellStyle name="20% - Accent5 8 2 2 2 2 3" xfId="12856"/>
    <cellStyle name="20% - Accent5 8 2 2 2 2 4" xfId="20811"/>
    <cellStyle name="20% - Accent5 8 2 2 2 3" xfId="6664"/>
    <cellStyle name="20% - Accent5 8 2 2 2 3 2" xfId="14636"/>
    <cellStyle name="20% - Accent5 8 2 2 2 3 3" xfId="22583"/>
    <cellStyle name="20% - Accent5 8 2 2 2 4" xfId="11100"/>
    <cellStyle name="20% - Accent5 8 2 2 2 5" xfId="19055"/>
    <cellStyle name="20% - Accent5 8 2 2 2_Exh G" xfId="2544"/>
    <cellStyle name="20% - Accent5 8 2 2 3" xfId="3953"/>
    <cellStyle name="20% - Accent5 8 2 2 3 2" xfId="7545"/>
    <cellStyle name="20% - Accent5 8 2 2 3 2 2" xfId="15516"/>
    <cellStyle name="20% - Accent5 8 2 2 3 2 3" xfId="23462"/>
    <cellStyle name="20% - Accent5 8 2 2 3 3" xfId="11978"/>
    <cellStyle name="20% - Accent5 8 2 2 3 4" xfId="19933"/>
    <cellStyle name="20% - Accent5 8 2 2 4" xfId="5773"/>
    <cellStyle name="20% - Accent5 8 2 2 4 2" xfId="13757"/>
    <cellStyle name="20% - Accent5 8 2 2 4 3" xfId="21705"/>
    <cellStyle name="20% - Accent5 8 2 2 5" xfId="9326"/>
    <cellStyle name="20% - Accent5 8 2 2 5 2" xfId="17284"/>
    <cellStyle name="20% - Accent5 8 2 2 5 3" xfId="25228"/>
    <cellStyle name="20% - Accent5 8 2 2 6" xfId="10222"/>
    <cellStyle name="20% - Accent5 8 2 2 7" xfId="18177"/>
    <cellStyle name="20% - Accent5 8 2 2_Exh G" xfId="2543"/>
    <cellStyle name="20% - Accent5 8 2 3" xfId="1301"/>
    <cellStyle name="20% - Accent5 8 2 3 2" xfId="4831"/>
    <cellStyle name="20% - Accent5 8 2 3 2 2" xfId="8422"/>
    <cellStyle name="20% - Accent5 8 2 3 2 2 2" xfId="16393"/>
    <cellStyle name="20% - Accent5 8 2 3 2 2 3" xfId="24339"/>
    <cellStyle name="20% - Accent5 8 2 3 2 3" xfId="12855"/>
    <cellStyle name="20% - Accent5 8 2 3 2 4" xfId="20810"/>
    <cellStyle name="20% - Accent5 8 2 3 3" xfId="6663"/>
    <cellStyle name="20% - Accent5 8 2 3 3 2" xfId="14635"/>
    <cellStyle name="20% - Accent5 8 2 3 3 3" xfId="22582"/>
    <cellStyle name="20% - Accent5 8 2 3 4" xfId="11099"/>
    <cellStyle name="20% - Accent5 8 2 3 5" xfId="19054"/>
    <cellStyle name="20% - Accent5 8 2 3_Exh G" xfId="2545"/>
    <cellStyle name="20% - Accent5 8 2 4" xfId="3952"/>
    <cellStyle name="20% - Accent5 8 2 4 2" xfId="7544"/>
    <cellStyle name="20% - Accent5 8 2 4 2 2" xfId="15515"/>
    <cellStyle name="20% - Accent5 8 2 4 2 3" xfId="23461"/>
    <cellStyle name="20% - Accent5 8 2 4 3" xfId="11977"/>
    <cellStyle name="20% - Accent5 8 2 4 4" xfId="19932"/>
    <cellStyle name="20% - Accent5 8 2 5" xfId="5772"/>
    <cellStyle name="20% - Accent5 8 2 5 2" xfId="13756"/>
    <cellStyle name="20% - Accent5 8 2 5 3" xfId="21704"/>
    <cellStyle name="20% - Accent5 8 2 6" xfId="9325"/>
    <cellStyle name="20% - Accent5 8 2 6 2" xfId="17283"/>
    <cellStyle name="20% - Accent5 8 2 6 3" xfId="25227"/>
    <cellStyle name="20% - Accent5 8 2 7" xfId="10221"/>
    <cellStyle name="20% - Accent5 8 2 8" xfId="18176"/>
    <cellStyle name="20% - Accent5 8 2_Exh G" xfId="2542"/>
    <cellStyle name="20% - Accent5 8 3" xfId="275"/>
    <cellStyle name="20% - Accent5 8 3 2" xfId="1303"/>
    <cellStyle name="20% - Accent5 8 3 2 2" xfId="4833"/>
    <cellStyle name="20% - Accent5 8 3 2 2 2" xfId="8424"/>
    <cellStyle name="20% - Accent5 8 3 2 2 2 2" xfId="16395"/>
    <cellStyle name="20% - Accent5 8 3 2 2 2 3" xfId="24341"/>
    <cellStyle name="20% - Accent5 8 3 2 2 3" xfId="12857"/>
    <cellStyle name="20% - Accent5 8 3 2 2 4" xfId="20812"/>
    <cellStyle name="20% - Accent5 8 3 2 3" xfId="6665"/>
    <cellStyle name="20% - Accent5 8 3 2 3 2" xfId="14637"/>
    <cellStyle name="20% - Accent5 8 3 2 3 3" xfId="22584"/>
    <cellStyle name="20% - Accent5 8 3 2 4" xfId="11101"/>
    <cellStyle name="20% - Accent5 8 3 2 5" xfId="19056"/>
    <cellStyle name="20% - Accent5 8 3 2_Exh G" xfId="2547"/>
    <cellStyle name="20% - Accent5 8 3 3" xfId="3954"/>
    <cellStyle name="20% - Accent5 8 3 3 2" xfId="7546"/>
    <cellStyle name="20% - Accent5 8 3 3 2 2" xfId="15517"/>
    <cellStyle name="20% - Accent5 8 3 3 2 3" xfId="23463"/>
    <cellStyle name="20% - Accent5 8 3 3 3" xfId="11979"/>
    <cellStyle name="20% - Accent5 8 3 3 4" xfId="19934"/>
    <cellStyle name="20% - Accent5 8 3 4" xfId="5774"/>
    <cellStyle name="20% - Accent5 8 3 4 2" xfId="13758"/>
    <cellStyle name="20% - Accent5 8 3 4 3" xfId="21706"/>
    <cellStyle name="20% - Accent5 8 3 5" xfId="9327"/>
    <cellStyle name="20% - Accent5 8 3 5 2" xfId="17285"/>
    <cellStyle name="20% - Accent5 8 3 5 3" xfId="25229"/>
    <cellStyle name="20% - Accent5 8 3 6" xfId="10223"/>
    <cellStyle name="20% - Accent5 8 3 7" xfId="18178"/>
    <cellStyle name="20% - Accent5 8 3_Exh G" xfId="2546"/>
    <cellStyle name="20% - Accent5 8 4" xfId="920"/>
    <cellStyle name="20% - Accent5 8 4 2" xfId="1847"/>
    <cellStyle name="20% - Accent5 8 4 2 2" xfId="5365"/>
    <cellStyle name="20% - Accent5 8 4 2 2 2" xfId="8956"/>
    <cellStyle name="20% - Accent5 8 4 2 2 2 2" xfId="16927"/>
    <cellStyle name="20% - Accent5 8 4 2 2 2 3" xfId="24873"/>
    <cellStyle name="20% - Accent5 8 4 2 2 3" xfId="13389"/>
    <cellStyle name="20% - Accent5 8 4 2 2 4" xfId="21344"/>
    <cellStyle name="20% - Accent5 8 4 2 3" xfId="7197"/>
    <cellStyle name="20% - Accent5 8 4 2 3 2" xfId="15169"/>
    <cellStyle name="20% - Accent5 8 4 2 3 3" xfId="23116"/>
    <cellStyle name="20% - Accent5 8 4 2 4" xfId="11633"/>
    <cellStyle name="20% - Accent5 8 4 2 5" xfId="19588"/>
    <cellStyle name="20% - Accent5 8 4 2_Exh G" xfId="2549"/>
    <cellStyle name="20% - Accent5 8 4 3" xfId="4486"/>
    <cellStyle name="20% - Accent5 8 4 3 2" xfId="8078"/>
    <cellStyle name="20% - Accent5 8 4 3 2 2" xfId="16049"/>
    <cellStyle name="20% - Accent5 8 4 3 2 3" xfId="23995"/>
    <cellStyle name="20% - Accent5 8 4 3 3" xfId="12511"/>
    <cellStyle name="20% - Accent5 8 4 3 4" xfId="20466"/>
    <cellStyle name="20% - Accent5 8 4 4" xfId="6316"/>
    <cellStyle name="20% - Accent5 8 4 4 2" xfId="14291"/>
    <cellStyle name="20% - Accent5 8 4 4 3" xfId="22238"/>
    <cellStyle name="20% - Accent5 8 4 5" xfId="9859"/>
    <cellStyle name="20% - Accent5 8 4 5 2" xfId="17817"/>
    <cellStyle name="20% - Accent5 8 4 5 3" xfId="25761"/>
    <cellStyle name="20% - Accent5 8 4 6" xfId="10755"/>
    <cellStyle name="20% - Accent5 8 4 7" xfId="18710"/>
    <cellStyle name="20% - Accent5 8 4_Exh G" xfId="2548"/>
    <cellStyle name="20% - Accent5 8 5" xfId="1300"/>
    <cellStyle name="20% - Accent5 8 5 2" xfId="4830"/>
    <cellStyle name="20% - Accent5 8 5 2 2" xfId="8421"/>
    <cellStyle name="20% - Accent5 8 5 2 2 2" xfId="16392"/>
    <cellStyle name="20% - Accent5 8 5 2 2 3" xfId="24338"/>
    <cellStyle name="20% - Accent5 8 5 2 3" xfId="12854"/>
    <cellStyle name="20% - Accent5 8 5 2 4" xfId="20809"/>
    <cellStyle name="20% - Accent5 8 5 3" xfId="6662"/>
    <cellStyle name="20% - Accent5 8 5 3 2" xfId="14634"/>
    <cellStyle name="20% - Accent5 8 5 3 3" xfId="22581"/>
    <cellStyle name="20% - Accent5 8 5 4" xfId="11098"/>
    <cellStyle name="20% - Accent5 8 5 5" xfId="19053"/>
    <cellStyle name="20% - Accent5 8 5_Exh G" xfId="2550"/>
    <cellStyle name="20% - Accent5 8 6" xfId="3951"/>
    <cellStyle name="20% - Accent5 8 6 2" xfId="7543"/>
    <cellStyle name="20% - Accent5 8 6 2 2" xfId="15514"/>
    <cellStyle name="20% - Accent5 8 6 2 3" xfId="23460"/>
    <cellStyle name="20% - Accent5 8 6 3" xfId="11976"/>
    <cellStyle name="20% - Accent5 8 6 4" xfId="19931"/>
    <cellStyle name="20% - Accent5 8 7" xfId="5771"/>
    <cellStyle name="20% - Accent5 8 7 2" xfId="13755"/>
    <cellStyle name="20% - Accent5 8 7 3" xfId="21703"/>
    <cellStyle name="20% - Accent5 8 8" xfId="9324"/>
    <cellStyle name="20% - Accent5 8 8 2" xfId="17282"/>
    <cellStyle name="20% - Accent5 8 8 3" xfId="25226"/>
    <cellStyle name="20% - Accent5 8 9" xfId="10220"/>
    <cellStyle name="20% - Accent5 8_Exh G" xfId="2541"/>
    <cellStyle name="20% - Accent5 9" xfId="276"/>
    <cellStyle name="20% - Accent5 9 10" xfId="18179"/>
    <cellStyle name="20% - Accent5 9 2" xfId="277"/>
    <cellStyle name="20% - Accent5 9 2 2" xfId="278"/>
    <cellStyle name="20% - Accent5 9 2 2 2" xfId="1306"/>
    <cellStyle name="20% - Accent5 9 2 2 2 2" xfId="4836"/>
    <cellStyle name="20% - Accent5 9 2 2 2 2 2" xfId="8427"/>
    <cellStyle name="20% - Accent5 9 2 2 2 2 2 2" xfId="16398"/>
    <cellStyle name="20% - Accent5 9 2 2 2 2 2 3" xfId="24344"/>
    <cellStyle name="20% - Accent5 9 2 2 2 2 3" xfId="12860"/>
    <cellStyle name="20% - Accent5 9 2 2 2 2 4" xfId="20815"/>
    <cellStyle name="20% - Accent5 9 2 2 2 3" xfId="6668"/>
    <cellStyle name="20% - Accent5 9 2 2 2 3 2" xfId="14640"/>
    <cellStyle name="20% - Accent5 9 2 2 2 3 3" xfId="22587"/>
    <cellStyle name="20% - Accent5 9 2 2 2 4" xfId="11104"/>
    <cellStyle name="20% - Accent5 9 2 2 2 5" xfId="19059"/>
    <cellStyle name="20% - Accent5 9 2 2 2_Exh G" xfId="2554"/>
    <cellStyle name="20% - Accent5 9 2 2 3" xfId="3957"/>
    <cellStyle name="20% - Accent5 9 2 2 3 2" xfId="7549"/>
    <cellStyle name="20% - Accent5 9 2 2 3 2 2" xfId="15520"/>
    <cellStyle name="20% - Accent5 9 2 2 3 2 3" xfId="23466"/>
    <cellStyle name="20% - Accent5 9 2 2 3 3" xfId="11982"/>
    <cellStyle name="20% - Accent5 9 2 2 3 4" xfId="19937"/>
    <cellStyle name="20% - Accent5 9 2 2 4" xfId="5777"/>
    <cellStyle name="20% - Accent5 9 2 2 4 2" xfId="13761"/>
    <cellStyle name="20% - Accent5 9 2 2 4 3" xfId="21709"/>
    <cellStyle name="20% - Accent5 9 2 2 5" xfId="9330"/>
    <cellStyle name="20% - Accent5 9 2 2 5 2" xfId="17288"/>
    <cellStyle name="20% - Accent5 9 2 2 5 3" xfId="25232"/>
    <cellStyle name="20% - Accent5 9 2 2 6" xfId="10226"/>
    <cellStyle name="20% - Accent5 9 2 2 7" xfId="18181"/>
    <cellStyle name="20% - Accent5 9 2 2_Exh G" xfId="2553"/>
    <cellStyle name="20% - Accent5 9 2 3" xfId="1305"/>
    <cellStyle name="20% - Accent5 9 2 3 2" xfId="4835"/>
    <cellStyle name="20% - Accent5 9 2 3 2 2" xfId="8426"/>
    <cellStyle name="20% - Accent5 9 2 3 2 2 2" xfId="16397"/>
    <cellStyle name="20% - Accent5 9 2 3 2 2 3" xfId="24343"/>
    <cellStyle name="20% - Accent5 9 2 3 2 3" xfId="12859"/>
    <cellStyle name="20% - Accent5 9 2 3 2 4" xfId="20814"/>
    <cellStyle name="20% - Accent5 9 2 3 3" xfId="6667"/>
    <cellStyle name="20% - Accent5 9 2 3 3 2" xfId="14639"/>
    <cellStyle name="20% - Accent5 9 2 3 3 3" xfId="22586"/>
    <cellStyle name="20% - Accent5 9 2 3 4" xfId="11103"/>
    <cellStyle name="20% - Accent5 9 2 3 5" xfId="19058"/>
    <cellStyle name="20% - Accent5 9 2 3_Exh G" xfId="2555"/>
    <cellStyle name="20% - Accent5 9 2 4" xfId="3956"/>
    <cellStyle name="20% - Accent5 9 2 4 2" xfId="7548"/>
    <cellStyle name="20% - Accent5 9 2 4 2 2" xfId="15519"/>
    <cellStyle name="20% - Accent5 9 2 4 2 3" xfId="23465"/>
    <cellStyle name="20% - Accent5 9 2 4 3" xfId="11981"/>
    <cellStyle name="20% - Accent5 9 2 4 4" xfId="19936"/>
    <cellStyle name="20% - Accent5 9 2 5" xfId="5776"/>
    <cellStyle name="20% - Accent5 9 2 5 2" xfId="13760"/>
    <cellStyle name="20% - Accent5 9 2 5 3" xfId="21708"/>
    <cellStyle name="20% - Accent5 9 2 6" xfId="9329"/>
    <cellStyle name="20% - Accent5 9 2 6 2" xfId="17287"/>
    <cellStyle name="20% - Accent5 9 2 6 3" xfId="25231"/>
    <cellStyle name="20% - Accent5 9 2 7" xfId="10225"/>
    <cellStyle name="20% - Accent5 9 2 8" xfId="18180"/>
    <cellStyle name="20% - Accent5 9 2_Exh G" xfId="2552"/>
    <cellStyle name="20% - Accent5 9 3" xfId="279"/>
    <cellStyle name="20% - Accent5 9 3 2" xfId="1307"/>
    <cellStyle name="20% - Accent5 9 3 2 2" xfId="4837"/>
    <cellStyle name="20% - Accent5 9 3 2 2 2" xfId="8428"/>
    <cellStyle name="20% - Accent5 9 3 2 2 2 2" xfId="16399"/>
    <cellStyle name="20% - Accent5 9 3 2 2 2 3" xfId="24345"/>
    <cellStyle name="20% - Accent5 9 3 2 2 3" xfId="12861"/>
    <cellStyle name="20% - Accent5 9 3 2 2 4" xfId="20816"/>
    <cellStyle name="20% - Accent5 9 3 2 3" xfId="6669"/>
    <cellStyle name="20% - Accent5 9 3 2 3 2" xfId="14641"/>
    <cellStyle name="20% - Accent5 9 3 2 3 3" xfId="22588"/>
    <cellStyle name="20% - Accent5 9 3 2 4" xfId="11105"/>
    <cellStyle name="20% - Accent5 9 3 2 5" xfId="19060"/>
    <cellStyle name="20% - Accent5 9 3 2_Exh G" xfId="2557"/>
    <cellStyle name="20% - Accent5 9 3 3" xfId="3958"/>
    <cellStyle name="20% - Accent5 9 3 3 2" xfId="7550"/>
    <cellStyle name="20% - Accent5 9 3 3 2 2" xfId="15521"/>
    <cellStyle name="20% - Accent5 9 3 3 2 3" xfId="23467"/>
    <cellStyle name="20% - Accent5 9 3 3 3" xfId="11983"/>
    <cellStyle name="20% - Accent5 9 3 3 4" xfId="19938"/>
    <cellStyle name="20% - Accent5 9 3 4" xfId="5778"/>
    <cellStyle name="20% - Accent5 9 3 4 2" xfId="13762"/>
    <cellStyle name="20% - Accent5 9 3 4 3" xfId="21710"/>
    <cellStyle name="20% - Accent5 9 3 5" xfId="9331"/>
    <cellStyle name="20% - Accent5 9 3 5 2" xfId="17289"/>
    <cellStyle name="20% - Accent5 9 3 5 3" xfId="25233"/>
    <cellStyle name="20% - Accent5 9 3 6" xfId="10227"/>
    <cellStyle name="20% - Accent5 9 3 7" xfId="18182"/>
    <cellStyle name="20% - Accent5 9 3_Exh G" xfId="2556"/>
    <cellStyle name="20% - Accent5 9 4" xfId="921"/>
    <cellStyle name="20% - Accent5 9 4 2" xfId="1848"/>
    <cellStyle name="20% - Accent5 9 4 2 2" xfId="5366"/>
    <cellStyle name="20% - Accent5 9 4 2 2 2" xfId="8957"/>
    <cellStyle name="20% - Accent5 9 4 2 2 2 2" xfId="16928"/>
    <cellStyle name="20% - Accent5 9 4 2 2 2 3" xfId="24874"/>
    <cellStyle name="20% - Accent5 9 4 2 2 3" xfId="13390"/>
    <cellStyle name="20% - Accent5 9 4 2 2 4" xfId="21345"/>
    <cellStyle name="20% - Accent5 9 4 2 3" xfId="7198"/>
    <cellStyle name="20% - Accent5 9 4 2 3 2" xfId="15170"/>
    <cellStyle name="20% - Accent5 9 4 2 3 3" xfId="23117"/>
    <cellStyle name="20% - Accent5 9 4 2 4" xfId="11634"/>
    <cellStyle name="20% - Accent5 9 4 2 5" xfId="19589"/>
    <cellStyle name="20% - Accent5 9 4 2_Exh G" xfId="2559"/>
    <cellStyle name="20% - Accent5 9 4 3" xfId="4487"/>
    <cellStyle name="20% - Accent5 9 4 3 2" xfId="8079"/>
    <cellStyle name="20% - Accent5 9 4 3 2 2" xfId="16050"/>
    <cellStyle name="20% - Accent5 9 4 3 2 3" xfId="23996"/>
    <cellStyle name="20% - Accent5 9 4 3 3" xfId="12512"/>
    <cellStyle name="20% - Accent5 9 4 3 4" xfId="20467"/>
    <cellStyle name="20% - Accent5 9 4 4" xfId="6317"/>
    <cellStyle name="20% - Accent5 9 4 4 2" xfId="14292"/>
    <cellStyle name="20% - Accent5 9 4 4 3" xfId="22239"/>
    <cellStyle name="20% - Accent5 9 4 5" xfId="9860"/>
    <cellStyle name="20% - Accent5 9 4 5 2" xfId="17818"/>
    <cellStyle name="20% - Accent5 9 4 5 3" xfId="25762"/>
    <cellStyle name="20% - Accent5 9 4 6" xfId="10756"/>
    <cellStyle name="20% - Accent5 9 4 7" xfId="18711"/>
    <cellStyle name="20% - Accent5 9 4_Exh G" xfId="2558"/>
    <cellStyle name="20% - Accent5 9 5" xfId="1304"/>
    <cellStyle name="20% - Accent5 9 5 2" xfId="4834"/>
    <cellStyle name="20% - Accent5 9 5 2 2" xfId="8425"/>
    <cellStyle name="20% - Accent5 9 5 2 2 2" xfId="16396"/>
    <cellStyle name="20% - Accent5 9 5 2 2 3" xfId="24342"/>
    <cellStyle name="20% - Accent5 9 5 2 3" xfId="12858"/>
    <cellStyle name="20% - Accent5 9 5 2 4" xfId="20813"/>
    <cellStyle name="20% - Accent5 9 5 3" xfId="6666"/>
    <cellStyle name="20% - Accent5 9 5 3 2" xfId="14638"/>
    <cellStyle name="20% - Accent5 9 5 3 3" xfId="22585"/>
    <cellStyle name="20% - Accent5 9 5 4" xfId="11102"/>
    <cellStyle name="20% - Accent5 9 5 5" xfId="19057"/>
    <cellStyle name="20% - Accent5 9 5_Exh G" xfId="2560"/>
    <cellStyle name="20% - Accent5 9 6" xfId="3955"/>
    <cellStyle name="20% - Accent5 9 6 2" xfId="7547"/>
    <cellStyle name="20% - Accent5 9 6 2 2" xfId="15518"/>
    <cellStyle name="20% - Accent5 9 6 2 3" xfId="23464"/>
    <cellStyle name="20% - Accent5 9 6 3" xfId="11980"/>
    <cellStyle name="20% - Accent5 9 6 4" xfId="19935"/>
    <cellStyle name="20% - Accent5 9 7" xfId="5775"/>
    <cellStyle name="20% - Accent5 9 7 2" xfId="13759"/>
    <cellStyle name="20% - Accent5 9 7 3" xfId="21707"/>
    <cellStyle name="20% - Accent5 9 8" xfId="9328"/>
    <cellStyle name="20% - Accent5 9 8 2" xfId="17286"/>
    <cellStyle name="20% - Accent5 9 8 3" xfId="25230"/>
    <cellStyle name="20% - Accent5 9 9" xfId="10224"/>
    <cellStyle name="20% - Accent5 9_Exh G" xfId="2551"/>
    <cellStyle name="20% - Accent6 10" xfId="280"/>
    <cellStyle name="20% - Accent6 10 10" xfId="18183"/>
    <cellStyle name="20% - Accent6 10 2" xfId="281"/>
    <cellStyle name="20% - Accent6 10 2 2" xfId="282"/>
    <cellStyle name="20% - Accent6 10 2 2 2" xfId="1310"/>
    <cellStyle name="20% - Accent6 10 2 2 2 2" xfId="4840"/>
    <cellStyle name="20% - Accent6 10 2 2 2 2 2" xfId="8431"/>
    <cellStyle name="20% - Accent6 10 2 2 2 2 2 2" xfId="16402"/>
    <cellStyle name="20% - Accent6 10 2 2 2 2 2 3" xfId="24348"/>
    <cellStyle name="20% - Accent6 10 2 2 2 2 3" xfId="12864"/>
    <cellStyle name="20% - Accent6 10 2 2 2 2 4" xfId="20819"/>
    <cellStyle name="20% - Accent6 10 2 2 2 3" xfId="6672"/>
    <cellStyle name="20% - Accent6 10 2 2 2 3 2" xfId="14644"/>
    <cellStyle name="20% - Accent6 10 2 2 2 3 3" xfId="22591"/>
    <cellStyle name="20% - Accent6 10 2 2 2 4" xfId="11108"/>
    <cellStyle name="20% - Accent6 10 2 2 2 5" xfId="19063"/>
    <cellStyle name="20% - Accent6 10 2 2 2_Exh G" xfId="2564"/>
    <cellStyle name="20% - Accent6 10 2 2 3" xfId="3961"/>
    <cellStyle name="20% - Accent6 10 2 2 3 2" xfId="7553"/>
    <cellStyle name="20% - Accent6 10 2 2 3 2 2" xfId="15524"/>
    <cellStyle name="20% - Accent6 10 2 2 3 2 3" xfId="23470"/>
    <cellStyle name="20% - Accent6 10 2 2 3 3" xfId="11986"/>
    <cellStyle name="20% - Accent6 10 2 2 3 4" xfId="19941"/>
    <cellStyle name="20% - Accent6 10 2 2 4" xfId="5781"/>
    <cellStyle name="20% - Accent6 10 2 2 4 2" xfId="13765"/>
    <cellStyle name="20% - Accent6 10 2 2 4 3" xfId="21713"/>
    <cellStyle name="20% - Accent6 10 2 2 5" xfId="9334"/>
    <cellStyle name="20% - Accent6 10 2 2 5 2" xfId="17292"/>
    <cellStyle name="20% - Accent6 10 2 2 5 3" xfId="25236"/>
    <cellStyle name="20% - Accent6 10 2 2 6" xfId="10230"/>
    <cellStyle name="20% - Accent6 10 2 2 7" xfId="18185"/>
    <cellStyle name="20% - Accent6 10 2 2_Exh G" xfId="2563"/>
    <cellStyle name="20% - Accent6 10 2 3" xfId="1309"/>
    <cellStyle name="20% - Accent6 10 2 3 2" xfId="4839"/>
    <cellStyle name="20% - Accent6 10 2 3 2 2" xfId="8430"/>
    <cellStyle name="20% - Accent6 10 2 3 2 2 2" xfId="16401"/>
    <cellStyle name="20% - Accent6 10 2 3 2 2 3" xfId="24347"/>
    <cellStyle name="20% - Accent6 10 2 3 2 3" xfId="12863"/>
    <cellStyle name="20% - Accent6 10 2 3 2 4" xfId="20818"/>
    <cellStyle name="20% - Accent6 10 2 3 3" xfId="6671"/>
    <cellStyle name="20% - Accent6 10 2 3 3 2" xfId="14643"/>
    <cellStyle name="20% - Accent6 10 2 3 3 3" xfId="22590"/>
    <cellStyle name="20% - Accent6 10 2 3 4" xfId="11107"/>
    <cellStyle name="20% - Accent6 10 2 3 5" xfId="19062"/>
    <cellStyle name="20% - Accent6 10 2 3_Exh G" xfId="2565"/>
    <cellStyle name="20% - Accent6 10 2 4" xfId="3960"/>
    <cellStyle name="20% - Accent6 10 2 4 2" xfId="7552"/>
    <cellStyle name="20% - Accent6 10 2 4 2 2" xfId="15523"/>
    <cellStyle name="20% - Accent6 10 2 4 2 3" xfId="23469"/>
    <cellStyle name="20% - Accent6 10 2 4 3" xfId="11985"/>
    <cellStyle name="20% - Accent6 10 2 4 4" xfId="19940"/>
    <cellStyle name="20% - Accent6 10 2 5" xfId="5780"/>
    <cellStyle name="20% - Accent6 10 2 5 2" xfId="13764"/>
    <cellStyle name="20% - Accent6 10 2 5 3" xfId="21712"/>
    <cellStyle name="20% - Accent6 10 2 6" xfId="9333"/>
    <cellStyle name="20% - Accent6 10 2 6 2" xfId="17291"/>
    <cellStyle name="20% - Accent6 10 2 6 3" xfId="25235"/>
    <cellStyle name="20% - Accent6 10 2 7" xfId="10229"/>
    <cellStyle name="20% - Accent6 10 2 8" xfId="18184"/>
    <cellStyle name="20% - Accent6 10 2_Exh G" xfId="2562"/>
    <cellStyle name="20% - Accent6 10 3" xfId="283"/>
    <cellStyle name="20% - Accent6 10 3 2" xfId="1311"/>
    <cellStyle name="20% - Accent6 10 3 2 2" xfId="4841"/>
    <cellStyle name="20% - Accent6 10 3 2 2 2" xfId="8432"/>
    <cellStyle name="20% - Accent6 10 3 2 2 2 2" xfId="16403"/>
    <cellStyle name="20% - Accent6 10 3 2 2 2 3" xfId="24349"/>
    <cellStyle name="20% - Accent6 10 3 2 2 3" xfId="12865"/>
    <cellStyle name="20% - Accent6 10 3 2 2 4" xfId="20820"/>
    <cellStyle name="20% - Accent6 10 3 2 3" xfId="6673"/>
    <cellStyle name="20% - Accent6 10 3 2 3 2" xfId="14645"/>
    <cellStyle name="20% - Accent6 10 3 2 3 3" xfId="22592"/>
    <cellStyle name="20% - Accent6 10 3 2 4" xfId="11109"/>
    <cellStyle name="20% - Accent6 10 3 2 5" xfId="19064"/>
    <cellStyle name="20% - Accent6 10 3 2_Exh G" xfId="2567"/>
    <cellStyle name="20% - Accent6 10 3 3" xfId="3962"/>
    <cellStyle name="20% - Accent6 10 3 3 2" xfId="7554"/>
    <cellStyle name="20% - Accent6 10 3 3 2 2" xfId="15525"/>
    <cellStyle name="20% - Accent6 10 3 3 2 3" xfId="23471"/>
    <cellStyle name="20% - Accent6 10 3 3 3" xfId="11987"/>
    <cellStyle name="20% - Accent6 10 3 3 4" xfId="19942"/>
    <cellStyle name="20% - Accent6 10 3 4" xfId="5782"/>
    <cellStyle name="20% - Accent6 10 3 4 2" xfId="13766"/>
    <cellStyle name="20% - Accent6 10 3 4 3" xfId="21714"/>
    <cellStyle name="20% - Accent6 10 3 5" xfId="9335"/>
    <cellStyle name="20% - Accent6 10 3 5 2" xfId="17293"/>
    <cellStyle name="20% - Accent6 10 3 5 3" xfId="25237"/>
    <cellStyle name="20% - Accent6 10 3 6" xfId="10231"/>
    <cellStyle name="20% - Accent6 10 3 7" xfId="18186"/>
    <cellStyle name="20% - Accent6 10 3_Exh G" xfId="2566"/>
    <cellStyle name="20% - Accent6 10 4" xfId="922"/>
    <cellStyle name="20% - Accent6 10 5" xfId="1308"/>
    <cellStyle name="20% - Accent6 10 5 2" xfId="4838"/>
    <cellStyle name="20% - Accent6 10 5 2 2" xfId="8429"/>
    <cellStyle name="20% - Accent6 10 5 2 2 2" xfId="16400"/>
    <cellStyle name="20% - Accent6 10 5 2 2 3" xfId="24346"/>
    <cellStyle name="20% - Accent6 10 5 2 3" xfId="12862"/>
    <cellStyle name="20% - Accent6 10 5 2 4" xfId="20817"/>
    <cellStyle name="20% - Accent6 10 5 3" xfId="6670"/>
    <cellStyle name="20% - Accent6 10 5 3 2" xfId="14642"/>
    <cellStyle name="20% - Accent6 10 5 3 3" xfId="22589"/>
    <cellStyle name="20% - Accent6 10 5 4" xfId="11106"/>
    <cellStyle name="20% - Accent6 10 5 5" xfId="19061"/>
    <cellStyle name="20% - Accent6 10 5_Exh G" xfId="2568"/>
    <cellStyle name="20% - Accent6 10 6" xfId="3959"/>
    <cellStyle name="20% - Accent6 10 6 2" xfId="7551"/>
    <cellStyle name="20% - Accent6 10 6 2 2" xfId="15522"/>
    <cellStyle name="20% - Accent6 10 6 2 3" xfId="23468"/>
    <cellStyle name="20% - Accent6 10 6 3" xfId="11984"/>
    <cellStyle name="20% - Accent6 10 6 4" xfId="19939"/>
    <cellStyle name="20% - Accent6 10 7" xfId="5779"/>
    <cellStyle name="20% - Accent6 10 7 2" xfId="13763"/>
    <cellStyle name="20% - Accent6 10 7 3" xfId="21711"/>
    <cellStyle name="20% - Accent6 10 8" xfId="9332"/>
    <cellStyle name="20% - Accent6 10 8 2" xfId="17290"/>
    <cellStyle name="20% - Accent6 10 8 3" xfId="25234"/>
    <cellStyle name="20% - Accent6 10 9" xfId="10228"/>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 2 2" xfId="8435"/>
    <cellStyle name="20% - Accent6 11 2 2 2 2 2 2" xfId="16406"/>
    <cellStyle name="20% - Accent6 11 2 2 2 2 2 3" xfId="24352"/>
    <cellStyle name="20% - Accent6 11 2 2 2 2 3" xfId="12868"/>
    <cellStyle name="20% - Accent6 11 2 2 2 2 4" xfId="20823"/>
    <cellStyle name="20% - Accent6 11 2 2 2 3" xfId="6676"/>
    <cellStyle name="20% - Accent6 11 2 2 2 3 2" xfId="14648"/>
    <cellStyle name="20% - Accent6 11 2 2 2 3 3" xfId="22595"/>
    <cellStyle name="20% - Accent6 11 2 2 2 4" xfId="11112"/>
    <cellStyle name="20% - Accent6 11 2 2 2 5" xfId="19067"/>
    <cellStyle name="20% - Accent6 11 2 2 2_Exh G" xfId="2572"/>
    <cellStyle name="20% - Accent6 11 2 2 3" xfId="3965"/>
    <cellStyle name="20% - Accent6 11 2 2 3 2" xfId="7557"/>
    <cellStyle name="20% - Accent6 11 2 2 3 2 2" xfId="15528"/>
    <cellStyle name="20% - Accent6 11 2 2 3 2 3" xfId="23474"/>
    <cellStyle name="20% - Accent6 11 2 2 3 3" xfId="11990"/>
    <cellStyle name="20% - Accent6 11 2 2 3 4" xfId="19945"/>
    <cellStyle name="20% - Accent6 11 2 2 4" xfId="5785"/>
    <cellStyle name="20% - Accent6 11 2 2 4 2" xfId="13769"/>
    <cellStyle name="20% - Accent6 11 2 2 4 3" xfId="21717"/>
    <cellStyle name="20% - Accent6 11 2 2 5" xfId="9338"/>
    <cellStyle name="20% - Accent6 11 2 2 5 2" xfId="17296"/>
    <cellStyle name="20% - Accent6 11 2 2 5 3" xfId="25240"/>
    <cellStyle name="20% - Accent6 11 2 2 6" xfId="10234"/>
    <cellStyle name="20% - Accent6 11 2 2 7" xfId="18189"/>
    <cellStyle name="20% - Accent6 11 2 2_Exh G" xfId="2571"/>
    <cellStyle name="20% - Accent6 11 2 3" xfId="1313"/>
    <cellStyle name="20% - Accent6 11 2 3 2" xfId="4843"/>
    <cellStyle name="20% - Accent6 11 2 3 2 2" xfId="8434"/>
    <cellStyle name="20% - Accent6 11 2 3 2 2 2" xfId="16405"/>
    <cellStyle name="20% - Accent6 11 2 3 2 2 3" xfId="24351"/>
    <cellStyle name="20% - Accent6 11 2 3 2 3" xfId="12867"/>
    <cellStyle name="20% - Accent6 11 2 3 2 4" xfId="20822"/>
    <cellStyle name="20% - Accent6 11 2 3 3" xfId="6675"/>
    <cellStyle name="20% - Accent6 11 2 3 3 2" xfId="14647"/>
    <cellStyle name="20% - Accent6 11 2 3 3 3" xfId="22594"/>
    <cellStyle name="20% - Accent6 11 2 3 4" xfId="11111"/>
    <cellStyle name="20% - Accent6 11 2 3 5" xfId="19066"/>
    <cellStyle name="20% - Accent6 11 2 3_Exh G" xfId="2573"/>
    <cellStyle name="20% - Accent6 11 2 4" xfId="3964"/>
    <cellStyle name="20% - Accent6 11 2 4 2" xfId="7556"/>
    <cellStyle name="20% - Accent6 11 2 4 2 2" xfId="15527"/>
    <cellStyle name="20% - Accent6 11 2 4 2 3" xfId="23473"/>
    <cellStyle name="20% - Accent6 11 2 4 3" xfId="11989"/>
    <cellStyle name="20% - Accent6 11 2 4 4" xfId="19944"/>
    <cellStyle name="20% - Accent6 11 2 5" xfId="5784"/>
    <cellStyle name="20% - Accent6 11 2 5 2" xfId="13768"/>
    <cellStyle name="20% - Accent6 11 2 5 3" xfId="21716"/>
    <cellStyle name="20% - Accent6 11 2 6" xfId="9337"/>
    <cellStyle name="20% - Accent6 11 2 6 2" xfId="17295"/>
    <cellStyle name="20% - Accent6 11 2 6 3" xfId="25239"/>
    <cellStyle name="20% - Accent6 11 2 7" xfId="10233"/>
    <cellStyle name="20% - Accent6 11 2 8" xfId="18188"/>
    <cellStyle name="20% - Accent6 11 2_Exh G" xfId="2570"/>
    <cellStyle name="20% - Accent6 11 3" xfId="287"/>
    <cellStyle name="20% - Accent6 11 3 2" xfId="1315"/>
    <cellStyle name="20% - Accent6 11 3 2 2" xfId="4845"/>
    <cellStyle name="20% - Accent6 11 3 2 2 2" xfId="8436"/>
    <cellStyle name="20% - Accent6 11 3 2 2 2 2" xfId="16407"/>
    <cellStyle name="20% - Accent6 11 3 2 2 2 3" xfId="24353"/>
    <cellStyle name="20% - Accent6 11 3 2 2 3" xfId="12869"/>
    <cellStyle name="20% - Accent6 11 3 2 2 4" xfId="20824"/>
    <cellStyle name="20% - Accent6 11 3 2 3" xfId="6677"/>
    <cellStyle name="20% - Accent6 11 3 2 3 2" xfId="14649"/>
    <cellStyle name="20% - Accent6 11 3 2 3 3" xfId="22596"/>
    <cellStyle name="20% - Accent6 11 3 2 4" xfId="11113"/>
    <cellStyle name="20% - Accent6 11 3 2 5" xfId="19068"/>
    <cellStyle name="20% - Accent6 11 3 2_Exh G" xfId="2575"/>
    <cellStyle name="20% - Accent6 11 3 3" xfId="3966"/>
    <cellStyle name="20% - Accent6 11 3 3 2" xfId="7558"/>
    <cellStyle name="20% - Accent6 11 3 3 2 2" xfId="15529"/>
    <cellStyle name="20% - Accent6 11 3 3 2 3" xfId="23475"/>
    <cellStyle name="20% - Accent6 11 3 3 3" xfId="11991"/>
    <cellStyle name="20% - Accent6 11 3 3 4" xfId="19946"/>
    <cellStyle name="20% - Accent6 11 3 4" xfId="5786"/>
    <cellStyle name="20% - Accent6 11 3 4 2" xfId="13770"/>
    <cellStyle name="20% - Accent6 11 3 4 3" xfId="21718"/>
    <cellStyle name="20% - Accent6 11 3 5" xfId="9339"/>
    <cellStyle name="20% - Accent6 11 3 5 2" xfId="17297"/>
    <cellStyle name="20% - Accent6 11 3 5 3" xfId="25241"/>
    <cellStyle name="20% - Accent6 11 3 6" xfId="10235"/>
    <cellStyle name="20% - Accent6 11 3 7" xfId="18190"/>
    <cellStyle name="20% - Accent6 11 3_Exh G" xfId="2574"/>
    <cellStyle name="20% - Accent6 11 4" xfId="1312"/>
    <cellStyle name="20% - Accent6 11 4 2" xfId="4842"/>
    <cellStyle name="20% - Accent6 11 4 2 2" xfId="8433"/>
    <cellStyle name="20% - Accent6 11 4 2 2 2" xfId="16404"/>
    <cellStyle name="20% - Accent6 11 4 2 2 3" xfId="24350"/>
    <cellStyle name="20% - Accent6 11 4 2 3" xfId="12866"/>
    <cellStyle name="20% - Accent6 11 4 2 4" xfId="20821"/>
    <cellStyle name="20% - Accent6 11 4 3" xfId="6674"/>
    <cellStyle name="20% - Accent6 11 4 3 2" xfId="14646"/>
    <cellStyle name="20% - Accent6 11 4 3 3" xfId="22593"/>
    <cellStyle name="20% - Accent6 11 4 4" xfId="11110"/>
    <cellStyle name="20% - Accent6 11 4 5" xfId="19065"/>
    <cellStyle name="20% - Accent6 11 4_Exh G" xfId="2576"/>
    <cellStyle name="20% - Accent6 11 5" xfId="3963"/>
    <cellStyle name="20% - Accent6 11 5 2" xfId="7555"/>
    <cellStyle name="20% - Accent6 11 5 2 2" xfId="15526"/>
    <cellStyle name="20% - Accent6 11 5 2 3" xfId="23472"/>
    <cellStyle name="20% - Accent6 11 5 3" xfId="11988"/>
    <cellStyle name="20% - Accent6 11 5 4" xfId="19943"/>
    <cellStyle name="20% - Accent6 11 6" xfId="5783"/>
    <cellStyle name="20% - Accent6 11 6 2" xfId="13767"/>
    <cellStyle name="20% - Accent6 11 6 3" xfId="21715"/>
    <cellStyle name="20% - Accent6 11 7" xfId="9336"/>
    <cellStyle name="20% - Accent6 11 7 2" xfId="17294"/>
    <cellStyle name="20% - Accent6 11 7 3" xfId="25238"/>
    <cellStyle name="20% - Accent6 11 8" xfId="10232"/>
    <cellStyle name="20% - Accent6 11 9" xfId="18187"/>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 2 2" xfId="8439"/>
    <cellStyle name="20% - Accent6 12 2 2 2 2 2 2" xfId="16410"/>
    <cellStyle name="20% - Accent6 12 2 2 2 2 2 3" xfId="24356"/>
    <cellStyle name="20% - Accent6 12 2 2 2 2 3" xfId="12872"/>
    <cellStyle name="20% - Accent6 12 2 2 2 2 4" xfId="20827"/>
    <cellStyle name="20% - Accent6 12 2 2 2 3" xfId="6680"/>
    <cellStyle name="20% - Accent6 12 2 2 2 3 2" xfId="14652"/>
    <cellStyle name="20% - Accent6 12 2 2 2 3 3" xfId="22599"/>
    <cellStyle name="20% - Accent6 12 2 2 2 4" xfId="11116"/>
    <cellStyle name="20% - Accent6 12 2 2 2 5" xfId="19071"/>
    <cellStyle name="20% - Accent6 12 2 2 2_Exh G" xfId="2580"/>
    <cellStyle name="20% - Accent6 12 2 2 3" xfId="3969"/>
    <cellStyle name="20% - Accent6 12 2 2 3 2" xfId="7561"/>
    <cellStyle name="20% - Accent6 12 2 2 3 2 2" xfId="15532"/>
    <cellStyle name="20% - Accent6 12 2 2 3 2 3" xfId="23478"/>
    <cellStyle name="20% - Accent6 12 2 2 3 3" xfId="11994"/>
    <cellStyle name="20% - Accent6 12 2 2 3 4" xfId="19949"/>
    <cellStyle name="20% - Accent6 12 2 2 4" xfId="5789"/>
    <cellStyle name="20% - Accent6 12 2 2 4 2" xfId="13773"/>
    <cellStyle name="20% - Accent6 12 2 2 4 3" xfId="21721"/>
    <cellStyle name="20% - Accent6 12 2 2 5" xfId="9342"/>
    <cellStyle name="20% - Accent6 12 2 2 5 2" xfId="17300"/>
    <cellStyle name="20% - Accent6 12 2 2 5 3" xfId="25244"/>
    <cellStyle name="20% - Accent6 12 2 2 6" xfId="10238"/>
    <cellStyle name="20% - Accent6 12 2 2 7" xfId="18193"/>
    <cellStyle name="20% - Accent6 12 2 2_Exh G" xfId="2579"/>
    <cellStyle name="20% - Accent6 12 2 3" xfId="1317"/>
    <cellStyle name="20% - Accent6 12 2 3 2" xfId="4847"/>
    <cellStyle name="20% - Accent6 12 2 3 2 2" xfId="8438"/>
    <cellStyle name="20% - Accent6 12 2 3 2 2 2" xfId="16409"/>
    <cellStyle name="20% - Accent6 12 2 3 2 2 3" xfId="24355"/>
    <cellStyle name="20% - Accent6 12 2 3 2 3" xfId="12871"/>
    <cellStyle name="20% - Accent6 12 2 3 2 4" xfId="20826"/>
    <cellStyle name="20% - Accent6 12 2 3 3" xfId="6679"/>
    <cellStyle name="20% - Accent6 12 2 3 3 2" xfId="14651"/>
    <cellStyle name="20% - Accent6 12 2 3 3 3" xfId="22598"/>
    <cellStyle name="20% - Accent6 12 2 3 4" xfId="11115"/>
    <cellStyle name="20% - Accent6 12 2 3 5" xfId="19070"/>
    <cellStyle name="20% - Accent6 12 2 3_Exh G" xfId="2581"/>
    <cellStyle name="20% - Accent6 12 2 4" xfId="3968"/>
    <cellStyle name="20% - Accent6 12 2 4 2" xfId="7560"/>
    <cellStyle name="20% - Accent6 12 2 4 2 2" xfId="15531"/>
    <cellStyle name="20% - Accent6 12 2 4 2 3" xfId="23477"/>
    <cellStyle name="20% - Accent6 12 2 4 3" xfId="11993"/>
    <cellStyle name="20% - Accent6 12 2 4 4" xfId="19948"/>
    <cellStyle name="20% - Accent6 12 2 5" xfId="5788"/>
    <cellStyle name="20% - Accent6 12 2 5 2" xfId="13772"/>
    <cellStyle name="20% - Accent6 12 2 5 3" xfId="21720"/>
    <cellStyle name="20% - Accent6 12 2 6" xfId="9341"/>
    <cellStyle name="20% - Accent6 12 2 6 2" xfId="17299"/>
    <cellStyle name="20% - Accent6 12 2 6 3" xfId="25243"/>
    <cellStyle name="20% - Accent6 12 2 7" xfId="10237"/>
    <cellStyle name="20% - Accent6 12 2 8" xfId="18192"/>
    <cellStyle name="20% - Accent6 12 2_Exh G" xfId="2578"/>
    <cellStyle name="20% - Accent6 12 3" xfId="291"/>
    <cellStyle name="20% - Accent6 12 3 2" xfId="1319"/>
    <cellStyle name="20% - Accent6 12 3 2 2" xfId="4849"/>
    <cellStyle name="20% - Accent6 12 3 2 2 2" xfId="8440"/>
    <cellStyle name="20% - Accent6 12 3 2 2 2 2" xfId="16411"/>
    <cellStyle name="20% - Accent6 12 3 2 2 2 3" xfId="24357"/>
    <cellStyle name="20% - Accent6 12 3 2 2 3" xfId="12873"/>
    <cellStyle name="20% - Accent6 12 3 2 2 4" xfId="20828"/>
    <cellStyle name="20% - Accent6 12 3 2 3" xfId="6681"/>
    <cellStyle name="20% - Accent6 12 3 2 3 2" xfId="14653"/>
    <cellStyle name="20% - Accent6 12 3 2 3 3" xfId="22600"/>
    <cellStyle name="20% - Accent6 12 3 2 4" xfId="11117"/>
    <cellStyle name="20% - Accent6 12 3 2 5" xfId="19072"/>
    <cellStyle name="20% - Accent6 12 3 2_Exh G" xfId="2583"/>
    <cellStyle name="20% - Accent6 12 3 3" xfId="3970"/>
    <cellStyle name="20% - Accent6 12 3 3 2" xfId="7562"/>
    <cellStyle name="20% - Accent6 12 3 3 2 2" xfId="15533"/>
    <cellStyle name="20% - Accent6 12 3 3 2 3" xfId="23479"/>
    <cellStyle name="20% - Accent6 12 3 3 3" xfId="11995"/>
    <cellStyle name="20% - Accent6 12 3 3 4" xfId="19950"/>
    <cellStyle name="20% - Accent6 12 3 4" xfId="5790"/>
    <cellStyle name="20% - Accent6 12 3 4 2" xfId="13774"/>
    <cellStyle name="20% - Accent6 12 3 4 3" xfId="21722"/>
    <cellStyle name="20% - Accent6 12 3 5" xfId="9343"/>
    <cellStyle name="20% - Accent6 12 3 5 2" xfId="17301"/>
    <cellStyle name="20% - Accent6 12 3 5 3" xfId="25245"/>
    <cellStyle name="20% - Accent6 12 3 6" xfId="10239"/>
    <cellStyle name="20% - Accent6 12 3 7" xfId="18194"/>
    <cellStyle name="20% - Accent6 12 3_Exh G" xfId="2582"/>
    <cellStyle name="20% - Accent6 12 4" xfId="1316"/>
    <cellStyle name="20% - Accent6 12 4 2" xfId="4846"/>
    <cellStyle name="20% - Accent6 12 4 2 2" xfId="8437"/>
    <cellStyle name="20% - Accent6 12 4 2 2 2" xfId="16408"/>
    <cellStyle name="20% - Accent6 12 4 2 2 3" xfId="24354"/>
    <cellStyle name="20% - Accent6 12 4 2 3" xfId="12870"/>
    <cellStyle name="20% - Accent6 12 4 2 4" xfId="20825"/>
    <cellStyle name="20% - Accent6 12 4 3" xfId="6678"/>
    <cellStyle name="20% - Accent6 12 4 3 2" xfId="14650"/>
    <cellStyle name="20% - Accent6 12 4 3 3" xfId="22597"/>
    <cellStyle name="20% - Accent6 12 4 4" xfId="11114"/>
    <cellStyle name="20% - Accent6 12 4 5" xfId="19069"/>
    <cellStyle name="20% - Accent6 12 4_Exh G" xfId="2584"/>
    <cellStyle name="20% - Accent6 12 5" xfId="3967"/>
    <cellStyle name="20% - Accent6 12 5 2" xfId="7559"/>
    <cellStyle name="20% - Accent6 12 5 2 2" xfId="15530"/>
    <cellStyle name="20% - Accent6 12 5 2 3" xfId="23476"/>
    <cellStyle name="20% - Accent6 12 5 3" xfId="11992"/>
    <cellStyle name="20% - Accent6 12 5 4" xfId="19947"/>
    <cellStyle name="20% - Accent6 12 6" xfId="5787"/>
    <cellStyle name="20% - Accent6 12 6 2" xfId="13771"/>
    <cellStyle name="20% - Accent6 12 6 3" xfId="21719"/>
    <cellStyle name="20% - Accent6 12 7" xfId="9340"/>
    <cellStyle name="20% - Accent6 12 7 2" xfId="17298"/>
    <cellStyle name="20% - Accent6 12 7 3" xfId="25242"/>
    <cellStyle name="20% - Accent6 12 8" xfId="10236"/>
    <cellStyle name="20% - Accent6 12 9" xfId="18191"/>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 2 2" xfId="8443"/>
    <cellStyle name="20% - Accent6 13 2 2 2 2 2 2" xfId="16414"/>
    <cellStyle name="20% - Accent6 13 2 2 2 2 2 3" xfId="24360"/>
    <cellStyle name="20% - Accent6 13 2 2 2 2 3" xfId="12876"/>
    <cellStyle name="20% - Accent6 13 2 2 2 2 4" xfId="20831"/>
    <cellStyle name="20% - Accent6 13 2 2 2 3" xfId="6684"/>
    <cellStyle name="20% - Accent6 13 2 2 2 3 2" xfId="14656"/>
    <cellStyle name="20% - Accent6 13 2 2 2 3 3" xfId="22603"/>
    <cellStyle name="20% - Accent6 13 2 2 2 4" xfId="11120"/>
    <cellStyle name="20% - Accent6 13 2 2 2 5" xfId="19075"/>
    <cellStyle name="20% - Accent6 13 2 2 2_Exh G" xfId="2588"/>
    <cellStyle name="20% - Accent6 13 2 2 3" xfId="3973"/>
    <cellStyle name="20% - Accent6 13 2 2 3 2" xfId="7565"/>
    <cellStyle name="20% - Accent6 13 2 2 3 2 2" xfId="15536"/>
    <cellStyle name="20% - Accent6 13 2 2 3 2 3" xfId="23482"/>
    <cellStyle name="20% - Accent6 13 2 2 3 3" xfId="11998"/>
    <cellStyle name="20% - Accent6 13 2 2 3 4" xfId="19953"/>
    <cellStyle name="20% - Accent6 13 2 2 4" xfId="5793"/>
    <cellStyle name="20% - Accent6 13 2 2 4 2" xfId="13777"/>
    <cellStyle name="20% - Accent6 13 2 2 4 3" xfId="21725"/>
    <cellStyle name="20% - Accent6 13 2 2 5" xfId="9346"/>
    <cellStyle name="20% - Accent6 13 2 2 5 2" xfId="17304"/>
    <cellStyle name="20% - Accent6 13 2 2 5 3" xfId="25248"/>
    <cellStyle name="20% - Accent6 13 2 2 6" xfId="10242"/>
    <cellStyle name="20% - Accent6 13 2 2 7" xfId="18197"/>
    <cellStyle name="20% - Accent6 13 2 2_Exh G" xfId="2587"/>
    <cellStyle name="20% - Accent6 13 2 3" xfId="1321"/>
    <cellStyle name="20% - Accent6 13 2 3 2" xfId="4851"/>
    <cellStyle name="20% - Accent6 13 2 3 2 2" xfId="8442"/>
    <cellStyle name="20% - Accent6 13 2 3 2 2 2" xfId="16413"/>
    <cellStyle name="20% - Accent6 13 2 3 2 2 3" xfId="24359"/>
    <cellStyle name="20% - Accent6 13 2 3 2 3" xfId="12875"/>
    <cellStyle name="20% - Accent6 13 2 3 2 4" xfId="20830"/>
    <cellStyle name="20% - Accent6 13 2 3 3" xfId="6683"/>
    <cellStyle name="20% - Accent6 13 2 3 3 2" xfId="14655"/>
    <cellStyle name="20% - Accent6 13 2 3 3 3" xfId="22602"/>
    <cellStyle name="20% - Accent6 13 2 3 4" xfId="11119"/>
    <cellStyle name="20% - Accent6 13 2 3 5" xfId="19074"/>
    <cellStyle name="20% - Accent6 13 2 3_Exh G" xfId="2589"/>
    <cellStyle name="20% - Accent6 13 2 4" xfId="3972"/>
    <cellStyle name="20% - Accent6 13 2 4 2" xfId="7564"/>
    <cellStyle name="20% - Accent6 13 2 4 2 2" xfId="15535"/>
    <cellStyle name="20% - Accent6 13 2 4 2 3" xfId="23481"/>
    <cellStyle name="20% - Accent6 13 2 4 3" xfId="11997"/>
    <cellStyle name="20% - Accent6 13 2 4 4" xfId="19952"/>
    <cellStyle name="20% - Accent6 13 2 5" xfId="5792"/>
    <cellStyle name="20% - Accent6 13 2 5 2" xfId="13776"/>
    <cellStyle name="20% - Accent6 13 2 5 3" xfId="21724"/>
    <cellStyle name="20% - Accent6 13 2 6" xfId="9345"/>
    <cellStyle name="20% - Accent6 13 2 6 2" xfId="17303"/>
    <cellStyle name="20% - Accent6 13 2 6 3" xfId="25247"/>
    <cellStyle name="20% - Accent6 13 2 7" xfId="10241"/>
    <cellStyle name="20% - Accent6 13 2 8" xfId="18196"/>
    <cellStyle name="20% - Accent6 13 2_Exh G" xfId="2586"/>
    <cellStyle name="20% - Accent6 13 3" xfId="295"/>
    <cellStyle name="20% - Accent6 13 3 2" xfId="1323"/>
    <cellStyle name="20% - Accent6 13 3 2 2" xfId="4853"/>
    <cellStyle name="20% - Accent6 13 3 2 2 2" xfId="8444"/>
    <cellStyle name="20% - Accent6 13 3 2 2 2 2" xfId="16415"/>
    <cellStyle name="20% - Accent6 13 3 2 2 2 3" xfId="24361"/>
    <cellStyle name="20% - Accent6 13 3 2 2 3" xfId="12877"/>
    <cellStyle name="20% - Accent6 13 3 2 2 4" xfId="20832"/>
    <cellStyle name="20% - Accent6 13 3 2 3" xfId="6685"/>
    <cellStyle name="20% - Accent6 13 3 2 3 2" xfId="14657"/>
    <cellStyle name="20% - Accent6 13 3 2 3 3" xfId="22604"/>
    <cellStyle name="20% - Accent6 13 3 2 4" xfId="11121"/>
    <cellStyle name="20% - Accent6 13 3 2 5" xfId="19076"/>
    <cellStyle name="20% - Accent6 13 3 2_Exh G" xfId="2591"/>
    <cellStyle name="20% - Accent6 13 3 3" xfId="3974"/>
    <cellStyle name="20% - Accent6 13 3 3 2" xfId="7566"/>
    <cellStyle name="20% - Accent6 13 3 3 2 2" xfId="15537"/>
    <cellStyle name="20% - Accent6 13 3 3 2 3" xfId="23483"/>
    <cellStyle name="20% - Accent6 13 3 3 3" xfId="11999"/>
    <cellStyle name="20% - Accent6 13 3 3 4" xfId="19954"/>
    <cellStyle name="20% - Accent6 13 3 4" xfId="5794"/>
    <cellStyle name="20% - Accent6 13 3 4 2" xfId="13778"/>
    <cellStyle name="20% - Accent6 13 3 4 3" xfId="21726"/>
    <cellStyle name="20% - Accent6 13 3 5" xfId="9347"/>
    <cellStyle name="20% - Accent6 13 3 5 2" xfId="17305"/>
    <cellStyle name="20% - Accent6 13 3 5 3" xfId="25249"/>
    <cellStyle name="20% - Accent6 13 3 6" xfId="10243"/>
    <cellStyle name="20% - Accent6 13 3 7" xfId="18198"/>
    <cellStyle name="20% - Accent6 13 3_Exh G" xfId="2590"/>
    <cellStyle name="20% - Accent6 13 4" xfId="1320"/>
    <cellStyle name="20% - Accent6 13 4 2" xfId="4850"/>
    <cellStyle name="20% - Accent6 13 4 2 2" xfId="8441"/>
    <cellStyle name="20% - Accent6 13 4 2 2 2" xfId="16412"/>
    <cellStyle name="20% - Accent6 13 4 2 2 3" xfId="24358"/>
    <cellStyle name="20% - Accent6 13 4 2 3" xfId="12874"/>
    <cellStyle name="20% - Accent6 13 4 2 4" xfId="20829"/>
    <cellStyle name="20% - Accent6 13 4 3" xfId="6682"/>
    <cellStyle name="20% - Accent6 13 4 3 2" xfId="14654"/>
    <cellStyle name="20% - Accent6 13 4 3 3" xfId="22601"/>
    <cellStyle name="20% - Accent6 13 4 4" xfId="11118"/>
    <cellStyle name="20% - Accent6 13 4 5" xfId="19073"/>
    <cellStyle name="20% - Accent6 13 4_Exh G" xfId="2592"/>
    <cellStyle name="20% - Accent6 13 5" xfId="3971"/>
    <cellStyle name="20% - Accent6 13 5 2" xfId="7563"/>
    <cellStyle name="20% - Accent6 13 5 2 2" xfId="15534"/>
    <cellStyle name="20% - Accent6 13 5 2 3" xfId="23480"/>
    <cellStyle name="20% - Accent6 13 5 3" xfId="11996"/>
    <cellStyle name="20% - Accent6 13 5 4" xfId="19951"/>
    <cellStyle name="20% - Accent6 13 6" xfId="5791"/>
    <cellStyle name="20% - Accent6 13 6 2" xfId="13775"/>
    <cellStyle name="20% - Accent6 13 6 3" xfId="21723"/>
    <cellStyle name="20% - Accent6 13 7" xfId="9344"/>
    <cellStyle name="20% - Accent6 13 7 2" xfId="17302"/>
    <cellStyle name="20% - Accent6 13 7 3" xfId="25246"/>
    <cellStyle name="20% - Accent6 13 8" xfId="10240"/>
    <cellStyle name="20% - Accent6 13 9" xfId="18195"/>
    <cellStyle name="20% - Accent6 13_Exh G" xfId="2585"/>
    <cellStyle name="20% - Accent6 14" xfId="296"/>
    <cellStyle name="20% - Accent6 14 2" xfId="297"/>
    <cellStyle name="20% - Accent6 14 2 2" xfId="1325"/>
    <cellStyle name="20% - Accent6 14 2 2 2" xfId="4855"/>
    <cellStyle name="20% - Accent6 14 2 2 2 2" xfId="8446"/>
    <cellStyle name="20% - Accent6 14 2 2 2 2 2" xfId="16417"/>
    <cellStyle name="20% - Accent6 14 2 2 2 2 3" xfId="24363"/>
    <cellStyle name="20% - Accent6 14 2 2 2 3" xfId="12879"/>
    <cellStyle name="20% - Accent6 14 2 2 2 4" xfId="20834"/>
    <cellStyle name="20% - Accent6 14 2 2 3" xfId="6687"/>
    <cellStyle name="20% - Accent6 14 2 2 3 2" xfId="14659"/>
    <cellStyle name="20% - Accent6 14 2 2 3 3" xfId="22606"/>
    <cellStyle name="20% - Accent6 14 2 2 4" xfId="11123"/>
    <cellStyle name="20% - Accent6 14 2 2 5" xfId="19078"/>
    <cellStyle name="20% - Accent6 14 2 2_Exh G" xfId="2595"/>
    <cellStyle name="20% - Accent6 14 2 3" xfId="3976"/>
    <cellStyle name="20% - Accent6 14 2 3 2" xfId="7568"/>
    <cellStyle name="20% - Accent6 14 2 3 2 2" xfId="15539"/>
    <cellStyle name="20% - Accent6 14 2 3 2 3" xfId="23485"/>
    <cellStyle name="20% - Accent6 14 2 3 3" xfId="12001"/>
    <cellStyle name="20% - Accent6 14 2 3 4" xfId="19956"/>
    <cellStyle name="20% - Accent6 14 2 4" xfId="5796"/>
    <cellStyle name="20% - Accent6 14 2 4 2" xfId="13780"/>
    <cellStyle name="20% - Accent6 14 2 4 3" xfId="21728"/>
    <cellStyle name="20% - Accent6 14 2 5" xfId="9349"/>
    <cellStyle name="20% - Accent6 14 2 5 2" xfId="17307"/>
    <cellStyle name="20% - Accent6 14 2 5 3" xfId="25251"/>
    <cellStyle name="20% - Accent6 14 2 6" xfId="10245"/>
    <cellStyle name="20% - Accent6 14 2 7" xfId="18200"/>
    <cellStyle name="20% - Accent6 14 2_Exh G" xfId="2594"/>
    <cellStyle name="20% - Accent6 14 3" xfId="1324"/>
    <cellStyle name="20% - Accent6 14 3 2" xfId="4854"/>
    <cellStyle name="20% - Accent6 14 3 2 2" xfId="8445"/>
    <cellStyle name="20% - Accent6 14 3 2 2 2" xfId="16416"/>
    <cellStyle name="20% - Accent6 14 3 2 2 3" xfId="24362"/>
    <cellStyle name="20% - Accent6 14 3 2 3" xfId="12878"/>
    <cellStyle name="20% - Accent6 14 3 2 4" xfId="20833"/>
    <cellStyle name="20% - Accent6 14 3 3" xfId="6686"/>
    <cellStyle name="20% - Accent6 14 3 3 2" xfId="14658"/>
    <cellStyle name="20% - Accent6 14 3 3 3" xfId="22605"/>
    <cellStyle name="20% - Accent6 14 3 4" xfId="11122"/>
    <cellStyle name="20% - Accent6 14 3 5" xfId="19077"/>
    <cellStyle name="20% - Accent6 14 3_Exh G" xfId="2596"/>
    <cellStyle name="20% - Accent6 14 4" xfId="3975"/>
    <cellStyle name="20% - Accent6 14 4 2" xfId="7567"/>
    <cellStyle name="20% - Accent6 14 4 2 2" xfId="15538"/>
    <cellStyle name="20% - Accent6 14 4 2 3" xfId="23484"/>
    <cellStyle name="20% - Accent6 14 4 3" xfId="12000"/>
    <cellStyle name="20% - Accent6 14 4 4" xfId="19955"/>
    <cellStyle name="20% - Accent6 14 5" xfId="5795"/>
    <cellStyle name="20% - Accent6 14 5 2" xfId="13779"/>
    <cellStyle name="20% - Accent6 14 5 3" xfId="21727"/>
    <cellStyle name="20% - Accent6 14 6" xfId="9348"/>
    <cellStyle name="20% - Accent6 14 6 2" xfId="17306"/>
    <cellStyle name="20% - Accent6 14 6 3" xfId="25250"/>
    <cellStyle name="20% - Accent6 14 7" xfId="10244"/>
    <cellStyle name="20% - Accent6 14 8" xfId="18199"/>
    <cellStyle name="20% - Accent6 14_Exh G" xfId="2593"/>
    <cellStyle name="20% - Accent6 15" xfId="298"/>
    <cellStyle name="20% - Accent6 15 2" xfId="1326"/>
    <cellStyle name="20% - Accent6 15 2 2" xfId="4856"/>
    <cellStyle name="20% - Accent6 15 2 2 2" xfId="8447"/>
    <cellStyle name="20% - Accent6 15 2 2 2 2" xfId="16418"/>
    <cellStyle name="20% - Accent6 15 2 2 2 3" xfId="24364"/>
    <cellStyle name="20% - Accent6 15 2 2 3" xfId="12880"/>
    <cellStyle name="20% - Accent6 15 2 2 4" xfId="20835"/>
    <cellStyle name="20% - Accent6 15 2 3" xfId="6688"/>
    <cellStyle name="20% - Accent6 15 2 3 2" xfId="14660"/>
    <cellStyle name="20% - Accent6 15 2 3 3" xfId="22607"/>
    <cellStyle name="20% - Accent6 15 2 4" xfId="11124"/>
    <cellStyle name="20% - Accent6 15 2 5" xfId="19079"/>
    <cellStyle name="20% - Accent6 15 2_Exh G" xfId="2598"/>
    <cellStyle name="20% - Accent6 15 3" xfId="3977"/>
    <cellStyle name="20% - Accent6 15 3 2" xfId="7569"/>
    <cellStyle name="20% - Accent6 15 3 2 2" xfId="15540"/>
    <cellStyle name="20% - Accent6 15 3 2 3" xfId="23486"/>
    <cellStyle name="20% - Accent6 15 3 3" xfId="12002"/>
    <cellStyle name="20% - Accent6 15 3 4" xfId="19957"/>
    <cellStyle name="20% - Accent6 15 4" xfId="5797"/>
    <cellStyle name="20% - Accent6 15 4 2" xfId="13781"/>
    <cellStyle name="20% - Accent6 15 4 3" xfId="21729"/>
    <cellStyle name="20% - Accent6 15 5" xfId="9350"/>
    <cellStyle name="20% - Accent6 15 5 2" xfId="17308"/>
    <cellStyle name="20% - Accent6 15 5 3" xfId="25252"/>
    <cellStyle name="20% - Accent6 15 6" xfId="10246"/>
    <cellStyle name="20% - Accent6 15 7" xfId="18201"/>
    <cellStyle name="20% - Accent6 15_Exh G" xfId="2597"/>
    <cellStyle name="20% - Accent6 16" xfId="848"/>
    <cellStyle name="20% - Accent6 16 2" xfId="1787"/>
    <cellStyle name="20% - Accent6 16 2 2" xfId="5308"/>
    <cellStyle name="20% - Accent6 16 2 2 2" xfId="8899"/>
    <cellStyle name="20% - Accent6 16 2 2 2 2" xfId="16870"/>
    <cellStyle name="20% - Accent6 16 2 2 2 3" xfId="24816"/>
    <cellStyle name="20% - Accent6 16 2 2 3" xfId="13332"/>
    <cellStyle name="20% - Accent6 16 2 2 4" xfId="21287"/>
    <cellStyle name="20% - Accent6 16 2 3" xfId="7140"/>
    <cellStyle name="20% - Accent6 16 2 3 2" xfId="15112"/>
    <cellStyle name="20% - Accent6 16 2 3 3" xfId="23059"/>
    <cellStyle name="20% - Accent6 16 2 4" xfId="11576"/>
    <cellStyle name="20% - Accent6 16 2 5" xfId="19531"/>
    <cellStyle name="20% - Accent6 16 2_Exh G" xfId="2600"/>
    <cellStyle name="20% - Accent6 16 3" xfId="4429"/>
    <cellStyle name="20% - Accent6 16 3 2" xfId="8021"/>
    <cellStyle name="20% - Accent6 16 3 2 2" xfId="15992"/>
    <cellStyle name="20% - Accent6 16 3 2 3" xfId="23938"/>
    <cellStyle name="20% - Accent6 16 3 3" xfId="12454"/>
    <cellStyle name="20% - Accent6 16 3 4" xfId="20409"/>
    <cellStyle name="20% - Accent6 16 4" xfId="6259"/>
    <cellStyle name="20% - Accent6 16 4 2" xfId="14234"/>
    <cellStyle name="20% - Accent6 16 4 3" xfId="22181"/>
    <cellStyle name="20% - Accent6 16 5" xfId="9802"/>
    <cellStyle name="20% - Accent6 16 5 2" xfId="17760"/>
    <cellStyle name="20% - Accent6 16 5 3" xfId="25704"/>
    <cellStyle name="20% - Accent6 16 6" xfId="10698"/>
    <cellStyle name="20% - Accent6 16 7" xfId="18653"/>
    <cellStyle name="20% - Accent6 16_Exh G" xfId="2599"/>
    <cellStyle name="20% - Accent6 2" xfId="299"/>
    <cellStyle name="20% - Accent6 2 10" xfId="18202"/>
    <cellStyle name="20% - Accent6 2 2" xfId="300"/>
    <cellStyle name="20% - Accent6 2 2 2" xfId="301"/>
    <cellStyle name="20% - Accent6 2 2 2 2" xfId="1329"/>
    <cellStyle name="20% - Accent6 2 2 2 2 2" xfId="4859"/>
    <cellStyle name="20% - Accent6 2 2 2 2 2 2" xfId="8450"/>
    <cellStyle name="20% - Accent6 2 2 2 2 2 2 2" xfId="16421"/>
    <cellStyle name="20% - Accent6 2 2 2 2 2 2 3" xfId="24367"/>
    <cellStyle name="20% - Accent6 2 2 2 2 2 3" xfId="12883"/>
    <cellStyle name="20% - Accent6 2 2 2 2 2 4" xfId="20838"/>
    <cellStyle name="20% - Accent6 2 2 2 2 3" xfId="6691"/>
    <cellStyle name="20% - Accent6 2 2 2 2 3 2" xfId="14663"/>
    <cellStyle name="20% - Accent6 2 2 2 2 3 3" xfId="22610"/>
    <cellStyle name="20% - Accent6 2 2 2 2 4" xfId="11127"/>
    <cellStyle name="20% - Accent6 2 2 2 2 5" xfId="19082"/>
    <cellStyle name="20% - Accent6 2 2 2 2_Exh G" xfId="2604"/>
    <cellStyle name="20% - Accent6 2 2 2 3" xfId="3980"/>
    <cellStyle name="20% - Accent6 2 2 2 3 2" xfId="7572"/>
    <cellStyle name="20% - Accent6 2 2 2 3 2 2" xfId="15543"/>
    <cellStyle name="20% - Accent6 2 2 2 3 2 3" xfId="23489"/>
    <cellStyle name="20% - Accent6 2 2 2 3 3" xfId="12005"/>
    <cellStyle name="20% - Accent6 2 2 2 3 4" xfId="19960"/>
    <cellStyle name="20% - Accent6 2 2 2 4" xfId="5800"/>
    <cellStyle name="20% - Accent6 2 2 2 4 2" xfId="13784"/>
    <cellStyle name="20% - Accent6 2 2 2 4 3" xfId="21732"/>
    <cellStyle name="20% - Accent6 2 2 2 5" xfId="9353"/>
    <cellStyle name="20% - Accent6 2 2 2 5 2" xfId="17311"/>
    <cellStyle name="20% - Accent6 2 2 2 5 3" xfId="25255"/>
    <cellStyle name="20% - Accent6 2 2 2 6" xfId="10249"/>
    <cellStyle name="20% - Accent6 2 2 2 7" xfId="18204"/>
    <cellStyle name="20% - Accent6 2 2 2_Exh G" xfId="2603"/>
    <cellStyle name="20% - Accent6 2 2 3" xfId="924"/>
    <cellStyle name="20% - Accent6 2 2 3 2" xfId="1850"/>
    <cellStyle name="20% - Accent6 2 2 3 2 2" xfId="5368"/>
    <cellStyle name="20% - Accent6 2 2 3 2 2 2" xfId="8959"/>
    <cellStyle name="20% - Accent6 2 2 3 2 2 2 2" xfId="16930"/>
    <cellStyle name="20% - Accent6 2 2 3 2 2 2 3" xfId="24876"/>
    <cellStyle name="20% - Accent6 2 2 3 2 2 3" xfId="13392"/>
    <cellStyle name="20% - Accent6 2 2 3 2 2 4" xfId="21347"/>
    <cellStyle name="20% - Accent6 2 2 3 2 3" xfId="7200"/>
    <cellStyle name="20% - Accent6 2 2 3 2 3 2" xfId="15172"/>
    <cellStyle name="20% - Accent6 2 2 3 2 3 3" xfId="23119"/>
    <cellStyle name="20% - Accent6 2 2 3 2 4" xfId="11636"/>
    <cellStyle name="20% - Accent6 2 2 3 2 5" xfId="19591"/>
    <cellStyle name="20% - Accent6 2 2 3 2_Exh G" xfId="2606"/>
    <cellStyle name="20% - Accent6 2 2 3 3" xfId="4489"/>
    <cellStyle name="20% - Accent6 2 2 3 3 2" xfId="8081"/>
    <cellStyle name="20% - Accent6 2 2 3 3 2 2" xfId="16052"/>
    <cellStyle name="20% - Accent6 2 2 3 3 2 3" xfId="23998"/>
    <cellStyle name="20% - Accent6 2 2 3 3 3" xfId="12514"/>
    <cellStyle name="20% - Accent6 2 2 3 3 4" xfId="20469"/>
    <cellStyle name="20% - Accent6 2 2 3 4" xfId="6319"/>
    <cellStyle name="20% - Accent6 2 2 3 4 2" xfId="14294"/>
    <cellStyle name="20% - Accent6 2 2 3 4 3" xfId="22241"/>
    <cellStyle name="20% - Accent6 2 2 3 5" xfId="9862"/>
    <cellStyle name="20% - Accent6 2 2 3 5 2" xfId="17820"/>
    <cellStyle name="20% - Accent6 2 2 3 5 3" xfId="25764"/>
    <cellStyle name="20% - Accent6 2 2 3 6" xfId="10758"/>
    <cellStyle name="20% - Accent6 2 2 3 7" xfId="18713"/>
    <cellStyle name="20% - Accent6 2 2 3_Exh G" xfId="2605"/>
    <cellStyle name="20% - Accent6 2 2 4" xfId="1328"/>
    <cellStyle name="20% - Accent6 2 2 4 2" xfId="4858"/>
    <cellStyle name="20% - Accent6 2 2 4 2 2" xfId="8449"/>
    <cellStyle name="20% - Accent6 2 2 4 2 2 2" xfId="16420"/>
    <cellStyle name="20% - Accent6 2 2 4 2 2 3" xfId="24366"/>
    <cellStyle name="20% - Accent6 2 2 4 2 3" xfId="12882"/>
    <cellStyle name="20% - Accent6 2 2 4 2 4" xfId="20837"/>
    <cellStyle name="20% - Accent6 2 2 4 3" xfId="6690"/>
    <cellStyle name="20% - Accent6 2 2 4 3 2" xfId="14662"/>
    <cellStyle name="20% - Accent6 2 2 4 3 3" xfId="22609"/>
    <cellStyle name="20% - Accent6 2 2 4 4" xfId="11126"/>
    <cellStyle name="20% - Accent6 2 2 4 5" xfId="19081"/>
    <cellStyle name="20% - Accent6 2 2 4_Exh G" xfId="2607"/>
    <cellStyle name="20% - Accent6 2 2 5" xfId="3979"/>
    <cellStyle name="20% - Accent6 2 2 5 2" xfId="7571"/>
    <cellStyle name="20% - Accent6 2 2 5 2 2" xfId="15542"/>
    <cellStyle name="20% - Accent6 2 2 5 2 3" xfId="23488"/>
    <cellStyle name="20% - Accent6 2 2 5 3" xfId="12004"/>
    <cellStyle name="20% - Accent6 2 2 5 4" xfId="19959"/>
    <cellStyle name="20% - Accent6 2 2 6" xfId="5799"/>
    <cellStyle name="20% - Accent6 2 2 6 2" xfId="13783"/>
    <cellStyle name="20% - Accent6 2 2 6 3" xfId="21731"/>
    <cellStyle name="20% - Accent6 2 2 7" xfId="9352"/>
    <cellStyle name="20% - Accent6 2 2 7 2" xfId="17310"/>
    <cellStyle name="20% - Accent6 2 2 7 3" xfId="25254"/>
    <cellStyle name="20% - Accent6 2 2 8" xfId="10248"/>
    <cellStyle name="20% - Accent6 2 2 9" xfId="18203"/>
    <cellStyle name="20% - Accent6 2 2_Exh G" xfId="2602"/>
    <cellStyle name="20% - Accent6 2 3" xfId="302"/>
    <cellStyle name="20% - Accent6 2 3 2" xfId="1330"/>
    <cellStyle name="20% - Accent6 2 3 2 2" xfId="4860"/>
    <cellStyle name="20% - Accent6 2 3 2 2 2" xfId="8451"/>
    <cellStyle name="20% - Accent6 2 3 2 2 2 2" xfId="16422"/>
    <cellStyle name="20% - Accent6 2 3 2 2 2 3" xfId="24368"/>
    <cellStyle name="20% - Accent6 2 3 2 2 3" xfId="12884"/>
    <cellStyle name="20% - Accent6 2 3 2 2 4" xfId="20839"/>
    <cellStyle name="20% - Accent6 2 3 2 3" xfId="6692"/>
    <cellStyle name="20% - Accent6 2 3 2 3 2" xfId="14664"/>
    <cellStyle name="20% - Accent6 2 3 2 3 3" xfId="22611"/>
    <cellStyle name="20% - Accent6 2 3 2 4" xfId="11128"/>
    <cellStyle name="20% - Accent6 2 3 2 5" xfId="19083"/>
    <cellStyle name="20% - Accent6 2 3 2_Exh G" xfId="2609"/>
    <cellStyle name="20% - Accent6 2 3 3" xfId="3981"/>
    <cellStyle name="20% - Accent6 2 3 3 2" xfId="7573"/>
    <cellStyle name="20% - Accent6 2 3 3 2 2" xfId="15544"/>
    <cellStyle name="20% - Accent6 2 3 3 2 3" xfId="23490"/>
    <cellStyle name="20% - Accent6 2 3 3 3" xfId="12006"/>
    <cellStyle name="20% - Accent6 2 3 3 4" xfId="19961"/>
    <cellStyle name="20% - Accent6 2 3 4" xfId="5801"/>
    <cellStyle name="20% - Accent6 2 3 4 2" xfId="13785"/>
    <cellStyle name="20% - Accent6 2 3 4 3" xfId="21733"/>
    <cellStyle name="20% - Accent6 2 3 5" xfId="9354"/>
    <cellStyle name="20% - Accent6 2 3 5 2" xfId="17312"/>
    <cellStyle name="20% - Accent6 2 3 5 3" xfId="25256"/>
    <cellStyle name="20% - Accent6 2 3 6" xfId="10250"/>
    <cellStyle name="20% - Accent6 2 3 7" xfId="18205"/>
    <cellStyle name="20% - Accent6 2 3_Exh G" xfId="2608"/>
    <cellStyle name="20% - Accent6 2 4" xfId="923"/>
    <cellStyle name="20% - Accent6 2 4 2" xfId="1849"/>
    <cellStyle name="20% - Accent6 2 4 2 2" xfId="5367"/>
    <cellStyle name="20% - Accent6 2 4 2 2 2" xfId="8958"/>
    <cellStyle name="20% - Accent6 2 4 2 2 2 2" xfId="16929"/>
    <cellStyle name="20% - Accent6 2 4 2 2 2 3" xfId="24875"/>
    <cellStyle name="20% - Accent6 2 4 2 2 3" xfId="13391"/>
    <cellStyle name="20% - Accent6 2 4 2 2 4" xfId="21346"/>
    <cellStyle name="20% - Accent6 2 4 2 3" xfId="7199"/>
    <cellStyle name="20% - Accent6 2 4 2 3 2" xfId="15171"/>
    <cellStyle name="20% - Accent6 2 4 2 3 3" xfId="23118"/>
    <cellStyle name="20% - Accent6 2 4 2 4" xfId="11635"/>
    <cellStyle name="20% - Accent6 2 4 2 5" xfId="19590"/>
    <cellStyle name="20% - Accent6 2 4 2_Exh G" xfId="2611"/>
    <cellStyle name="20% - Accent6 2 4 3" xfId="4488"/>
    <cellStyle name="20% - Accent6 2 4 3 2" xfId="8080"/>
    <cellStyle name="20% - Accent6 2 4 3 2 2" xfId="16051"/>
    <cellStyle name="20% - Accent6 2 4 3 2 3" xfId="23997"/>
    <cellStyle name="20% - Accent6 2 4 3 3" xfId="12513"/>
    <cellStyle name="20% - Accent6 2 4 3 4" xfId="20468"/>
    <cellStyle name="20% - Accent6 2 4 4" xfId="6318"/>
    <cellStyle name="20% - Accent6 2 4 4 2" xfId="14293"/>
    <cellStyle name="20% - Accent6 2 4 4 3" xfId="22240"/>
    <cellStyle name="20% - Accent6 2 4 5" xfId="9861"/>
    <cellStyle name="20% - Accent6 2 4 5 2" xfId="17819"/>
    <cellStyle name="20% - Accent6 2 4 5 3" xfId="25763"/>
    <cellStyle name="20% - Accent6 2 4 6" xfId="10757"/>
    <cellStyle name="20% - Accent6 2 4 7" xfId="18712"/>
    <cellStyle name="20% - Accent6 2 4_Exh G" xfId="2610"/>
    <cellStyle name="20% - Accent6 2 5" xfId="1327"/>
    <cellStyle name="20% - Accent6 2 5 2" xfId="4857"/>
    <cellStyle name="20% - Accent6 2 5 2 2" xfId="8448"/>
    <cellStyle name="20% - Accent6 2 5 2 2 2" xfId="16419"/>
    <cellStyle name="20% - Accent6 2 5 2 2 3" xfId="24365"/>
    <cellStyle name="20% - Accent6 2 5 2 3" xfId="12881"/>
    <cellStyle name="20% - Accent6 2 5 2 4" xfId="20836"/>
    <cellStyle name="20% - Accent6 2 5 3" xfId="6689"/>
    <cellStyle name="20% - Accent6 2 5 3 2" xfId="14661"/>
    <cellStyle name="20% - Accent6 2 5 3 3" xfId="22608"/>
    <cellStyle name="20% - Accent6 2 5 4" xfId="11125"/>
    <cellStyle name="20% - Accent6 2 5 5" xfId="19080"/>
    <cellStyle name="20% - Accent6 2 5_Exh G" xfId="2612"/>
    <cellStyle name="20% - Accent6 2 6" xfId="3978"/>
    <cellStyle name="20% - Accent6 2 6 2" xfId="7570"/>
    <cellStyle name="20% - Accent6 2 6 2 2" xfId="15541"/>
    <cellStyle name="20% - Accent6 2 6 2 3" xfId="23487"/>
    <cellStyle name="20% - Accent6 2 6 3" xfId="12003"/>
    <cellStyle name="20% - Accent6 2 6 4" xfId="19958"/>
    <cellStyle name="20% - Accent6 2 7" xfId="5798"/>
    <cellStyle name="20% - Accent6 2 7 2" xfId="13782"/>
    <cellStyle name="20% - Accent6 2 7 3" xfId="21730"/>
    <cellStyle name="20% - Accent6 2 8" xfId="9351"/>
    <cellStyle name="20% - Accent6 2 8 2" xfId="17309"/>
    <cellStyle name="20% - Accent6 2 8 3" xfId="25253"/>
    <cellStyle name="20% - Accent6 2 9" xfId="10247"/>
    <cellStyle name="20% - Accent6 2_Exh G" xfId="2601"/>
    <cellStyle name="20% - Accent6 3" xfId="303"/>
    <cellStyle name="20% - Accent6 3 10" xfId="18206"/>
    <cellStyle name="20% - Accent6 3 2" xfId="304"/>
    <cellStyle name="20% - Accent6 3 2 2" xfId="305"/>
    <cellStyle name="20% - Accent6 3 2 2 2" xfId="1333"/>
    <cellStyle name="20% - Accent6 3 2 2 2 2" xfId="4863"/>
    <cellStyle name="20% - Accent6 3 2 2 2 2 2" xfId="8454"/>
    <cellStyle name="20% - Accent6 3 2 2 2 2 2 2" xfId="16425"/>
    <cellStyle name="20% - Accent6 3 2 2 2 2 2 3" xfId="24371"/>
    <cellStyle name="20% - Accent6 3 2 2 2 2 3" xfId="12887"/>
    <cellStyle name="20% - Accent6 3 2 2 2 2 4" xfId="20842"/>
    <cellStyle name="20% - Accent6 3 2 2 2 3" xfId="6695"/>
    <cellStyle name="20% - Accent6 3 2 2 2 3 2" xfId="14667"/>
    <cellStyle name="20% - Accent6 3 2 2 2 3 3" xfId="22614"/>
    <cellStyle name="20% - Accent6 3 2 2 2 4" xfId="11131"/>
    <cellStyle name="20% - Accent6 3 2 2 2 5" xfId="19086"/>
    <cellStyle name="20% - Accent6 3 2 2 2_Exh G" xfId="2616"/>
    <cellStyle name="20% - Accent6 3 2 2 3" xfId="3984"/>
    <cellStyle name="20% - Accent6 3 2 2 3 2" xfId="7576"/>
    <cellStyle name="20% - Accent6 3 2 2 3 2 2" xfId="15547"/>
    <cellStyle name="20% - Accent6 3 2 2 3 2 3" xfId="23493"/>
    <cellStyle name="20% - Accent6 3 2 2 3 3" xfId="12009"/>
    <cellStyle name="20% - Accent6 3 2 2 3 4" xfId="19964"/>
    <cellStyle name="20% - Accent6 3 2 2 4" xfId="5804"/>
    <cellStyle name="20% - Accent6 3 2 2 4 2" xfId="13788"/>
    <cellStyle name="20% - Accent6 3 2 2 4 3" xfId="21736"/>
    <cellStyle name="20% - Accent6 3 2 2 5" xfId="9357"/>
    <cellStyle name="20% - Accent6 3 2 2 5 2" xfId="17315"/>
    <cellStyle name="20% - Accent6 3 2 2 5 3" xfId="25259"/>
    <cellStyle name="20% - Accent6 3 2 2 6" xfId="10253"/>
    <cellStyle name="20% - Accent6 3 2 2 7" xfId="18208"/>
    <cellStyle name="20% - Accent6 3 2 2_Exh G" xfId="2615"/>
    <cellStyle name="20% - Accent6 3 2 3" xfId="926"/>
    <cellStyle name="20% - Accent6 3 2 3 2" xfId="1852"/>
    <cellStyle name="20% - Accent6 3 2 3 2 2" xfId="5370"/>
    <cellStyle name="20% - Accent6 3 2 3 2 2 2" xfId="8961"/>
    <cellStyle name="20% - Accent6 3 2 3 2 2 2 2" xfId="16932"/>
    <cellStyle name="20% - Accent6 3 2 3 2 2 2 3" xfId="24878"/>
    <cellStyle name="20% - Accent6 3 2 3 2 2 3" xfId="13394"/>
    <cellStyle name="20% - Accent6 3 2 3 2 2 4" xfId="21349"/>
    <cellStyle name="20% - Accent6 3 2 3 2 3" xfId="7202"/>
    <cellStyle name="20% - Accent6 3 2 3 2 3 2" xfId="15174"/>
    <cellStyle name="20% - Accent6 3 2 3 2 3 3" xfId="23121"/>
    <cellStyle name="20% - Accent6 3 2 3 2 4" xfId="11638"/>
    <cellStyle name="20% - Accent6 3 2 3 2 5" xfId="19593"/>
    <cellStyle name="20% - Accent6 3 2 3 2_Exh G" xfId="2618"/>
    <cellStyle name="20% - Accent6 3 2 3 3" xfId="4491"/>
    <cellStyle name="20% - Accent6 3 2 3 3 2" xfId="8083"/>
    <cellStyle name="20% - Accent6 3 2 3 3 2 2" xfId="16054"/>
    <cellStyle name="20% - Accent6 3 2 3 3 2 3" xfId="24000"/>
    <cellStyle name="20% - Accent6 3 2 3 3 3" xfId="12516"/>
    <cellStyle name="20% - Accent6 3 2 3 3 4" xfId="20471"/>
    <cellStyle name="20% - Accent6 3 2 3 4" xfId="6321"/>
    <cellStyle name="20% - Accent6 3 2 3 4 2" xfId="14296"/>
    <cellStyle name="20% - Accent6 3 2 3 4 3" xfId="22243"/>
    <cellStyle name="20% - Accent6 3 2 3 5" xfId="9864"/>
    <cellStyle name="20% - Accent6 3 2 3 5 2" xfId="17822"/>
    <cellStyle name="20% - Accent6 3 2 3 5 3" xfId="25766"/>
    <cellStyle name="20% - Accent6 3 2 3 6" xfId="10760"/>
    <cellStyle name="20% - Accent6 3 2 3 7" xfId="18715"/>
    <cellStyle name="20% - Accent6 3 2 3_Exh G" xfId="2617"/>
    <cellStyle name="20% - Accent6 3 2 4" xfId="1332"/>
    <cellStyle name="20% - Accent6 3 2 4 2" xfId="4862"/>
    <cellStyle name="20% - Accent6 3 2 4 2 2" xfId="8453"/>
    <cellStyle name="20% - Accent6 3 2 4 2 2 2" xfId="16424"/>
    <cellStyle name="20% - Accent6 3 2 4 2 2 3" xfId="24370"/>
    <cellStyle name="20% - Accent6 3 2 4 2 3" xfId="12886"/>
    <cellStyle name="20% - Accent6 3 2 4 2 4" xfId="20841"/>
    <cellStyle name="20% - Accent6 3 2 4 3" xfId="6694"/>
    <cellStyle name="20% - Accent6 3 2 4 3 2" xfId="14666"/>
    <cellStyle name="20% - Accent6 3 2 4 3 3" xfId="22613"/>
    <cellStyle name="20% - Accent6 3 2 4 4" xfId="11130"/>
    <cellStyle name="20% - Accent6 3 2 4 5" xfId="19085"/>
    <cellStyle name="20% - Accent6 3 2 4_Exh G" xfId="2619"/>
    <cellStyle name="20% - Accent6 3 2 5" xfId="3983"/>
    <cellStyle name="20% - Accent6 3 2 5 2" xfId="7575"/>
    <cellStyle name="20% - Accent6 3 2 5 2 2" xfId="15546"/>
    <cellStyle name="20% - Accent6 3 2 5 2 3" xfId="23492"/>
    <cellStyle name="20% - Accent6 3 2 5 3" xfId="12008"/>
    <cellStyle name="20% - Accent6 3 2 5 4" xfId="19963"/>
    <cellStyle name="20% - Accent6 3 2 6" xfId="5803"/>
    <cellStyle name="20% - Accent6 3 2 6 2" xfId="13787"/>
    <cellStyle name="20% - Accent6 3 2 6 3" xfId="21735"/>
    <cellStyle name="20% - Accent6 3 2 7" xfId="9356"/>
    <cellStyle name="20% - Accent6 3 2 7 2" xfId="17314"/>
    <cellStyle name="20% - Accent6 3 2 7 3" xfId="25258"/>
    <cellStyle name="20% - Accent6 3 2 8" xfId="10252"/>
    <cellStyle name="20% - Accent6 3 2 9" xfId="18207"/>
    <cellStyle name="20% - Accent6 3 2_Exh G" xfId="2614"/>
    <cellStyle name="20% - Accent6 3 3" xfId="306"/>
    <cellStyle name="20% - Accent6 3 3 2" xfId="1334"/>
    <cellStyle name="20% - Accent6 3 3 2 2" xfId="4864"/>
    <cellStyle name="20% - Accent6 3 3 2 2 2" xfId="8455"/>
    <cellStyle name="20% - Accent6 3 3 2 2 2 2" xfId="16426"/>
    <cellStyle name="20% - Accent6 3 3 2 2 2 3" xfId="24372"/>
    <cellStyle name="20% - Accent6 3 3 2 2 3" xfId="12888"/>
    <cellStyle name="20% - Accent6 3 3 2 2 4" xfId="20843"/>
    <cellStyle name="20% - Accent6 3 3 2 3" xfId="6696"/>
    <cellStyle name="20% - Accent6 3 3 2 3 2" xfId="14668"/>
    <cellStyle name="20% - Accent6 3 3 2 3 3" xfId="22615"/>
    <cellStyle name="20% - Accent6 3 3 2 4" xfId="11132"/>
    <cellStyle name="20% - Accent6 3 3 2 5" xfId="19087"/>
    <cellStyle name="20% - Accent6 3 3 2_Exh G" xfId="2621"/>
    <cellStyle name="20% - Accent6 3 3 3" xfId="3985"/>
    <cellStyle name="20% - Accent6 3 3 3 2" xfId="7577"/>
    <cellStyle name="20% - Accent6 3 3 3 2 2" xfId="15548"/>
    <cellStyle name="20% - Accent6 3 3 3 2 3" xfId="23494"/>
    <cellStyle name="20% - Accent6 3 3 3 3" xfId="12010"/>
    <cellStyle name="20% - Accent6 3 3 3 4" xfId="19965"/>
    <cellStyle name="20% - Accent6 3 3 4" xfId="5805"/>
    <cellStyle name="20% - Accent6 3 3 4 2" xfId="13789"/>
    <cellStyle name="20% - Accent6 3 3 4 3" xfId="21737"/>
    <cellStyle name="20% - Accent6 3 3 5" xfId="9358"/>
    <cellStyle name="20% - Accent6 3 3 5 2" xfId="17316"/>
    <cellStyle name="20% - Accent6 3 3 5 3" xfId="25260"/>
    <cellStyle name="20% - Accent6 3 3 6" xfId="10254"/>
    <cellStyle name="20% - Accent6 3 3 7" xfId="18209"/>
    <cellStyle name="20% - Accent6 3 3_Exh G" xfId="2620"/>
    <cellStyle name="20% - Accent6 3 4" xfId="925"/>
    <cellStyle name="20% - Accent6 3 4 2" xfId="1851"/>
    <cellStyle name="20% - Accent6 3 4 2 2" xfId="5369"/>
    <cellStyle name="20% - Accent6 3 4 2 2 2" xfId="8960"/>
    <cellStyle name="20% - Accent6 3 4 2 2 2 2" xfId="16931"/>
    <cellStyle name="20% - Accent6 3 4 2 2 2 3" xfId="24877"/>
    <cellStyle name="20% - Accent6 3 4 2 2 3" xfId="13393"/>
    <cellStyle name="20% - Accent6 3 4 2 2 4" xfId="21348"/>
    <cellStyle name="20% - Accent6 3 4 2 3" xfId="7201"/>
    <cellStyle name="20% - Accent6 3 4 2 3 2" xfId="15173"/>
    <cellStyle name="20% - Accent6 3 4 2 3 3" xfId="23120"/>
    <cellStyle name="20% - Accent6 3 4 2 4" xfId="11637"/>
    <cellStyle name="20% - Accent6 3 4 2 5" xfId="19592"/>
    <cellStyle name="20% - Accent6 3 4 2_Exh G" xfId="2623"/>
    <cellStyle name="20% - Accent6 3 4 3" xfId="4490"/>
    <cellStyle name="20% - Accent6 3 4 3 2" xfId="8082"/>
    <cellStyle name="20% - Accent6 3 4 3 2 2" xfId="16053"/>
    <cellStyle name="20% - Accent6 3 4 3 2 3" xfId="23999"/>
    <cellStyle name="20% - Accent6 3 4 3 3" xfId="12515"/>
    <cellStyle name="20% - Accent6 3 4 3 4" xfId="20470"/>
    <cellStyle name="20% - Accent6 3 4 4" xfId="6320"/>
    <cellStyle name="20% - Accent6 3 4 4 2" xfId="14295"/>
    <cellStyle name="20% - Accent6 3 4 4 3" xfId="22242"/>
    <cellStyle name="20% - Accent6 3 4 5" xfId="9863"/>
    <cellStyle name="20% - Accent6 3 4 5 2" xfId="17821"/>
    <cellStyle name="20% - Accent6 3 4 5 3" xfId="25765"/>
    <cellStyle name="20% - Accent6 3 4 6" xfId="10759"/>
    <cellStyle name="20% - Accent6 3 4 7" xfId="18714"/>
    <cellStyle name="20% - Accent6 3 4_Exh G" xfId="2622"/>
    <cellStyle name="20% - Accent6 3 5" xfId="1331"/>
    <cellStyle name="20% - Accent6 3 5 2" xfId="4861"/>
    <cellStyle name="20% - Accent6 3 5 2 2" xfId="8452"/>
    <cellStyle name="20% - Accent6 3 5 2 2 2" xfId="16423"/>
    <cellStyle name="20% - Accent6 3 5 2 2 3" xfId="24369"/>
    <cellStyle name="20% - Accent6 3 5 2 3" xfId="12885"/>
    <cellStyle name="20% - Accent6 3 5 2 4" xfId="20840"/>
    <cellStyle name="20% - Accent6 3 5 3" xfId="6693"/>
    <cellStyle name="20% - Accent6 3 5 3 2" xfId="14665"/>
    <cellStyle name="20% - Accent6 3 5 3 3" xfId="22612"/>
    <cellStyle name="20% - Accent6 3 5 4" xfId="11129"/>
    <cellStyle name="20% - Accent6 3 5 5" xfId="19084"/>
    <cellStyle name="20% - Accent6 3 5_Exh G" xfId="2624"/>
    <cellStyle name="20% - Accent6 3 6" xfId="3982"/>
    <cellStyle name="20% - Accent6 3 6 2" xfId="7574"/>
    <cellStyle name="20% - Accent6 3 6 2 2" xfId="15545"/>
    <cellStyle name="20% - Accent6 3 6 2 3" xfId="23491"/>
    <cellStyle name="20% - Accent6 3 6 3" xfId="12007"/>
    <cellStyle name="20% - Accent6 3 6 4" xfId="19962"/>
    <cellStyle name="20% - Accent6 3 7" xfId="5802"/>
    <cellStyle name="20% - Accent6 3 7 2" xfId="13786"/>
    <cellStyle name="20% - Accent6 3 7 3" xfId="21734"/>
    <cellStyle name="20% - Accent6 3 8" xfId="9355"/>
    <cellStyle name="20% - Accent6 3 8 2" xfId="17313"/>
    <cellStyle name="20% - Accent6 3 8 3" xfId="25257"/>
    <cellStyle name="20% - Accent6 3 9" xfId="10251"/>
    <cellStyle name="20% - Accent6 3_Exh G" xfId="2613"/>
    <cellStyle name="20% - Accent6 4" xfId="307"/>
    <cellStyle name="20% - Accent6 4 10" xfId="18210"/>
    <cellStyle name="20% - Accent6 4 2" xfId="308"/>
    <cellStyle name="20% - Accent6 4 2 2" xfId="309"/>
    <cellStyle name="20% - Accent6 4 2 2 2" xfId="1337"/>
    <cellStyle name="20% - Accent6 4 2 2 2 2" xfId="4867"/>
    <cellStyle name="20% - Accent6 4 2 2 2 2 2" xfId="8458"/>
    <cellStyle name="20% - Accent6 4 2 2 2 2 2 2" xfId="16429"/>
    <cellStyle name="20% - Accent6 4 2 2 2 2 2 3" xfId="24375"/>
    <cellStyle name="20% - Accent6 4 2 2 2 2 3" xfId="12891"/>
    <cellStyle name="20% - Accent6 4 2 2 2 2 4" xfId="20846"/>
    <cellStyle name="20% - Accent6 4 2 2 2 3" xfId="6699"/>
    <cellStyle name="20% - Accent6 4 2 2 2 3 2" xfId="14671"/>
    <cellStyle name="20% - Accent6 4 2 2 2 3 3" xfId="22618"/>
    <cellStyle name="20% - Accent6 4 2 2 2 4" xfId="11135"/>
    <cellStyle name="20% - Accent6 4 2 2 2 5" xfId="19090"/>
    <cellStyle name="20% - Accent6 4 2 2 2_Exh G" xfId="2628"/>
    <cellStyle name="20% - Accent6 4 2 2 3" xfId="3988"/>
    <cellStyle name="20% - Accent6 4 2 2 3 2" xfId="7580"/>
    <cellStyle name="20% - Accent6 4 2 2 3 2 2" xfId="15551"/>
    <cellStyle name="20% - Accent6 4 2 2 3 2 3" xfId="23497"/>
    <cellStyle name="20% - Accent6 4 2 2 3 3" xfId="12013"/>
    <cellStyle name="20% - Accent6 4 2 2 3 4" xfId="19968"/>
    <cellStyle name="20% - Accent6 4 2 2 4" xfId="5808"/>
    <cellStyle name="20% - Accent6 4 2 2 4 2" xfId="13792"/>
    <cellStyle name="20% - Accent6 4 2 2 4 3" xfId="21740"/>
    <cellStyle name="20% - Accent6 4 2 2 5" xfId="9361"/>
    <cellStyle name="20% - Accent6 4 2 2 5 2" xfId="17319"/>
    <cellStyle name="20% - Accent6 4 2 2 5 3" xfId="25263"/>
    <cellStyle name="20% - Accent6 4 2 2 6" xfId="10257"/>
    <cellStyle name="20% - Accent6 4 2 2 7" xfId="18212"/>
    <cellStyle name="20% - Accent6 4 2 2_Exh G" xfId="2627"/>
    <cellStyle name="20% - Accent6 4 2 3" xfId="928"/>
    <cellStyle name="20% - Accent6 4 2 3 2" xfId="1854"/>
    <cellStyle name="20% - Accent6 4 2 3 2 2" xfId="5372"/>
    <cellStyle name="20% - Accent6 4 2 3 2 2 2" xfId="8963"/>
    <cellStyle name="20% - Accent6 4 2 3 2 2 2 2" xfId="16934"/>
    <cellStyle name="20% - Accent6 4 2 3 2 2 2 3" xfId="24880"/>
    <cellStyle name="20% - Accent6 4 2 3 2 2 3" xfId="13396"/>
    <cellStyle name="20% - Accent6 4 2 3 2 2 4" xfId="21351"/>
    <cellStyle name="20% - Accent6 4 2 3 2 3" xfId="7204"/>
    <cellStyle name="20% - Accent6 4 2 3 2 3 2" xfId="15176"/>
    <cellStyle name="20% - Accent6 4 2 3 2 3 3" xfId="23123"/>
    <cellStyle name="20% - Accent6 4 2 3 2 4" xfId="11640"/>
    <cellStyle name="20% - Accent6 4 2 3 2 5" xfId="19595"/>
    <cellStyle name="20% - Accent6 4 2 3 2_Exh G" xfId="2630"/>
    <cellStyle name="20% - Accent6 4 2 3 3" xfId="4493"/>
    <cellStyle name="20% - Accent6 4 2 3 3 2" xfId="8085"/>
    <cellStyle name="20% - Accent6 4 2 3 3 2 2" xfId="16056"/>
    <cellStyle name="20% - Accent6 4 2 3 3 2 3" xfId="24002"/>
    <cellStyle name="20% - Accent6 4 2 3 3 3" xfId="12518"/>
    <cellStyle name="20% - Accent6 4 2 3 3 4" xfId="20473"/>
    <cellStyle name="20% - Accent6 4 2 3 4" xfId="6323"/>
    <cellStyle name="20% - Accent6 4 2 3 4 2" xfId="14298"/>
    <cellStyle name="20% - Accent6 4 2 3 4 3" xfId="22245"/>
    <cellStyle name="20% - Accent6 4 2 3 5" xfId="9866"/>
    <cellStyle name="20% - Accent6 4 2 3 5 2" xfId="17824"/>
    <cellStyle name="20% - Accent6 4 2 3 5 3" xfId="25768"/>
    <cellStyle name="20% - Accent6 4 2 3 6" xfId="10762"/>
    <cellStyle name="20% - Accent6 4 2 3 7" xfId="18717"/>
    <cellStyle name="20% - Accent6 4 2 3_Exh G" xfId="2629"/>
    <cellStyle name="20% - Accent6 4 2 4" xfId="1336"/>
    <cellStyle name="20% - Accent6 4 2 4 2" xfId="4866"/>
    <cellStyle name="20% - Accent6 4 2 4 2 2" xfId="8457"/>
    <cellStyle name="20% - Accent6 4 2 4 2 2 2" xfId="16428"/>
    <cellStyle name="20% - Accent6 4 2 4 2 2 3" xfId="24374"/>
    <cellStyle name="20% - Accent6 4 2 4 2 3" xfId="12890"/>
    <cellStyle name="20% - Accent6 4 2 4 2 4" xfId="20845"/>
    <cellStyle name="20% - Accent6 4 2 4 3" xfId="6698"/>
    <cellStyle name="20% - Accent6 4 2 4 3 2" xfId="14670"/>
    <cellStyle name="20% - Accent6 4 2 4 3 3" xfId="22617"/>
    <cellStyle name="20% - Accent6 4 2 4 4" xfId="11134"/>
    <cellStyle name="20% - Accent6 4 2 4 5" xfId="19089"/>
    <cellStyle name="20% - Accent6 4 2 4_Exh G" xfId="2631"/>
    <cellStyle name="20% - Accent6 4 2 5" xfId="3987"/>
    <cellStyle name="20% - Accent6 4 2 5 2" xfId="7579"/>
    <cellStyle name="20% - Accent6 4 2 5 2 2" xfId="15550"/>
    <cellStyle name="20% - Accent6 4 2 5 2 3" xfId="23496"/>
    <cellStyle name="20% - Accent6 4 2 5 3" xfId="12012"/>
    <cellStyle name="20% - Accent6 4 2 5 4" xfId="19967"/>
    <cellStyle name="20% - Accent6 4 2 6" xfId="5807"/>
    <cellStyle name="20% - Accent6 4 2 6 2" xfId="13791"/>
    <cellStyle name="20% - Accent6 4 2 6 3" xfId="21739"/>
    <cellStyle name="20% - Accent6 4 2 7" xfId="9360"/>
    <cellStyle name="20% - Accent6 4 2 7 2" xfId="17318"/>
    <cellStyle name="20% - Accent6 4 2 7 3" xfId="25262"/>
    <cellStyle name="20% - Accent6 4 2 8" xfId="10256"/>
    <cellStyle name="20% - Accent6 4 2 9" xfId="18211"/>
    <cellStyle name="20% - Accent6 4 2_Exh G" xfId="2626"/>
    <cellStyle name="20% - Accent6 4 3" xfId="310"/>
    <cellStyle name="20% - Accent6 4 3 2" xfId="1338"/>
    <cellStyle name="20% - Accent6 4 3 2 2" xfId="4868"/>
    <cellStyle name="20% - Accent6 4 3 2 2 2" xfId="8459"/>
    <cellStyle name="20% - Accent6 4 3 2 2 2 2" xfId="16430"/>
    <cellStyle name="20% - Accent6 4 3 2 2 2 3" xfId="24376"/>
    <cellStyle name="20% - Accent6 4 3 2 2 3" xfId="12892"/>
    <cellStyle name="20% - Accent6 4 3 2 2 4" xfId="20847"/>
    <cellStyle name="20% - Accent6 4 3 2 3" xfId="6700"/>
    <cellStyle name="20% - Accent6 4 3 2 3 2" xfId="14672"/>
    <cellStyle name="20% - Accent6 4 3 2 3 3" xfId="22619"/>
    <cellStyle name="20% - Accent6 4 3 2 4" xfId="11136"/>
    <cellStyle name="20% - Accent6 4 3 2 5" xfId="19091"/>
    <cellStyle name="20% - Accent6 4 3 2_Exh G" xfId="2633"/>
    <cellStyle name="20% - Accent6 4 3 3" xfId="3989"/>
    <cellStyle name="20% - Accent6 4 3 3 2" xfId="7581"/>
    <cellStyle name="20% - Accent6 4 3 3 2 2" xfId="15552"/>
    <cellStyle name="20% - Accent6 4 3 3 2 3" xfId="23498"/>
    <cellStyle name="20% - Accent6 4 3 3 3" xfId="12014"/>
    <cellStyle name="20% - Accent6 4 3 3 4" xfId="19969"/>
    <cellStyle name="20% - Accent6 4 3 4" xfId="5809"/>
    <cellStyle name="20% - Accent6 4 3 4 2" xfId="13793"/>
    <cellStyle name="20% - Accent6 4 3 4 3" xfId="21741"/>
    <cellStyle name="20% - Accent6 4 3 5" xfId="9362"/>
    <cellStyle name="20% - Accent6 4 3 5 2" xfId="17320"/>
    <cellStyle name="20% - Accent6 4 3 5 3" xfId="25264"/>
    <cellStyle name="20% - Accent6 4 3 6" xfId="10258"/>
    <cellStyle name="20% - Accent6 4 3 7" xfId="18213"/>
    <cellStyle name="20% - Accent6 4 3_Exh G" xfId="2632"/>
    <cellStyle name="20% - Accent6 4 4" xfId="927"/>
    <cellStyle name="20% - Accent6 4 4 2" xfId="1853"/>
    <cellStyle name="20% - Accent6 4 4 2 2" xfId="5371"/>
    <cellStyle name="20% - Accent6 4 4 2 2 2" xfId="8962"/>
    <cellStyle name="20% - Accent6 4 4 2 2 2 2" xfId="16933"/>
    <cellStyle name="20% - Accent6 4 4 2 2 2 3" xfId="24879"/>
    <cellStyle name="20% - Accent6 4 4 2 2 3" xfId="13395"/>
    <cellStyle name="20% - Accent6 4 4 2 2 4" xfId="21350"/>
    <cellStyle name="20% - Accent6 4 4 2 3" xfId="7203"/>
    <cellStyle name="20% - Accent6 4 4 2 3 2" xfId="15175"/>
    <cellStyle name="20% - Accent6 4 4 2 3 3" xfId="23122"/>
    <cellStyle name="20% - Accent6 4 4 2 4" xfId="11639"/>
    <cellStyle name="20% - Accent6 4 4 2 5" xfId="19594"/>
    <cellStyle name="20% - Accent6 4 4 2_Exh G" xfId="2635"/>
    <cellStyle name="20% - Accent6 4 4 3" xfId="4492"/>
    <cellStyle name="20% - Accent6 4 4 3 2" xfId="8084"/>
    <cellStyle name="20% - Accent6 4 4 3 2 2" xfId="16055"/>
    <cellStyle name="20% - Accent6 4 4 3 2 3" xfId="24001"/>
    <cellStyle name="20% - Accent6 4 4 3 3" xfId="12517"/>
    <cellStyle name="20% - Accent6 4 4 3 4" xfId="20472"/>
    <cellStyle name="20% - Accent6 4 4 4" xfId="6322"/>
    <cellStyle name="20% - Accent6 4 4 4 2" xfId="14297"/>
    <cellStyle name="20% - Accent6 4 4 4 3" xfId="22244"/>
    <cellStyle name="20% - Accent6 4 4 5" xfId="9865"/>
    <cellStyle name="20% - Accent6 4 4 5 2" xfId="17823"/>
    <cellStyle name="20% - Accent6 4 4 5 3" xfId="25767"/>
    <cellStyle name="20% - Accent6 4 4 6" xfId="10761"/>
    <cellStyle name="20% - Accent6 4 4 7" xfId="18716"/>
    <cellStyle name="20% - Accent6 4 4_Exh G" xfId="2634"/>
    <cellStyle name="20% - Accent6 4 5" xfId="1335"/>
    <cellStyle name="20% - Accent6 4 5 2" xfId="4865"/>
    <cellStyle name="20% - Accent6 4 5 2 2" xfId="8456"/>
    <cellStyle name="20% - Accent6 4 5 2 2 2" xfId="16427"/>
    <cellStyle name="20% - Accent6 4 5 2 2 3" xfId="24373"/>
    <cellStyle name="20% - Accent6 4 5 2 3" xfId="12889"/>
    <cellStyle name="20% - Accent6 4 5 2 4" xfId="20844"/>
    <cellStyle name="20% - Accent6 4 5 3" xfId="6697"/>
    <cellStyle name="20% - Accent6 4 5 3 2" xfId="14669"/>
    <cellStyle name="20% - Accent6 4 5 3 3" xfId="22616"/>
    <cellStyle name="20% - Accent6 4 5 4" xfId="11133"/>
    <cellStyle name="20% - Accent6 4 5 5" xfId="19088"/>
    <cellStyle name="20% - Accent6 4 5_Exh G" xfId="2636"/>
    <cellStyle name="20% - Accent6 4 6" xfId="3986"/>
    <cellStyle name="20% - Accent6 4 6 2" xfId="7578"/>
    <cellStyle name="20% - Accent6 4 6 2 2" xfId="15549"/>
    <cellStyle name="20% - Accent6 4 6 2 3" xfId="23495"/>
    <cellStyle name="20% - Accent6 4 6 3" xfId="12011"/>
    <cellStyle name="20% - Accent6 4 6 4" xfId="19966"/>
    <cellStyle name="20% - Accent6 4 7" xfId="5806"/>
    <cellStyle name="20% - Accent6 4 7 2" xfId="13790"/>
    <cellStyle name="20% - Accent6 4 7 3" xfId="21738"/>
    <cellStyle name="20% - Accent6 4 8" xfId="9359"/>
    <cellStyle name="20% - Accent6 4 8 2" xfId="17317"/>
    <cellStyle name="20% - Accent6 4 8 3" xfId="25261"/>
    <cellStyle name="20% - Accent6 4 9" xfId="10255"/>
    <cellStyle name="20% - Accent6 4_Exh G" xfId="2625"/>
    <cellStyle name="20% - Accent6 5" xfId="311"/>
    <cellStyle name="20% - Accent6 5 10" xfId="18214"/>
    <cellStyle name="20% - Accent6 5 2" xfId="312"/>
    <cellStyle name="20% - Accent6 5 2 2" xfId="313"/>
    <cellStyle name="20% - Accent6 5 2 2 2" xfId="1341"/>
    <cellStyle name="20% - Accent6 5 2 2 2 2" xfId="4871"/>
    <cellStyle name="20% - Accent6 5 2 2 2 2 2" xfId="8462"/>
    <cellStyle name="20% - Accent6 5 2 2 2 2 2 2" xfId="16433"/>
    <cellStyle name="20% - Accent6 5 2 2 2 2 2 3" xfId="24379"/>
    <cellStyle name="20% - Accent6 5 2 2 2 2 3" xfId="12895"/>
    <cellStyle name="20% - Accent6 5 2 2 2 2 4" xfId="20850"/>
    <cellStyle name="20% - Accent6 5 2 2 2 3" xfId="6703"/>
    <cellStyle name="20% - Accent6 5 2 2 2 3 2" xfId="14675"/>
    <cellStyle name="20% - Accent6 5 2 2 2 3 3" xfId="22622"/>
    <cellStyle name="20% - Accent6 5 2 2 2 4" xfId="11139"/>
    <cellStyle name="20% - Accent6 5 2 2 2 5" xfId="19094"/>
    <cellStyle name="20% - Accent6 5 2 2 2_Exh G" xfId="2640"/>
    <cellStyle name="20% - Accent6 5 2 2 3" xfId="3992"/>
    <cellStyle name="20% - Accent6 5 2 2 3 2" xfId="7584"/>
    <cellStyle name="20% - Accent6 5 2 2 3 2 2" xfId="15555"/>
    <cellStyle name="20% - Accent6 5 2 2 3 2 3" xfId="23501"/>
    <cellStyle name="20% - Accent6 5 2 2 3 3" xfId="12017"/>
    <cellStyle name="20% - Accent6 5 2 2 3 4" xfId="19972"/>
    <cellStyle name="20% - Accent6 5 2 2 4" xfId="5812"/>
    <cellStyle name="20% - Accent6 5 2 2 4 2" xfId="13796"/>
    <cellStyle name="20% - Accent6 5 2 2 4 3" xfId="21744"/>
    <cellStyle name="20% - Accent6 5 2 2 5" xfId="9365"/>
    <cellStyle name="20% - Accent6 5 2 2 5 2" xfId="17323"/>
    <cellStyle name="20% - Accent6 5 2 2 5 3" xfId="25267"/>
    <cellStyle name="20% - Accent6 5 2 2 6" xfId="10261"/>
    <cellStyle name="20% - Accent6 5 2 2 7" xfId="18216"/>
    <cellStyle name="20% - Accent6 5 2 2_Exh G" xfId="2639"/>
    <cellStyle name="20% - Accent6 5 2 3" xfId="1340"/>
    <cellStyle name="20% - Accent6 5 2 3 2" xfId="4870"/>
    <cellStyle name="20% - Accent6 5 2 3 2 2" xfId="8461"/>
    <cellStyle name="20% - Accent6 5 2 3 2 2 2" xfId="16432"/>
    <cellStyle name="20% - Accent6 5 2 3 2 2 3" xfId="24378"/>
    <cellStyle name="20% - Accent6 5 2 3 2 3" xfId="12894"/>
    <cellStyle name="20% - Accent6 5 2 3 2 4" xfId="20849"/>
    <cellStyle name="20% - Accent6 5 2 3 3" xfId="6702"/>
    <cellStyle name="20% - Accent6 5 2 3 3 2" xfId="14674"/>
    <cellStyle name="20% - Accent6 5 2 3 3 3" xfId="22621"/>
    <cellStyle name="20% - Accent6 5 2 3 4" xfId="11138"/>
    <cellStyle name="20% - Accent6 5 2 3 5" xfId="19093"/>
    <cellStyle name="20% - Accent6 5 2 3_Exh G" xfId="2641"/>
    <cellStyle name="20% - Accent6 5 2 4" xfId="3991"/>
    <cellStyle name="20% - Accent6 5 2 4 2" xfId="7583"/>
    <cellStyle name="20% - Accent6 5 2 4 2 2" xfId="15554"/>
    <cellStyle name="20% - Accent6 5 2 4 2 3" xfId="23500"/>
    <cellStyle name="20% - Accent6 5 2 4 3" xfId="12016"/>
    <cellStyle name="20% - Accent6 5 2 4 4" xfId="19971"/>
    <cellStyle name="20% - Accent6 5 2 5" xfId="5811"/>
    <cellStyle name="20% - Accent6 5 2 5 2" xfId="13795"/>
    <cellStyle name="20% - Accent6 5 2 5 3" xfId="21743"/>
    <cellStyle name="20% - Accent6 5 2 6" xfId="9364"/>
    <cellStyle name="20% - Accent6 5 2 6 2" xfId="17322"/>
    <cellStyle name="20% - Accent6 5 2 6 3" xfId="25266"/>
    <cellStyle name="20% - Accent6 5 2 7" xfId="10260"/>
    <cellStyle name="20% - Accent6 5 2 8" xfId="18215"/>
    <cellStyle name="20% - Accent6 5 2_Exh G" xfId="2638"/>
    <cellStyle name="20% - Accent6 5 3" xfId="314"/>
    <cellStyle name="20% - Accent6 5 3 2" xfId="1342"/>
    <cellStyle name="20% - Accent6 5 3 2 2" xfId="4872"/>
    <cellStyle name="20% - Accent6 5 3 2 2 2" xfId="8463"/>
    <cellStyle name="20% - Accent6 5 3 2 2 2 2" xfId="16434"/>
    <cellStyle name="20% - Accent6 5 3 2 2 2 3" xfId="24380"/>
    <cellStyle name="20% - Accent6 5 3 2 2 3" xfId="12896"/>
    <cellStyle name="20% - Accent6 5 3 2 2 4" xfId="20851"/>
    <cellStyle name="20% - Accent6 5 3 2 3" xfId="6704"/>
    <cellStyle name="20% - Accent6 5 3 2 3 2" xfId="14676"/>
    <cellStyle name="20% - Accent6 5 3 2 3 3" xfId="22623"/>
    <cellStyle name="20% - Accent6 5 3 2 4" xfId="11140"/>
    <cellStyle name="20% - Accent6 5 3 2 5" xfId="19095"/>
    <cellStyle name="20% - Accent6 5 3 2_Exh G" xfId="2643"/>
    <cellStyle name="20% - Accent6 5 3 3" xfId="3993"/>
    <cellStyle name="20% - Accent6 5 3 3 2" xfId="7585"/>
    <cellStyle name="20% - Accent6 5 3 3 2 2" xfId="15556"/>
    <cellStyle name="20% - Accent6 5 3 3 2 3" xfId="23502"/>
    <cellStyle name="20% - Accent6 5 3 3 3" xfId="12018"/>
    <cellStyle name="20% - Accent6 5 3 3 4" xfId="19973"/>
    <cellStyle name="20% - Accent6 5 3 4" xfId="5813"/>
    <cellStyle name="20% - Accent6 5 3 4 2" xfId="13797"/>
    <cellStyle name="20% - Accent6 5 3 4 3" xfId="21745"/>
    <cellStyle name="20% - Accent6 5 3 5" xfId="9366"/>
    <cellStyle name="20% - Accent6 5 3 5 2" xfId="17324"/>
    <cellStyle name="20% - Accent6 5 3 5 3" xfId="25268"/>
    <cellStyle name="20% - Accent6 5 3 6" xfId="10262"/>
    <cellStyle name="20% - Accent6 5 3 7" xfId="18217"/>
    <cellStyle name="20% - Accent6 5 3_Exh G" xfId="2642"/>
    <cellStyle name="20% - Accent6 5 4" xfId="929"/>
    <cellStyle name="20% - Accent6 5 5" xfId="1339"/>
    <cellStyle name="20% - Accent6 5 5 2" xfId="4869"/>
    <cellStyle name="20% - Accent6 5 5 2 2" xfId="8460"/>
    <cellStyle name="20% - Accent6 5 5 2 2 2" xfId="16431"/>
    <cellStyle name="20% - Accent6 5 5 2 2 3" xfId="24377"/>
    <cellStyle name="20% - Accent6 5 5 2 3" xfId="12893"/>
    <cellStyle name="20% - Accent6 5 5 2 4" xfId="20848"/>
    <cellStyle name="20% - Accent6 5 5 3" xfId="6701"/>
    <cellStyle name="20% - Accent6 5 5 3 2" xfId="14673"/>
    <cellStyle name="20% - Accent6 5 5 3 3" xfId="22620"/>
    <cellStyle name="20% - Accent6 5 5 4" xfId="11137"/>
    <cellStyle name="20% - Accent6 5 5 5" xfId="19092"/>
    <cellStyle name="20% - Accent6 5 5_Exh G" xfId="2644"/>
    <cellStyle name="20% - Accent6 5 6" xfId="3990"/>
    <cellStyle name="20% - Accent6 5 6 2" xfId="7582"/>
    <cellStyle name="20% - Accent6 5 6 2 2" xfId="15553"/>
    <cellStyle name="20% - Accent6 5 6 2 3" xfId="23499"/>
    <cellStyle name="20% - Accent6 5 6 3" xfId="12015"/>
    <cellStyle name="20% - Accent6 5 6 4" xfId="19970"/>
    <cellStyle name="20% - Accent6 5 7" xfId="5810"/>
    <cellStyle name="20% - Accent6 5 7 2" xfId="13794"/>
    <cellStyle name="20% - Accent6 5 7 3" xfId="21742"/>
    <cellStyle name="20% - Accent6 5 8" xfId="9363"/>
    <cellStyle name="20% - Accent6 5 8 2" xfId="17321"/>
    <cellStyle name="20% - Accent6 5 8 3" xfId="25265"/>
    <cellStyle name="20% - Accent6 5 9" xfId="10259"/>
    <cellStyle name="20% - Accent6 5_Exh G" xfId="2637"/>
    <cellStyle name="20% - Accent6 6" xfId="315"/>
    <cellStyle name="20% - Accent6 6 10" xfId="18218"/>
    <cellStyle name="20% - Accent6 6 2" xfId="316"/>
    <cellStyle name="20% - Accent6 6 2 2" xfId="317"/>
    <cellStyle name="20% - Accent6 6 2 2 2" xfId="1345"/>
    <cellStyle name="20% - Accent6 6 2 2 2 2" xfId="4875"/>
    <cellStyle name="20% - Accent6 6 2 2 2 2 2" xfId="8466"/>
    <cellStyle name="20% - Accent6 6 2 2 2 2 2 2" xfId="16437"/>
    <cellStyle name="20% - Accent6 6 2 2 2 2 2 3" xfId="24383"/>
    <cellStyle name="20% - Accent6 6 2 2 2 2 3" xfId="12899"/>
    <cellStyle name="20% - Accent6 6 2 2 2 2 4" xfId="20854"/>
    <cellStyle name="20% - Accent6 6 2 2 2 3" xfId="6707"/>
    <cellStyle name="20% - Accent6 6 2 2 2 3 2" xfId="14679"/>
    <cellStyle name="20% - Accent6 6 2 2 2 3 3" xfId="22626"/>
    <cellStyle name="20% - Accent6 6 2 2 2 4" xfId="11143"/>
    <cellStyle name="20% - Accent6 6 2 2 2 5" xfId="19098"/>
    <cellStyle name="20% - Accent6 6 2 2 2_Exh G" xfId="2648"/>
    <cellStyle name="20% - Accent6 6 2 2 3" xfId="3996"/>
    <cellStyle name="20% - Accent6 6 2 2 3 2" xfId="7588"/>
    <cellStyle name="20% - Accent6 6 2 2 3 2 2" xfId="15559"/>
    <cellStyle name="20% - Accent6 6 2 2 3 2 3" xfId="23505"/>
    <cellStyle name="20% - Accent6 6 2 2 3 3" xfId="12021"/>
    <cellStyle name="20% - Accent6 6 2 2 3 4" xfId="19976"/>
    <cellStyle name="20% - Accent6 6 2 2 4" xfId="5816"/>
    <cellStyle name="20% - Accent6 6 2 2 4 2" xfId="13800"/>
    <cellStyle name="20% - Accent6 6 2 2 4 3" xfId="21748"/>
    <cellStyle name="20% - Accent6 6 2 2 5" xfId="9369"/>
    <cellStyle name="20% - Accent6 6 2 2 5 2" xfId="17327"/>
    <cellStyle name="20% - Accent6 6 2 2 5 3" xfId="25271"/>
    <cellStyle name="20% - Accent6 6 2 2 6" xfId="10265"/>
    <cellStyle name="20% - Accent6 6 2 2 7" xfId="18220"/>
    <cellStyle name="20% - Accent6 6 2 2_Exh G" xfId="2647"/>
    <cellStyle name="20% - Accent6 6 2 3" xfId="1344"/>
    <cellStyle name="20% - Accent6 6 2 3 2" xfId="4874"/>
    <cellStyle name="20% - Accent6 6 2 3 2 2" xfId="8465"/>
    <cellStyle name="20% - Accent6 6 2 3 2 2 2" xfId="16436"/>
    <cellStyle name="20% - Accent6 6 2 3 2 2 3" xfId="24382"/>
    <cellStyle name="20% - Accent6 6 2 3 2 3" xfId="12898"/>
    <cellStyle name="20% - Accent6 6 2 3 2 4" xfId="20853"/>
    <cellStyle name="20% - Accent6 6 2 3 3" xfId="6706"/>
    <cellStyle name="20% - Accent6 6 2 3 3 2" xfId="14678"/>
    <cellStyle name="20% - Accent6 6 2 3 3 3" xfId="22625"/>
    <cellStyle name="20% - Accent6 6 2 3 4" xfId="11142"/>
    <cellStyle name="20% - Accent6 6 2 3 5" xfId="19097"/>
    <cellStyle name="20% - Accent6 6 2 3_Exh G" xfId="2649"/>
    <cellStyle name="20% - Accent6 6 2 4" xfId="3995"/>
    <cellStyle name="20% - Accent6 6 2 4 2" xfId="7587"/>
    <cellStyle name="20% - Accent6 6 2 4 2 2" xfId="15558"/>
    <cellStyle name="20% - Accent6 6 2 4 2 3" xfId="23504"/>
    <cellStyle name="20% - Accent6 6 2 4 3" xfId="12020"/>
    <cellStyle name="20% - Accent6 6 2 4 4" xfId="19975"/>
    <cellStyle name="20% - Accent6 6 2 5" xfId="5815"/>
    <cellStyle name="20% - Accent6 6 2 5 2" xfId="13799"/>
    <cellStyle name="20% - Accent6 6 2 5 3" xfId="21747"/>
    <cellStyle name="20% - Accent6 6 2 6" xfId="9368"/>
    <cellStyle name="20% - Accent6 6 2 6 2" xfId="17326"/>
    <cellStyle name="20% - Accent6 6 2 6 3" xfId="25270"/>
    <cellStyle name="20% - Accent6 6 2 7" xfId="10264"/>
    <cellStyle name="20% - Accent6 6 2 8" xfId="18219"/>
    <cellStyle name="20% - Accent6 6 2_Exh G" xfId="2646"/>
    <cellStyle name="20% - Accent6 6 3" xfId="318"/>
    <cellStyle name="20% - Accent6 6 3 2" xfId="1346"/>
    <cellStyle name="20% - Accent6 6 3 2 2" xfId="4876"/>
    <cellStyle name="20% - Accent6 6 3 2 2 2" xfId="8467"/>
    <cellStyle name="20% - Accent6 6 3 2 2 2 2" xfId="16438"/>
    <cellStyle name="20% - Accent6 6 3 2 2 2 3" xfId="24384"/>
    <cellStyle name="20% - Accent6 6 3 2 2 3" xfId="12900"/>
    <cellStyle name="20% - Accent6 6 3 2 2 4" xfId="20855"/>
    <cellStyle name="20% - Accent6 6 3 2 3" xfId="6708"/>
    <cellStyle name="20% - Accent6 6 3 2 3 2" xfId="14680"/>
    <cellStyle name="20% - Accent6 6 3 2 3 3" xfId="22627"/>
    <cellStyle name="20% - Accent6 6 3 2 4" xfId="11144"/>
    <cellStyle name="20% - Accent6 6 3 2 5" xfId="19099"/>
    <cellStyle name="20% - Accent6 6 3 2_Exh G" xfId="2651"/>
    <cellStyle name="20% - Accent6 6 3 3" xfId="3997"/>
    <cellStyle name="20% - Accent6 6 3 3 2" xfId="7589"/>
    <cellStyle name="20% - Accent6 6 3 3 2 2" xfId="15560"/>
    <cellStyle name="20% - Accent6 6 3 3 2 3" xfId="23506"/>
    <cellStyle name="20% - Accent6 6 3 3 3" xfId="12022"/>
    <cellStyle name="20% - Accent6 6 3 3 4" xfId="19977"/>
    <cellStyle name="20% - Accent6 6 3 4" xfId="5817"/>
    <cellStyle name="20% - Accent6 6 3 4 2" xfId="13801"/>
    <cellStyle name="20% - Accent6 6 3 4 3" xfId="21749"/>
    <cellStyle name="20% - Accent6 6 3 5" xfId="9370"/>
    <cellStyle name="20% - Accent6 6 3 5 2" xfId="17328"/>
    <cellStyle name="20% - Accent6 6 3 5 3" xfId="25272"/>
    <cellStyle name="20% - Accent6 6 3 6" xfId="10266"/>
    <cellStyle name="20% - Accent6 6 3 7" xfId="18221"/>
    <cellStyle name="20% - Accent6 6 3_Exh G" xfId="2650"/>
    <cellStyle name="20% - Accent6 6 4" xfId="930"/>
    <cellStyle name="20% - Accent6 6 4 2" xfId="1855"/>
    <cellStyle name="20% - Accent6 6 4 2 2" xfId="5373"/>
    <cellStyle name="20% - Accent6 6 4 2 2 2" xfId="8964"/>
    <cellStyle name="20% - Accent6 6 4 2 2 2 2" xfId="16935"/>
    <cellStyle name="20% - Accent6 6 4 2 2 2 3" xfId="24881"/>
    <cellStyle name="20% - Accent6 6 4 2 2 3" xfId="13397"/>
    <cellStyle name="20% - Accent6 6 4 2 2 4" xfId="21352"/>
    <cellStyle name="20% - Accent6 6 4 2 3" xfId="7205"/>
    <cellStyle name="20% - Accent6 6 4 2 3 2" xfId="15177"/>
    <cellStyle name="20% - Accent6 6 4 2 3 3" xfId="23124"/>
    <cellStyle name="20% - Accent6 6 4 2 4" xfId="11641"/>
    <cellStyle name="20% - Accent6 6 4 2 5" xfId="19596"/>
    <cellStyle name="20% - Accent6 6 4 2_Exh G" xfId="2653"/>
    <cellStyle name="20% - Accent6 6 4 3" xfId="4494"/>
    <cellStyle name="20% - Accent6 6 4 3 2" xfId="8086"/>
    <cellStyle name="20% - Accent6 6 4 3 2 2" xfId="16057"/>
    <cellStyle name="20% - Accent6 6 4 3 2 3" xfId="24003"/>
    <cellStyle name="20% - Accent6 6 4 3 3" xfId="12519"/>
    <cellStyle name="20% - Accent6 6 4 3 4" xfId="20474"/>
    <cellStyle name="20% - Accent6 6 4 4" xfId="6324"/>
    <cellStyle name="20% - Accent6 6 4 4 2" xfId="14299"/>
    <cellStyle name="20% - Accent6 6 4 4 3" xfId="22246"/>
    <cellStyle name="20% - Accent6 6 4 5" xfId="9867"/>
    <cellStyle name="20% - Accent6 6 4 5 2" xfId="17825"/>
    <cellStyle name="20% - Accent6 6 4 5 3" xfId="25769"/>
    <cellStyle name="20% - Accent6 6 4 6" xfId="10763"/>
    <cellStyle name="20% - Accent6 6 4 7" xfId="18718"/>
    <cellStyle name="20% - Accent6 6 4_Exh G" xfId="2652"/>
    <cellStyle name="20% - Accent6 6 5" xfId="1343"/>
    <cellStyle name="20% - Accent6 6 5 2" xfId="4873"/>
    <cellStyle name="20% - Accent6 6 5 2 2" xfId="8464"/>
    <cellStyle name="20% - Accent6 6 5 2 2 2" xfId="16435"/>
    <cellStyle name="20% - Accent6 6 5 2 2 3" xfId="24381"/>
    <cellStyle name="20% - Accent6 6 5 2 3" xfId="12897"/>
    <cellStyle name="20% - Accent6 6 5 2 4" xfId="20852"/>
    <cellStyle name="20% - Accent6 6 5 3" xfId="6705"/>
    <cellStyle name="20% - Accent6 6 5 3 2" xfId="14677"/>
    <cellStyle name="20% - Accent6 6 5 3 3" xfId="22624"/>
    <cellStyle name="20% - Accent6 6 5 4" xfId="11141"/>
    <cellStyle name="20% - Accent6 6 5 5" xfId="19096"/>
    <cellStyle name="20% - Accent6 6 5_Exh G" xfId="2654"/>
    <cellStyle name="20% - Accent6 6 6" xfId="3994"/>
    <cellStyle name="20% - Accent6 6 6 2" xfId="7586"/>
    <cellStyle name="20% - Accent6 6 6 2 2" xfId="15557"/>
    <cellStyle name="20% - Accent6 6 6 2 3" xfId="23503"/>
    <cellStyle name="20% - Accent6 6 6 3" xfId="12019"/>
    <cellStyle name="20% - Accent6 6 6 4" xfId="19974"/>
    <cellStyle name="20% - Accent6 6 7" xfId="5814"/>
    <cellStyle name="20% - Accent6 6 7 2" xfId="13798"/>
    <cellStyle name="20% - Accent6 6 7 3" xfId="21746"/>
    <cellStyle name="20% - Accent6 6 8" xfId="9367"/>
    <cellStyle name="20% - Accent6 6 8 2" xfId="17325"/>
    <cellStyle name="20% - Accent6 6 8 3" xfId="25269"/>
    <cellStyle name="20% - Accent6 6 9" xfId="10263"/>
    <cellStyle name="20% - Accent6 6_Exh G" xfId="2645"/>
    <cellStyle name="20% - Accent6 7" xfId="319"/>
    <cellStyle name="20% - Accent6 7 10" xfId="18222"/>
    <cellStyle name="20% - Accent6 7 2" xfId="320"/>
    <cellStyle name="20% - Accent6 7 2 2" xfId="321"/>
    <cellStyle name="20% - Accent6 7 2 2 2" xfId="1349"/>
    <cellStyle name="20% - Accent6 7 2 2 2 2" xfId="4879"/>
    <cellStyle name="20% - Accent6 7 2 2 2 2 2" xfId="8470"/>
    <cellStyle name="20% - Accent6 7 2 2 2 2 2 2" xfId="16441"/>
    <cellStyle name="20% - Accent6 7 2 2 2 2 2 3" xfId="24387"/>
    <cellStyle name="20% - Accent6 7 2 2 2 2 3" xfId="12903"/>
    <cellStyle name="20% - Accent6 7 2 2 2 2 4" xfId="20858"/>
    <cellStyle name="20% - Accent6 7 2 2 2 3" xfId="6711"/>
    <cellStyle name="20% - Accent6 7 2 2 2 3 2" xfId="14683"/>
    <cellStyle name="20% - Accent6 7 2 2 2 3 3" xfId="22630"/>
    <cellStyle name="20% - Accent6 7 2 2 2 4" xfId="11147"/>
    <cellStyle name="20% - Accent6 7 2 2 2 5" xfId="19102"/>
    <cellStyle name="20% - Accent6 7 2 2 2_Exh G" xfId="2658"/>
    <cellStyle name="20% - Accent6 7 2 2 3" xfId="4000"/>
    <cellStyle name="20% - Accent6 7 2 2 3 2" xfId="7592"/>
    <cellStyle name="20% - Accent6 7 2 2 3 2 2" xfId="15563"/>
    <cellStyle name="20% - Accent6 7 2 2 3 2 3" xfId="23509"/>
    <cellStyle name="20% - Accent6 7 2 2 3 3" xfId="12025"/>
    <cellStyle name="20% - Accent6 7 2 2 3 4" xfId="19980"/>
    <cellStyle name="20% - Accent6 7 2 2 4" xfId="5820"/>
    <cellStyle name="20% - Accent6 7 2 2 4 2" xfId="13804"/>
    <cellStyle name="20% - Accent6 7 2 2 4 3" xfId="21752"/>
    <cellStyle name="20% - Accent6 7 2 2 5" xfId="9373"/>
    <cellStyle name="20% - Accent6 7 2 2 5 2" xfId="17331"/>
    <cellStyle name="20% - Accent6 7 2 2 5 3" xfId="25275"/>
    <cellStyle name="20% - Accent6 7 2 2 6" xfId="10269"/>
    <cellStyle name="20% - Accent6 7 2 2 7" xfId="18224"/>
    <cellStyle name="20% - Accent6 7 2 2_Exh G" xfId="2657"/>
    <cellStyle name="20% - Accent6 7 2 3" xfId="1348"/>
    <cellStyle name="20% - Accent6 7 2 3 2" xfId="4878"/>
    <cellStyle name="20% - Accent6 7 2 3 2 2" xfId="8469"/>
    <cellStyle name="20% - Accent6 7 2 3 2 2 2" xfId="16440"/>
    <cellStyle name="20% - Accent6 7 2 3 2 2 3" xfId="24386"/>
    <cellStyle name="20% - Accent6 7 2 3 2 3" xfId="12902"/>
    <cellStyle name="20% - Accent6 7 2 3 2 4" xfId="20857"/>
    <cellStyle name="20% - Accent6 7 2 3 3" xfId="6710"/>
    <cellStyle name="20% - Accent6 7 2 3 3 2" xfId="14682"/>
    <cellStyle name="20% - Accent6 7 2 3 3 3" xfId="22629"/>
    <cellStyle name="20% - Accent6 7 2 3 4" xfId="11146"/>
    <cellStyle name="20% - Accent6 7 2 3 5" xfId="19101"/>
    <cellStyle name="20% - Accent6 7 2 3_Exh G" xfId="2659"/>
    <cellStyle name="20% - Accent6 7 2 4" xfId="3999"/>
    <cellStyle name="20% - Accent6 7 2 4 2" xfId="7591"/>
    <cellStyle name="20% - Accent6 7 2 4 2 2" xfId="15562"/>
    <cellStyle name="20% - Accent6 7 2 4 2 3" xfId="23508"/>
    <cellStyle name="20% - Accent6 7 2 4 3" xfId="12024"/>
    <cellStyle name="20% - Accent6 7 2 4 4" xfId="19979"/>
    <cellStyle name="20% - Accent6 7 2 5" xfId="5819"/>
    <cellStyle name="20% - Accent6 7 2 5 2" xfId="13803"/>
    <cellStyle name="20% - Accent6 7 2 5 3" xfId="21751"/>
    <cellStyle name="20% - Accent6 7 2 6" xfId="9372"/>
    <cellStyle name="20% - Accent6 7 2 6 2" xfId="17330"/>
    <cellStyle name="20% - Accent6 7 2 6 3" xfId="25274"/>
    <cellStyle name="20% - Accent6 7 2 7" xfId="10268"/>
    <cellStyle name="20% - Accent6 7 2 8" xfId="18223"/>
    <cellStyle name="20% - Accent6 7 2_Exh G" xfId="2656"/>
    <cellStyle name="20% - Accent6 7 3" xfId="322"/>
    <cellStyle name="20% - Accent6 7 3 2" xfId="1350"/>
    <cellStyle name="20% - Accent6 7 3 2 2" xfId="4880"/>
    <cellStyle name="20% - Accent6 7 3 2 2 2" xfId="8471"/>
    <cellStyle name="20% - Accent6 7 3 2 2 2 2" xfId="16442"/>
    <cellStyle name="20% - Accent6 7 3 2 2 2 3" xfId="24388"/>
    <cellStyle name="20% - Accent6 7 3 2 2 3" xfId="12904"/>
    <cellStyle name="20% - Accent6 7 3 2 2 4" xfId="20859"/>
    <cellStyle name="20% - Accent6 7 3 2 3" xfId="6712"/>
    <cellStyle name="20% - Accent6 7 3 2 3 2" xfId="14684"/>
    <cellStyle name="20% - Accent6 7 3 2 3 3" xfId="22631"/>
    <cellStyle name="20% - Accent6 7 3 2 4" xfId="11148"/>
    <cellStyle name="20% - Accent6 7 3 2 5" xfId="19103"/>
    <cellStyle name="20% - Accent6 7 3 2_Exh G" xfId="2661"/>
    <cellStyle name="20% - Accent6 7 3 3" xfId="4001"/>
    <cellStyle name="20% - Accent6 7 3 3 2" xfId="7593"/>
    <cellStyle name="20% - Accent6 7 3 3 2 2" xfId="15564"/>
    <cellStyle name="20% - Accent6 7 3 3 2 3" xfId="23510"/>
    <cellStyle name="20% - Accent6 7 3 3 3" xfId="12026"/>
    <cellStyle name="20% - Accent6 7 3 3 4" xfId="19981"/>
    <cellStyle name="20% - Accent6 7 3 4" xfId="5821"/>
    <cellStyle name="20% - Accent6 7 3 4 2" xfId="13805"/>
    <cellStyle name="20% - Accent6 7 3 4 3" xfId="21753"/>
    <cellStyle name="20% - Accent6 7 3 5" xfId="9374"/>
    <cellStyle name="20% - Accent6 7 3 5 2" xfId="17332"/>
    <cellStyle name="20% - Accent6 7 3 5 3" xfId="25276"/>
    <cellStyle name="20% - Accent6 7 3 6" xfId="10270"/>
    <cellStyle name="20% - Accent6 7 3 7" xfId="18225"/>
    <cellStyle name="20% - Accent6 7 3_Exh G" xfId="2660"/>
    <cellStyle name="20% - Accent6 7 4" xfId="931"/>
    <cellStyle name="20% - Accent6 7 4 2" xfId="1856"/>
    <cellStyle name="20% - Accent6 7 4 2 2" xfId="5374"/>
    <cellStyle name="20% - Accent6 7 4 2 2 2" xfId="8965"/>
    <cellStyle name="20% - Accent6 7 4 2 2 2 2" xfId="16936"/>
    <cellStyle name="20% - Accent6 7 4 2 2 2 3" xfId="24882"/>
    <cellStyle name="20% - Accent6 7 4 2 2 3" xfId="13398"/>
    <cellStyle name="20% - Accent6 7 4 2 2 4" xfId="21353"/>
    <cellStyle name="20% - Accent6 7 4 2 3" xfId="7206"/>
    <cellStyle name="20% - Accent6 7 4 2 3 2" xfId="15178"/>
    <cellStyle name="20% - Accent6 7 4 2 3 3" xfId="23125"/>
    <cellStyle name="20% - Accent6 7 4 2 4" xfId="11642"/>
    <cellStyle name="20% - Accent6 7 4 2 5" xfId="19597"/>
    <cellStyle name="20% - Accent6 7 4 2_Exh G" xfId="2663"/>
    <cellStyle name="20% - Accent6 7 4 3" xfId="4495"/>
    <cellStyle name="20% - Accent6 7 4 3 2" xfId="8087"/>
    <cellStyle name="20% - Accent6 7 4 3 2 2" xfId="16058"/>
    <cellStyle name="20% - Accent6 7 4 3 2 3" xfId="24004"/>
    <cellStyle name="20% - Accent6 7 4 3 3" xfId="12520"/>
    <cellStyle name="20% - Accent6 7 4 3 4" xfId="20475"/>
    <cellStyle name="20% - Accent6 7 4 4" xfId="6325"/>
    <cellStyle name="20% - Accent6 7 4 4 2" xfId="14300"/>
    <cellStyle name="20% - Accent6 7 4 4 3" xfId="22247"/>
    <cellStyle name="20% - Accent6 7 4 5" xfId="9868"/>
    <cellStyle name="20% - Accent6 7 4 5 2" xfId="17826"/>
    <cellStyle name="20% - Accent6 7 4 5 3" xfId="25770"/>
    <cellStyle name="20% - Accent6 7 4 6" xfId="10764"/>
    <cellStyle name="20% - Accent6 7 4 7" xfId="18719"/>
    <cellStyle name="20% - Accent6 7 4_Exh G" xfId="2662"/>
    <cellStyle name="20% - Accent6 7 5" xfId="1347"/>
    <cellStyle name="20% - Accent6 7 5 2" xfId="4877"/>
    <cellStyle name="20% - Accent6 7 5 2 2" xfId="8468"/>
    <cellStyle name="20% - Accent6 7 5 2 2 2" xfId="16439"/>
    <cellStyle name="20% - Accent6 7 5 2 2 3" xfId="24385"/>
    <cellStyle name="20% - Accent6 7 5 2 3" xfId="12901"/>
    <cellStyle name="20% - Accent6 7 5 2 4" xfId="20856"/>
    <cellStyle name="20% - Accent6 7 5 3" xfId="6709"/>
    <cellStyle name="20% - Accent6 7 5 3 2" xfId="14681"/>
    <cellStyle name="20% - Accent6 7 5 3 3" xfId="22628"/>
    <cellStyle name="20% - Accent6 7 5 4" xfId="11145"/>
    <cellStyle name="20% - Accent6 7 5 5" xfId="19100"/>
    <cellStyle name="20% - Accent6 7 5_Exh G" xfId="2664"/>
    <cellStyle name="20% - Accent6 7 6" xfId="3998"/>
    <cellStyle name="20% - Accent6 7 6 2" xfId="7590"/>
    <cellStyle name="20% - Accent6 7 6 2 2" xfId="15561"/>
    <cellStyle name="20% - Accent6 7 6 2 3" xfId="23507"/>
    <cellStyle name="20% - Accent6 7 6 3" xfId="12023"/>
    <cellStyle name="20% - Accent6 7 6 4" xfId="19978"/>
    <cellStyle name="20% - Accent6 7 7" xfId="5818"/>
    <cellStyle name="20% - Accent6 7 7 2" xfId="13802"/>
    <cellStyle name="20% - Accent6 7 7 3" xfId="21750"/>
    <cellStyle name="20% - Accent6 7 8" xfId="9371"/>
    <cellStyle name="20% - Accent6 7 8 2" xfId="17329"/>
    <cellStyle name="20% - Accent6 7 8 3" xfId="25273"/>
    <cellStyle name="20% - Accent6 7 9" xfId="10267"/>
    <cellStyle name="20% - Accent6 7_Exh G" xfId="2655"/>
    <cellStyle name="20% - Accent6 8" xfId="323"/>
    <cellStyle name="20% - Accent6 8 10" xfId="18226"/>
    <cellStyle name="20% - Accent6 8 2" xfId="324"/>
    <cellStyle name="20% - Accent6 8 2 2" xfId="325"/>
    <cellStyle name="20% - Accent6 8 2 2 2" xfId="1353"/>
    <cellStyle name="20% - Accent6 8 2 2 2 2" xfId="4883"/>
    <cellStyle name="20% - Accent6 8 2 2 2 2 2" xfId="8474"/>
    <cellStyle name="20% - Accent6 8 2 2 2 2 2 2" xfId="16445"/>
    <cellStyle name="20% - Accent6 8 2 2 2 2 2 3" xfId="24391"/>
    <cellStyle name="20% - Accent6 8 2 2 2 2 3" xfId="12907"/>
    <cellStyle name="20% - Accent6 8 2 2 2 2 4" xfId="20862"/>
    <cellStyle name="20% - Accent6 8 2 2 2 3" xfId="6715"/>
    <cellStyle name="20% - Accent6 8 2 2 2 3 2" xfId="14687"/>
    <cellStyle name="20% - Accent6 8 2 2 2 3 3" xfId="22634"/>
    <cellStyle name="20% - Accent6 8 2 2 2 4" xfId="11151"/>
    <cellStyle name="20% - Accent6 8 2 2 2 5" xfId="19106"/>
    <cellStyle name="20% - Accent6 8 2 2 2_Exh G" xfId="2668"/>
    <cellStyle name="20% - Accent6 8 2 2 3" xfId="4004"/>
    <cellStyle name="20% - Accent6 8 2 2 3 2" xfId="7596"/>
    <cellStyle name="20% - Accent6 8 2 2 3 2 2" xfId="15567"/>
    <cellStyle name="20% - Accent6 8 2 2 3 2 3" xfId="23513"/>
    <cellStyle name="20% - Accent6 8 2 2 3 3" xfId="12029"/>
    <cellStyle name="20% - Accent6 8 2 2 3 4" xfId="19984"/>
    <cellStyle name="20% - Accent6 8 2 2 4" xfId="5824"/>
    <cellStyle name="20% - Accent6 8 2 2 4 2" xfId="13808"/>
    <cellStyle name="20% - Accent6 8 2 2 4 3" xfId="21756"/>
    <cellStyle name="20% - Accent6 8 2 2 5" xfId="9377"/>
    <cellStyle name="20% - Accent6 8 2 2 5 2" xfId="17335"/>
    <cellStyle name="20% - Accent6 8 2 2 5 3" xfId="25279"/>
    <cellStyle name="20% - Accent6 8 2 2 6" xfId="10273"/>
    <cellStyle name="20% - Accent6 8 2 2 7" xfId="18228"/>
    <cellStyle name="20% - Accent6 8 2 2_Exh G" xfId="2667"/>
    <cellStyle name="20% - Accent6 8 2 3" xfId="1352"/>
    <cellStyle name="20% - Accent6 8 2 3 2" xfId="4882"/>
    <cellStyle name="20% - Accent6 8 2 3 2 2" xfId="8473"/>
    <cellStyle name="20% - Accent6 8 2 3 2 2 2" xfId="16444"/>
    <cellStyle name="20% - Accent6 8 2 3 2 2 3" xfId="24390"/>
    <cellStyle name="20% - Accent6 8 2 3 2 3" xfId="12906"/>
    <cellStyle name="20% - Accent6 8 2 3 2 4" xfId="20861"/>
    <cellStyle name="20% - Accent6 8 2 3 3" xfId="6714"/>
    <cellStyle name="20% - Accent6 8 2 3 3 2" xfId="14686"/>
    <cellStyle name="20% - Accent6 8 2 3 3 3" xfId="22633"/>
    <cellStyle name="20% - Accent6 8 2 3 4" xfId="11150"/>
    <cellStyle name="20% - Accent6 8 2 3 5" xfId="19105"/>
    <cellStyle name="20% - Accent6 8 2 3_Exh G" xfId="2669"/>
    <cellStyle name="20% - Accent6 8 2 4" xfId="4003"/>
    <cellStyle name="20% - Accent6 8 2 4 2" xfId="7595"/>
    <cellStyle name="20% - Accent6 8 2 4 2 2" xfId="15566"/>
    <cellStyle name="20% - Accent6 8 2 4 2 3" xfId="23512"/>
    <cellStyle name="20% - Accent6 8 2 4 3" xfId="12028"/>
    <cellStyle name="20% - Accent6 8 2 4 4" xfId="19983"/>
    <cellStyle name="20% - Accent6 8 2 5" xfId="5823"/>
    <cellStyle name="20% - Accent6 8 2 5 2" xfId="13807"/>
    <cellStyle name="20% - Accent6 8 2 5 3" xfId="21755"/>
    <cellStyle name="20% - Accent6 8 2 6" xfId="9376"/>
    <cellStyle name="20% - Accent6 8 2 6 2" xfId="17334"/>
    <cellStyle name="20% - Accent6 8 2 6 3" xfId="25278"/>
    <cellStyle name="20% - Accent6 8 2 7" xfId="10272"/>
    <cellStyle name="20% - Accent6 8 2 8" xfId="18227"/>
    <cellStyle name="20% - Accent6 8 2_Exh G" xfId="2666"/>
    <cellStyle name="20% - Accent6 8 3" xfId="326"/>
    <cellStyle name="20% - Accent6 8 3 2" xfId="1354"/>
    <cellStyle name="20% - Accent6 8 3 2 2" xfId="4884"/>
    <cellStyle name="20% - Accent6 8 3 2 2 2" xfId="8475"/>
    <cellStyle name="20% - Accent6 8 3 2 2 2 2" xfId="16446"/>
    <cellStyle name="20% - Accent6 8 3 2 2 2 3" xfId="24392"/>
    <cellStyle name="20% - Accent6 8 3 2 2 3" xfId="12908"/>
    <cellStyle name="20% - Accent6 8 3 2 2 4" xfId="20863"/>
    <cellStyle name="20% - Accent6 8 3 2 3" xfId="6716"/>
    <cellStyle name="20% - Accent6 8 3 2 3 2" xfId="14688"/>
    <cellStyle name="20% - Accent6 8 3 2 3 3" xfId="22635"/>
    <cellStyle name="20% - Accent6 8 3 2 4" xfId="11152"/>
    <cellStyle name="20% - Accent6 8 3 2 5" xfId="19107"/>
    <cellStyle name="20% - Accent6 8 3 2_Exh G" xfId="2671"/>
    <cellStyle name="20% - Accent6 8 3 3" xfId="4005"/>
    <cellStyle name="20% - Accent6 8 3 3 2" xfId="7597"/>
    <cellStyle name="20% - Accent6 8 3 3 2 2" xfId="15568"/>
    <cellStyle name="20% - Accent6 8 3 3 2 3" xfId="23514"/>
    <cellStyle name="20% - Accent6 8 3 3 3" xfId="12030"/>
    <cellStyle name="20% - Accent6 8 3 3 4" xfId="19985"/>
    <cellStyle name="20% - Accent6 8 3 4" xfId="5825"/>
    <cellStyle name="20% - Accent6 8 3 4 2" xfId="13809"/>
    <cellStyle name="20% - Accent6 8 3 4 3" xfId="21757"/>
    <cellStyle name="20% - Accent6 8 3 5" xfId="9378"/>
    <cellStyle name="20% - Accent6 8 3 5 2" xfId="17336"/>
    <cellStyle name="20% - Accent6 8 3 5 3" xfId="25280"/>
    <cellStyle name="20% - Accent6 8 3 6" xfId="10274"/>
    <cellStyle name="20% - Accent6 8 3 7" xfId="18229"/>
    <cellStyle name="20% - Accent6 8 3_Exh G" xfId="2670"/>
    <cellStyle name="20% - Accent6 8 4" xfId="932"/>
    <cellStyle name="20% - Accent6 8 4 2" xfId="1857"/>
    <cellStyle name="20% - Accent6 8 4 2 2" xfId="5375"/>
    <cellStyle name="20% - Accent6 8 4 2 2 2" xfId="8966"/>
    <cellStyle name="20% - Accent6 8 4 2 2 2 2" xfId="16937"/>
    <cellStyle name="20% - Accent6 8 4 2 2 2 3" xfId="24883"/>
    <cellStyle name="20% - Accent6 8 4 2 2 3" xfId="13399"/>
    <cellStyle name="20% - Accent6 8 4 2 2 4" xfId="21354"/>
    <cellStyle name="20% - Accent6 8 4 2 3" xfId="7207"/>
    <cellStyle name="20% - Accent6 8 4 2 3 2" xfId="15179"/>
    <cellStyle name="20% - Accent6 8 4 2 3 3" xfId="23126"/>
    <cellStyle name="20% - Accent6 8 4 2 4" xfId="11643"/>
    <cellStyle name="20% - Accent6 8 4 2 5" xfId="19598"/>
    <cellStyle name="20% - Accent6 8 4 2_Exh G" xfId="2673"/>
    <cellStyle name="20% - Accent6 8 4 3" xfId="4496"/>
    <cellStyle name="20% - Accent6 8 4 3 2" xfId="8088"/>
    <cellStyle name="20% - Accent6 8 4 3 2 2" xfId="16059"/>
    <cellStyle name="20% - Accent6 8 4 3 2 3" xfId="24005"/>
    <cellStyle name="20% - Accent6 8 4 3 3" xfId="12521"/>
    <cellStyle name="20% - Accent6 8 4 3 4" xfId="20476"/>
    <cellStyle name="20% - Accent6 8 4 4" xfId="6326"/>
    <cellStyle name="20% - Accent6 8 4 4 2" xfId="14301"/>
    <cellStyle name="20% - Accent6 8 4 4 3" xfId="22248"/>
    <cellStyle name="20% - Accent6 8 4 5" xfId="9869"/>
    <cellStyle name="20% - Accent6 8 4 5 2" xfId="17827"/>
    <cellStyle name="20% - Accent6 8 4 5 3" xfId="25771"/>
    <cellStyle name="20% - Accent6 8 4 6" xfId="10765"/>
    <cellStyle name="20% - Accent6 8 4 7" xfId="18720"/>
    <cellStyle name="20% - Accent6 8 4_Exh G" xfId="2672"/>
    <cellStyle name="20% - Accent6 8 5" xfId="1351"/>
    <cellStyle name="20% - Accent6 8 5 2" xfId="4881"/>
    <cellStyle name="20% - Accent6 8 5 2 2" xfId="8472"/>
    <cellStyle name="20% - Accent6 8 5 2 2 2" xfId="16443"/>
    <cellStyle name="20% - Accent6 8 5 2 2 3" xfId="24389"/>
    <cellStyle name="20% - Accent6 8 5 2 3" xfId="12905"/>
    <cellStyle name="20% - Accent6 8 5 2 4" xfId="20860"/>
    <cellStyle name="20% - Accent6 8 5 3" xfId="6713"/>
    <cellStyle name="20% - Accent6 8 5 3 2" xfId="14685"/>
    <cellStyle name="20% - Accent6 8 5 3 3" xfId="22632"/>
    <cellStyle name="20% - Accent6 8 5 4" xfId="11149"/>
    <cellStyle name="20% - Accent6 8 5 5" xfId="19104"/>
    <cellStyle name="20% - Accent6 8 5_Exh G" xfId="2674"/>
    <cellStyle name="20% - Accent6 8 6" xfId="4002"/>
    <cellStyle name="20% - Accent6 8 6 2" xfId="7594"/>
    <cellStyle name="20% - Accent6 8 6 2 2" xfId="15565"/>
    <cellStyle name="20% - Accent6 8 6 2 3" xfId="23511"/>
    <cellStyle name="20% - Accent6 8 6 3" xfId="12027"/>
    <cellStyle name="20% - Accent6 8 6 4" xfId="19982"/>
    <cellStyle name="20% - Accent6 8 7" xfId="5822"/>
    <cellStyle name="20% - Accent6 8 7 2" xfId="13806"/>
    <cellStyle name="20% - Accent6 8 7 3" xfId="21754"/>
    <cellStyle name="20% - Accent6 8 8" xfId="9375"/>
    <cellStyle name="20% - Accent6 8 8 2" xfId="17333"/>
    <cellStyle name="20% - Accent6 8 8 3" xfId="25277"/>
    <cellStyle name="20% - Accent6 8 9" xfId="10271"/>
    <cellStyle name="20% - Accent6 8_Exh G" xfId="2665"/>
    <cellStyle name="20% - Accent6 9" xfId="327"/>
    <cellStyle name="20% - Accent6 9 10" xfId="18230"/>
    <cellStyle name="20% - Accent6 9 2" xfId="328"/>
    <cellStyle name="20% - Accent6 9 2 2" xfId="329"/>
    <cellStyle name="20% - Accent6 9 2 2 2" xfId="1357"/>
    <cellStyle name="20% - Accent6 9 2 2 2 2" xfId="4887"/>
    <cellStyle name="20% - Accent6 9 2 2 2 2 2" xfId="8478"/>
    <cellStyle name="20% - Accent6 9 2 2 2 2 2 2" xfId="16449"/>
    <cellStyle name="20% - Accent6 9 2 2 2 2 2 3" xfId="24395"/>
    <cellStyle name="20% - Accent6 9 2 2 2 2 3" xfId="12911"/>
    <cellStyle name="20% - Accent6 9 2 2 2 2 4" xfId="20866"/>
    <cellStyle name="20% - Accent6 9 2 2 2 3" xfId="6719"/>
    <cellStyle name="20% - Accent6 9 2 2 2 3 2" xfId="14691"/>
    <cellStyle name="20% - Accent6 9 2 2 2 3 3" xfId="22638"/>
    <cellStyle name="20% - Accent6 9 2 2 2 4" xfId="11155"/>
    <cellStyle name="20% - Accent6 9 2 2 2 5" xfId="19110"/>
    <cellStyle name="20% - Accent6 9 2 2 2_Exh G" xfId="2678"/>
    <cellStyle name="20% - Accent6 9 2 2 3" xfId="4008"/>
    <cellStyle name="20% - Accent6 9 2 2 3 2" xfId="7600"/>
    <cellStyle name="20% - Accent6 9 2 2 3 2 2" xfId="15571"/>
    <cellStyle name="20% - Accent6 9 2 2 3 2 3" xfId="23517"/>
    <cellStyle name="20% - Accent6 9 2 2 3 3" xfId="12033"/>
    <cellStyle name="20% - Accent6 9 2 2 3 4" xfId="19988"/>
    <cellStyle name="20% - Accent6 9 2 2 4" xfId="5828"/>
    <cellStyle name="20% - Accent6 9 2 2 4 2" xfId="13812"/>
    <cellStyle name="20% - Accent6 9 2 2 4 3" xfId="21760"/>
    <cellStyle name="20% - Accent6 9 2 2 5" xfId="9381"/>
    <cellStyle name="20% - Accent6 9 2 2 5 2" xfId="17339"/>
    <cellStyle name="20% - Accent6 9 2 2 5 3" xfId="25283"/>
    <cellStyle name="20% - Accent6 9 2 2 6" xfId="10277"/>
    <cellStyle name="20% - Accent6 9 2 2 7" xfId="18232"/>
    <cellStyle name="20% - Accent6 9 2 2_Exh G" xfId="2677"/>
    <cellStyle name="20% - Accent6 9 2 3" xfId="1356"/>
    <cellStyle name="20% - Accent6 9 2 3 2" xfId="4886"/>
    <cellStyle name="20% - Accent6 9 2 3 2 2" xfId="8477"/>
    <cellStyle name="20% - Accent6 9 2 3 2 2 2" xfId="16448"/>
    <cellStyle name="20% - Accent6 9 2 3 2 2 3" xfId="24394"/>
    <cellStyle name="20% - Accent6 9 2 3 2 3" xfId="12910"/>
    <cellStyle name="20% - Accent6 9 2 3 2 4" xfId="20865"/>
    <cellStyle name="20% - Accent6 9 2 3 3" xfId="6718"/>
    <cellStyle name="20% - Accent6 9 2 3 3 2" xfId="14690"/>
    <cellStyle name="20% - Accent6 9 2 3 3 3" xfId="22637"/>
    <cellStyle name="20% - Accent6 9 2 3 4" xfId="11154"/>
    <cellStyle name="20% - Accent6 9 2 3 5" xfId="19109"/>
    <cellStyle name="20% - Accent6 9 2 3_Exh G" xfId="2679"/>
    <cellStyle name="20% - Accent6 9 2 4" xfId="4007"/>
    <cellStyle name="20% - Accent6 9 2 4 2" xfId="7599"/>
    <cellStyle name="20% - Accent6 9 2 4 2 2" xfId="15570"/>
    <cellStyle name="20% - Accent6 9 2 4 2 3" xfId="23516"/>
    <cellStyle name="20% - Accent6 9 2 4 3" xfId="12032"/>
    <cellStyle name="20% - Accent6 9 2 4 4" xfId="19987"/>
    <cellStyle name="20% - Accent6 9 2 5" xfId="5827"/>
    <cellStyle name="20% - Accent6 9 2 5 2" xfId="13811"/>
    <cellStyle name="20% - Accent6 9 2 5 3" xfId="21759"/>
    <cellStyle name="20% - Accent6 9 2 6" xfId="9380"/>
    <cellStyle name="20% - Accent6 9 2 6 2" xfId="17338"/>
    <cellStyle name="20% - Accent6 9 2 6 3" xfId="25282"/>
    <cellStyle name="20% - Accent6 9 2 7" xfId="10276"/>
    <cellStyle name="20% - Accent6 9 2 8" xfId="18231"/>
    <cellStyle name="20% - Accent6 9 2_Exh G" xfId="2676"/>
    <cellStyle name="20% - Accent6 9 3" xfId="330"/>
    <cellStyle name="20% - Accent6 9 3 2" xfId="1358"/>
    <cellStyle name="20% - Accent6 9 3 2 2" xfId="4888"/>
    <cellStyle name="20% - Accent6 9 3 2 2 2" xfId="8479"/>
    <cellStyle name="20% - Accent6 9 3 2 2 2 2" xfId="16450"/>
    <cellStyle name="20% - Accent6 9 3 2 2 2 3" xfId="24396"/>
    <cellStyle name="20% - Accent6 9 3 2 2 3" xfId="12912"/>
    <cellStyle name="20% - Accent6 9 3 2 2 4" xfId="20867"/>
    <cellStyle name="20% - Accent6 9 3 2 3" xfId="6720"/>
    <cellStyle name="20% - Accent6 9 3 2 3 2" xfId="14692"/>
    <cellStyle name="20% - Accent6 9 3 2 3 3" xfId="22639"/>
    <cellStyle name="20% - Accent6 9 3 2 4" xfId="11156"/>
    <cellStyle name="20% - Accent6 9 3 2 5" xfId="19111"/>
    <cellStyle name="20% - Accent6 9 3 2_Exh G" xfId="2681"/>
    <cellStyle name="20% - Accent6 9 3 3" xfId="4009"/>
    <cellStyle name="20% - Accent6 9 3 3 2" xfId="7601"/>
    <cellStyle name="20% - Accent6 9 3 3 2 2" xfId="15572"/>
    <cellStyle name="20% - Accent6 9 3 3 2 3" xfId="23518"/>
    <cellStyle name="20% - Accent6 9 3 3 3" xfId="12034"/>
    <cellStyle name="20% - Accent6 9 3 3 4" xfId="19989"/>
    <cellStyle name="20% - Accent6 9 3 4" xfId="5829"/>
    <cellStyle name="20% - Accent6 9 3 4 2" xfId="13813"/>
    <cellStyle name="20% - Accent6 9 3 4 3" xfId="21761"/>
    <cellStyle name="20% - Accent6 9 3 5" xfId="9382"/>
    <cellStyle name="20% - Accent6 9 3 5 2" xfId="17340"/>
    <cellStyle name="20% - Accent6 9 3 5 3" xfId="25284"/>
    <cellStyle name="20% - Accent6 9 3 6" xfId="10278"/>
    <cellStyle name="20% - Accent6 9 3 7" xfId="18233"/>
    <cellStyle name="20% - Accent6 9 3_Exh G" xfId="2680"/>
    <cellStyle name="20% - Accent6 9 4" xfId="933"/>
    <cellStyle name="20% - Accent6 9 4 2" xfId="1858"/>
    <cellStyle name="20% - Accent6 9 4 2 2" xfId="5376"/>
    <cellStyle name="20% - Accent6 9 4 2 2 2" xfId="8967"/>
    <cellStyle name="20% - Accent6 9 4 2 2 2 2" xfId="16938"/>
    <cellStyle name="20% - Accent6 9 4 2 2 2 3" xfId="24884"/>
    <cellStyle name="20% - Accent6 9 4 2 2 3" xfId="13400"/>
    <cellStyle name="20% - Accent6 9 4 2 2 4" xfId="21355"/>
    <cellStyle name="20% - Accent6 9 4 2 3" xfId="7208"/>
    <cellStyle name="20% - Accent6 9 4 2 3 2" xfId="15180"/>
    <cellStyle name="20% - Accent6 9 4 2 3 3" xfId="23127"/>
    <cellStyle name="20% - Accent6 9 4 2 4" xfId="11644"/>
    <cellStyle name="20% - Accent6 9 4 2 5" xfId="19599"/>
    <cellStyle name="20% - Accent6 9 4 2_Exh G" xfId="2683"/>
    <cellStyle name="20% - Accent6 9 4 3" xfId="4497"/>
    <cellStyle name="20% - Accent6 9 4 3 2" xfId="8089"/>
    <cellStyle name="20% - Accent6 9 4 3 2 2" xfId="16060"/>
    <cellStyle name="20% - Accent6 9 4 3 2 3" xfId="24006"/>
    <cellStyle name="20% - Accent6 9 4 3 3" xfId="12522"/>
    <cellStyle name="20% - Accent6 9 4 3 4" xfId="20477"/>
    <cellStyle name="20% - Accent6 9 4 4" xfId="6327"/>
    <cellStyle name="20% - Accent6 9 4 4 2" xfId="14302"/>
    <cellStyle name="20% - Accent6 9 4 4 3" xfId="22249"/>
    <cellStyle name="20% - Accent6 9 4 5" xfId="9870"/>
    <cellStyle name="20% - Accent6 9 4 5 2" xfId="17828"/>
    <cellStyle name="20% - Accent6 9 4 5 3" xfId="25772"/>
    <cellStyle name="20% - Accent6 9 4 6" xfId="10766"/>
    <cellStyle name="20% - Accent6 9 4 7" xfId="18721"/>
    <cellStyle name="20% - Accent6 9 4_Exh G" xfId="2682"/>
    <cellStyle name="20% - Accent6 9 5" xfId="1355"/>
    <cellStyle name="20% - Accent6 9 5 2" xfId="4885"/>
    <cellStyle name="20% - Accent6 9 5 2 2" xfId="8476"/>
    <cellStyle name="20% - Accent6 9 5 2 2 2" xfId="16447"/>
    <cellStyle name="20% - Accent6 9 5 2 2 3" xfId="24393"/>
    <cellStyle name="20% - Accent6 9 5 2 3" xfId="12909"/>
    <cellStyle name="20% - Accent6 9 5 2 4" xfId="20864"/>
    <cellStyle name="20% - Accent6 9 5 3" xfId="6717"/>
    <cellStyle name="20% - Accent6 9 5 3 2" xfId="14689"/>
    <cellStyle name="20% - Accent6 9 5 3 3" xfId="22636"/>
    <cellStyle name="20% - Accent6 9 5 4" xfId="11153"/>
    <cellStyle name="20% - Accent6 9 5 5" xfId="19108"/>
    <cellStyle name="20% - Accent6 9 5_Exh G" xfId="2684"/>
    <cellStyle name="20% - Accent6 9 6" xfId="4006"/>
    <cellStyle name="20% - Accent6 9 6 2" xfId="7598"/>
    <cellStyle name="20% - Accent6 9 6 2 2" xfId="15569"/>
    <cellStyle name="20% - Accent6 9 6 2 3" xfId="23515"/>
    <cellStyle name="20% - Accent6 9 6 3" xfId="12031"/>
    <cellStyle name="20% - Accent6 9 6 4" xfId="19986"/>
    <cellStyle name="20% - Accent6 9 7" xfId="5826"/>
    <cellStyle name="20% - Accent6 9 7 2" xfId="13810"/>
    <cellStyle name="20% - Accent6 9 7 3" xfId="21758"/>
    <cellStyle name="20% - Accent6 9 8" xfId="9379"/>
    <cellStyle name="20% - Accent6 9 8 2" xfId="17337"/>
    <cellStyle name="20% - Accent6 9 8 3" xfId="25281"/>
    <cellStyle name="20% - Accent6 9 9" xfId="10275"/>
    <cellStyle name="20% - Accent6 9_Exh G" xfId="2675"/>
    <cellStyle name="40% - Accent1 10" xfId="331"/>
    <cellStyle name="40% - Accent1 10 10" xfId="18234"/>
    <cellStyle name="40% - Accent1 10 2" xfId="332"/>
    <cellStyle name="40% - Accent1 10 2 2" xfId="333"/>
    <cellStyle name="40% - Accent1 10 2 2 2" xfId="1361"/>
    <cellStyle name="40% - Accent1 10 2 2 2 2" xfId="4891"/>
    <cellStyle name="40% - Accent1 10 2 2 2 2 2" xfId="8482"/>
    <cellStyle name="40% - Accent1 10 2 2 2 2 2 2" xfId="16453"/>
    <cellStyle name="40% - Accent1 10 2 2 2 2 2 3" xfId="24399"/>
    <cellStyle name="40% - Accent1 10 2 2 2 2 3" xfId="12915"/>
    <cellStyle name="40% - Accent1 10 2 2 2 2 4" xfId="20870"/>
    <cellStyle name="40% - Accent1 10 2 2 2 3" xfId="6723"/>
    <cellStyle name="40% - Accent1 10 2 2 2 3 2" xfId="14695"/>
    <cellStyle name="40% - Accent1 10 2 2 2 3 3" xfId="22642"/>
    <cellStyle name="40% - Accent1 10 2 2 2 4" xfId="11159"/>
    <cellStyle name="40% - Accent1 10 2 2 2 5" xfId="19114"/>
    <cellStyle name="40% - Accent1 10 2 2 2_Exh G" xfId="2688"/>
    <cellStyle name="40% - Accent1 10 2 2 3" xfId="4012"/>
    <cellStyle name="40% - Accent1 10 2 2 3 2" xfId="7604"/>
    <cellStyle name="40% - Accent1 10 2 2 3 2 2" xfId="15575"/>
    <cellStyle name="40% - Accent1 10 2 2 3 2 3" xfId="23521"/>
    <cellStyle name="40% - Accent1 10 2 2 3 3" xfId="12037"/>
    <cellStyle name="40% - Accent1 10 2 2 3 4" xfId="19992"/>
    <cellStyle name="40% - Accent1 10 2 2 4" xfId="5832"/>
    <cellStyle name="40% - Accent1 10 2 2 4 2" xfId="13816"/>
    <cellStyle name="40% - Accent1 10 2 2 4 3" xfId="21764"/>
    <cellStyle name="40% - Accent1 10 2 2 5" xfId="9385"/>
    <cellStyle name="40% - Accent1 10 2 2 5 2" xfId="17343"/>
    <cellStyle name="40% - Accent1 10 2 2 5 3" xfId="25287"/>
    <cellStyle name="40% - Accent1 10 2 2 6" xfId="10281"/>
    <cellStyle name="40% - Accent1 10 2 2 7" xfId="18236"/>
    <cellStyle name="40% - Accent1 10 2 2_Exh G" xfId="2687"/>
    <cellStyle name="40% - Accent1 10 2 3" xfId="1360"/>
    <cellStyle name="40% - Accent1 10 2 3 2" xfId="4890"/>
    <cellStyle name="40% - Accent1 10 2 3 2 2" xfId="8481"/>
    <cellStyle name="40% - Accent1 10 2 3 2 2 2" xfId="16452"/>
    <cellStyle name="40% - Accent1 10 2 3 2 2 3" xfId="24398"/>
    <cellStyle name="40% - Accent1 10 2 3 2 3" xfId="12914"/>
    <cellStyle name="40% - Accent1 10 2 3 2 4" xfId="20869"/>
    <cellStyle name="40% - Accent1 10 2 3 3" xfId="6722"/>
    <cellStyle name="40% - Accent1 10 2 3 3 2" xfId="14694"/>
    <cellStyle name="40% - Accent1 10 2 3 3 3" xfId="22641"/>
    <cellStyle name="40% - Accent1 10 2 3 4" xfId="11158"/>
    <cellStyle name="40% - Accent1 10 2 3 5" xfId="19113"/>
    <cellStyle name="40% - Accent1 10 2 3_Exh G" xfId="2689"/>
    <cellStyle name="40% - Accent1 10 2 4" xfId="4011"/>
    <cellStyle name="40% - Accent1 10 2 4 2" xfId="7603"/>
    <cellStyle name="40% - Accent1 10 2 4 2 2" xfId="15574"/>
    <cellStyle name="40% - Accent1 10 2 4 2 3" xfId="23520"/>
    <cellStyle name="40% - Accent1 10 2 4 3" xfId="12036"/>
    <cellStyle name="40% - Accent1 10 2 4 4" xfId="19991"/>
    <cellStyle name="40% - Accent1 10 2 5" xfId="5831"/>
    <cellStyle name="40% - Accent1 10 2 5 2" xfId="13815"/>
    <cellStyle name="40% - Accent1 10 2 5 3" xfId="21763"/>
    <cellStyle name="40% - Accent1 10 2 6" xfId="9384"/>
    <cellStyle name="40% - Accent1 10 2 6 2" xfId="17342"/>
    <cellStyle name="40% - Accent1 10 2 6 3" xfId="25286"/>
    <cellStyle name="40% - Accent1 10 2 7" xfId="10280"/>
    <cellStyle name="40% - Accent1 10 2 8" xfId="18235"/>
    <cellStyle name="40% - Accent1 10 2_Exh G" xfId="2686"/>
    <cellStyle name="40% - Accent1 10 3" xfId="334"/>
    <cellStyle name="40% - Accent1 10 3 2" xfId="1362"/>
    <cellStyle name="40% - Accent1 10 3 2 2" xfId="4892"/>
    <cellStyle name="40% - Accent1 10 3 2 2 2" xfId="8483"/>
    <cellStyle name="40% - Accent1 10 3 2 2 2 2" xfId="16454"/>
    <cellStyle name="40% - Accent1 10 3 2 2 2 3" xfId="24400"/>
    <cellStyle name="40% - Accent1 10 3 2 2 3" xfId="12916"/>
    <cellStyle name="40% - Accent1 10 3 2 2 4" xfId="20871"/>
    <cellStyle name="40% - Accent1 10 3 2 3" xfId="6724"/>
    <cellStyle name="40% - Accent1 10 3 2 3 2" xfId="14696"/>
    <cellStyle name="40% - Accent1 10 3 2 3 3" xfId="22643"/>
    <cellStyle name="40% - Accent1 10 3 2 4" xfId="11160"/>
    <cellStyle name="40% - Accent1 10 3 2 5" xfId="19115"/>
    <cellStyle name="40% - Accent1 10 3 2_Exh G" xfId="2691"/>
    <cellStyle name="40% - Accent1 10 3 3" xfId="4013"/>
    <cellStyle name="40% - Accent1 10 3 3 2" xfId="7605"/>
    <cellStyle name="40% - Accent1 10 3 3 2 2" xfId="15576"/>
    <cellStyle name="40% - Accent1 10 3 3 2 3" xfId="23522"/>
    <cellStyle name="40% - Accent1 10 3 3 3" xfId="12038"/>
    <cellStyle name="40% - Accent1 10 3 3 4" xfId="19993"/>
    <cellStyle name="40% - Accent1 10 3 4" xfId="5833"/>
    <cellStyle name="40% - Accent1 10 3 4 2" xfId="13817"/>
    <cellStyle name="40% - Accent1 10 3 4 3" xfId="21765"/>
    <cellStyle name="40% - Accent1 10 3 5" xfId="9386"/>
    <cellStyle name="40% - Accent1 10 3 5 2" xfId="17344"/>
    <cellStyle name="40% - Accent1 10 3 5 3" xfId="25288"/>
    <cellStyle name="40% - Accent1 10 3 6" xfId="10282"/>
    <cellStyle name="40% - Accent1 10 3 7" xfId="18237"/>
    <cellStyle name="40% - Accent1 10 3_Exh G" xfId="2690"/>
    <cellStyle name="40% - Accent1 10 4" xfId="934"/>
    <cellStyle name="40% - Accent1 10 5" xfId="1359"/>
    <cellStyle name="40% - Accent1 10 5 2" xfId="4889"/>
    <cellStyle name="40% - Accent1 10 5 2 2" xfId="8480"/>
    <cellStyle name="40% - Accent1 10 5 2 2 2" xfId="16451"/>
    <cellStyle name="40% - Accent1 10 5 2 2 3" xfId="24397"/>
    <cellStyle name="40% - Accent1 10 5 2 3" xfId="12913"/>
    <cellStyle name="40% - Accent1 10 5 2 4" xfId="20868"/>
    <cellStyle name="40% - Accent1 10 5 3" xfId="6721"/>
    <cellStyle name="40% - Accent1 10 5 3 2" xfId="14693"/>
    <cellStyle name="40% - Accent1 10 5 3 3" xfId="22640"/>
    <cellStyle name="40% - Accent1 10 5 4" xfId="11157"/>
    <cellStyle name="40% - Accent1 10 5 5" xfId="19112"/>
    <cellStyle name="40% - Accent1 10 5_Exh G" xfId="2692"/>
    <cellStyle name="40% - Accent1 10 6" xfId="4010"/>
    <cellStyle name="40% - Accent1 10 6 2" xfId="7602"/>
    <cellStyle name="40% - Accent1 10 6 2 2" xfId="15573"/>
    <cellStyle name="40% - Accent1 10 6 2 3" xfId="23519"/>
    <cellStyle name="40% - Accent1 10 6 3" xfId="12035"/>
    <cellStyle name="40% - Accent1 10 6 4" xfId="19990"/>
    <cellStyle name="40% - Accent1 10 7" xfId="5830"/>
    <cellStyle name="40% - Accent1 10 7 2" xfId="13814"/>
    <cellStyle name="40% - Accent1 10 7 3" xfId="21762"/>
    <cellStyle name="40% - Accent1 10 8" xfId="9383"/>
    <cellStyle name="40% - Accent1 10 8 2" xfId="17341"/>
    <cellStyle name="40% - Accent1 10 8 3" xfId="25285"/>
    <cellStyle name="40% - Accent1 10 9" xfId="10279"/>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 2 2" xfId="8486"/>
    <cellStyle name="40% - Accent1 11 2 2 2 2 2 2" xfId="16457"/>
    <cellStyle name="40% - Accent1 11 2 2 2 2 2 3" xfId="24403"/>
    <cellStyle name="40% - Accent1 11 2 2 2 2 3" xfId="12919"/>
    <cellStyle name="40% - Accent1 11 2 2 2 2 4" xfId="20874"/>
    <cellStyle name="40% - Accent1 11 2 2 2 3" xfId="6727"/>
    <cellStyle name="40% - Accent1 11 2 2 2 3 2" xfId="14699"/>
    <cellStyle name="40% - Accent1 11 2 2 2 3 3" xfId="22646"/>
    <cellStyle name="40% - Accent1 11 2 2 2 4" xfId="11163"/>
    <cellStyle name="40% - Accent1 11 2 2 2 5" xfId="19118"/>
    <cellStyle name="40% - Accent1 11 2 2 2_Exh G" xfId="2696"/>
    <cellStyle name="40% - Accent1 11 2 2 3" xfId="4016"/>
    <cellStyle name="40% - Accent1 11 2 2 3 2" xfId="7608"/>
    <cellStyle name="40% - Accent1 11 2 2 3 2 2" xfId="15579"/>
    <cellStyle name="40% - Accent1 11 2 2 3 2 3" xfId="23525"/>
    <cellStyle name="40% - Accent1 11 2 2 3 3" xfId="12041"/>
    <cellStyle name="40% - Accent1 11 2 2 3 4" xfId="19996"/>
    <cellStyle name="40% - Accent1 11 2 2 4" xfId="5836"/>
    <cellStyle name="40% - Accent1 11 2 2 4 2" xfId="13820"/>
    <cellStyle name="40% - Accent1 11 2 2 4 3" xfId="21768"/>
    <cellStyle name="40% - Accent1 11 2 2 5" xfId="9389"/>
    <cellStyle name="40% - Accent1 11 2 2 5 2" xfId="17347"/>
    <cellStyle name="40% - Accent1 11 2 2 5 3" xfId="25291"/>
    <cellStyle name="40% - Accent1 11 2 2 6" xfId="10285"/>
    <cellStyle name="40% - Accent1 11 2 2 7" xfId="18240"/>
    <cellStyle name="40% - Accent1 11 2 2_Exh G" xfId="2695"/>
    <cellStyle name="40% - Accent1 11 2 3" xfId="1364"/>
    <cellStyle name="40% - Accent1 11 2 3 2" xfId="4894"/>
    <cellStyle name="40% - Accent1 11 2 3 2 2" xfId="8485"/>
    <cellStyle name="40% - Accent1 11 2 3 2 2 2" xfId="16456"/>
    <cellStyle name="40% - Accent1 11 2 3 2 2 3" xfId="24402"/>
    <cellStyle name="40% - Accent1 11 2 3 2 3" xfId="12918"/>
    <cellStyle name="40% - Accent1 11 2 3 2 4" xfId="20873"/>
    <cellStyle name="40% - Accent1 11 2 3 3" xfId="6726"/>
    <cellStyle name="40% - Accent1 11 2 3 3 2" xfId="14698"/>
    <cellStyle name="40% - Accent1 11 2 3 3 3" xfId="22645"/>
    <cellStyle name="40% - Accent1 11 2 3 4" xfId="11162"/>
    <cellStyle name="40% - Accent1 11 2 3 5" xfId="19117"/>
    <cellStyle name="40% - Accent1 11 2 3_Exh G" xfId="2697"/>
    <cellStyle name="40% - Accent1 11 2 4" xfId="4015"/>
    <cellStyle name="40% - Accent1 11 2 4 2" xfId="7607"/>
    <cellStyle name="40% - Accent1 11 2 4 2 2" xfId="15578"/>
    <cellStyle name="40% - Accent1 11 2 4 2 3" xfId="23524"/>
    <cellStyle name="40% - Accent1 11 2 4 3" xfId="12040"/>
    <cellStyle name="40% - Accent1 11 2 4 4" xfId="19995"/>
    <cellStyle name="40% - Accent1 11 2 5" xfId="5835"/>
    <cellStyle name="40% - Accent1 11 2 5 2" xfId="13819"/>
    <cellStyle name="40% - Accent1 11 2 5 3" xfId="21767"/>
    <cellStyle name="40% - Accent1 11 2 6" xfId="9388"/>
    <cellStyle name="40% - Accent1 11 2 6 2" xfId="17346"/>
    <cellStyle name="40% - Accent1 11 2 6 3" xfId="25290"/>
    <cellStyle name="40% - Accent1 11 2 7" xfId="10284"/>
    <cellStyle name="40% - Accent1 11 2 8" xfId="18239"/>
    <cellStyle name="40% - Accent1 11 2_Exh G" xfId="2694"/>
    <cellStyle name="40% - Accent1 11 3" xfId="338"/>
    <cellStyle name="40% - Accent1 11 3 2" xfId="1366"/>
    <cellStyle name="40% - Accent1 11 3 2 2" xfId="4896"/>
    <cellStyle name="40% - Accent1 11 3 2 2 2" xfId="8487"/>
    <cellStyle name="40% - Accent1 11 3 2 2 2 2" xfId="16458"/>
    <cellStyle name="40% - Accent1 11 3 2 2 2 3" xfId="24404"/>
    <cellStyle name="40% - Accent1 11 3 2 2 3" xfId="12920"/>
    <cellStyle name="40% - Accent1 11 3 2 2 4" xfId="20875"/>
    <cellStyle name="40% - Accent1 11 3 2 3" xfId="6728"/>
    <cellStyle name="40% - Accent1 11 3 2 3 2" xfId="14700"/>
    <cellStyle name="40% - Accent1 11 3 2 3 3" xfId="22647"/>
    <cellStyle name="40% - Accent1 11 3 2 4" xfId="11164"/>
    <cellStyle name="40% - Accent1 11 3 2 5" xfId="19119"/>
    <cellStyle name="40% - Accent1 11 3 2_Exh G" xfId="2699"/>
    <cellStyle name="40% - Accent1 11 3 3" xfId="4017"/>
    <cellStyle name="40% - Accent1 11 3 3 2" xfId="7609"/>
    <cellStyle name="40% - Accent1 11 3 3 2 2" xfId="15580"/>
    <cellStyle name="40% - Accent1 11 3 3 2 3" xfId="23526"/>
    <cellStyle name="40% - Accent1 11 3 3 3" xfId="12042"/>
    <cellStyle name="40% - Accent1 11 3 3 4" xfId="19997"/>
    <cellStyle name="40% - Accent1 11 3 4" xfId="5837"/>
    <cellStyle name="40% - Accent1 11 3 4 2" xfId="13821"/>
    <cellStyle name="40% - Accent1 11 3 4 3" xfId="21769"/>
    <cellStyle name="40% - Accent1 11 3 5" xfId="9390"/>
    <cellStyle name="40% - Accent1 11 3 5 2" xfId="17348"/>
    <cellStyle name="40% - Accent1 11 3 5 3" xfId="25292"/>
    <cellStyle name="40% - Accent1 11 3 6" xfId="10286"/>
    <cellStyle name="40% - Accent1 11 3 7" xfId="18241"/>
    <cellStyle name="40% - Accent1 11 3_Exh G" xfId="2698"/>
    <cellStyle name="40% - Accent1 11 4" xfId="1363"/>
    <cellStyle name="40% - Accent1 11 4 2" xfId="4893"/>
    <cellStyle name="40% - Accent1 11 4 2 2" xfId="8484"/>
    <cellStyle name="40% - Accent1 11 4 2 2 2" xfId="16455"/>
    <cellStyle name="40% - Accent1 11 4 2 2 3" xfId="24401"/>
    <cellStyle name="40% - Accent1 11 4 2 3" xfId="12917"/>
    <cellStyle name="40% - Accent1 11 4 2 4" xfId="20872"/>
    <cellStyle name="40% - Accent1 11 4 3" xfId="6725"/>
    <cellStyle name="40% - Accent1 11 4 3 2" xfId="14697"/>
    <cellStyle name="40% - Accent1 11 4 3 3" xfId="22644"/>
    <cellStyle name="40% - Accent1 11 4 4" xfId="11161"/>
    <cellStyle name="40% - Accent1 11 4 5" xfId="19116"/>
    <cellStyle name="40% - Accent1 11 4_Exh G" xfId="2700"/>
    <cellStyle name="40% - Accent1 11 5" xfId="4014"/>
    <cellStyle name="40% - Accent1 11 5 2" xfId="7606"/>
    <cellStyle name="40% - Accent1 11 5 2 2" xfId="15577"/>
    <cellStyle name="40% - Accent1 11 5 2 3" xfId="23523"/>
    <cellStyle name="40% - Accent1 11 5 3" xfId="12039"/>
    <cellStyle name="40% - Accent1 11 5 4" xfId="19994"/>
    <cellStyle name="40% - Accent1 11 6" xfId="5834"/>
    <cellStyle name="40% - Accent1 11 6 2" xfId="13818"/>
    <cellStyle name="40% - Accent1 11 6 3" xfId="21766"/>
    <cellStyle name="40% - Accent1 11 7" xfId="9387"/>
    <cellStyle name="40% - Accent1 11 7 2" xfId="17345"/>
    <cellStyle name="40% - Accent1 11 7 3" xfId="25289"/>
    <cellStyle name="40% - Accent1 11 8" xfId="10283"/>
    <cellStyle name="40% - Accent1 11 9" xfId="18238"/>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 2 2" xfId="8490"/>
    <cellStyle name="40% - Accent1 12 2 2 2 2 2 2" xfId="16461"/>
    <cellStyle name="40% - Accent1 12 2 2 2 2 2 3" xfId="24407"/>
    <cellStyle name="40% - Accent1 12 2 2 2 2 3" xfId="12923"/>
    <cellStyle name="40% - Accent1 12 2 2 2 2 4" xfId="20878"/>
    <cellStyle name="40% - Accent1 12 2 2 2 3" xfId="6731"/>
    <cellStyle name="40% - Accent1 12 2 2 2 3 2" xfId="14703"/>
    <cellStyle name="40% - Accent1 12 2 2 2 3 3" xfId="22650"/>
    <cellStyle name="40% - Accent1 12 2 2 2 4" xfId="11167"/>
    <cellStyle name="40% - Accent1 12 2 2 2 5" xfId="19122"/>
    <cellStyle name="40% - Accent1 12 2 2 2_Exh G" xfId="2704"/>
    <cellStyle name="40% - Accent1 12 2 2 3" xfId="4020"/>
    <cellStyle name="40% - Accent1 12 2 2 3 2" xfId="7612"/>
    <cellStyle name="40% - Accent1 12 2 2 3 2 2" xfId="15583"/>
    <cellStyle name="40% - Accent1 12 2 2 3 2 3" xfId="23529"/>
    <cellStyle name="40% - Accent1 12 2 2 3 3" xfId="12045"/>
    <cellStyle name="40% - Accent1 12 2 2 3 4" xfId="20000"/>
    <cellStyle name="40% - Accent1 12 2 2 4" xfId="5840"/>
    <cellStyle name="40% - Accent1 12 2 2 4 2" xfId="13824"/>
    <cellStyle name="40% - Accent1 12 2 2 4 3" xfId="21772"/>
    <cellStyle name="40% - Accent1 12 2 2 5" xfId="9393"/>
    <cellStyle name="40% - Accent1 12 2 2 5 2" xfId="17351"/>
    <cellStyle name="40% - Accent1 12 2 2 5 3" xfId="25295"/>
    <cellStyle name="40% - Accent1 12 2 2 6" xfId="10289"/>
    <cellStyle name="40% - Accent1 12 2 2 7" xfId="18244"/>
    <cellStyle name="40% - Accent1 12 2 2_Exh G" xfId="2703"/>
    <cellStyle name="40% - Accent1 12 2 3" xfId="1368"/>
    <cellStyle name="40% - Accent1 12 2 3 2" xfId="4898"/>
    <cellStyle name="40% - Accent1 12 2 3 2 2" xfId="8489"/>
    <cellStyle name="40% - Accent1 12 2 3 2 2 2" xfId="16460"/>
    <cellStyle name="40% - Accent1 12 2 3 2 2 3" xfId="24406"/>
    <cellStyle name="40% - Accent1 12 2 3 2 3" xfId="12922"/>
    <cellStyle name="40% - Accent1 12 2 3 2 4" xfId="20877"/>
    <cellStyle name="40% - Accent1 12 2 3 3" xfId="6730"/>
    <cellStyle name="40% - Accent1 12 2 3 3 2" xfId="14702"/>
    <cellStyle name="40% - Accent1 12 2 3 3 3" xfId="22649"/>
    <cellStyle name="40% - Accent1 12 2 3 4" xfId="11166"/>
    <cellStyle name="40% - Accent1 12 2 3 5" xfId="19121"/>
    <cellStyle name="40% - Accent1 12 2 3_Exh G" xfId="2705"/>
    <cellStyle name="40% - Accent1 12 2 4" xfId="4019"/>
    <cellStyle name="40% - Accent1 12 2 4 2" xfId="7611"/>
    <cellStyle name="40% - Accent1 12 2 4 2 2" xfId="15582"/>
    <cellStyle name="40% - Accent1 12 2 4 2 3" xfId="23528"/>
    <cellStyle name="40% - Accent1 12 2 4 3" xfId="12044"/>
    <cellStyle name="40% - Accent1 12 2 4 4" xfId="19999"/>
    <cellStyle name="40% - Accent1 12 2 5" xfId="5839"/>
    <cellStyle name="40% - Accent1 12 2 5 2" xfId="13823"/>
    <cellStyle name="40% - Accent1 12 2 5 3" xfId="21771"/>
    <cellStyle name="40% - Accent1 12 2 6" xfId="9392"/>
    <cellStyle name="40% - Accent1 12 2 6 2" xfId="17350"/>
    <cellStyle name="40% - Accent1 12 2 6 3" xfId="25294"/>
    <cellStyle name="40% - Accent1 12 2 7" xfId="10288"/>
    <cellStyle name="40% - Accent1 12 2 8" xfId="18243"/>
    <cellStyle name="40% - Accent1 12 2_Exh G" xfId="2702"/>
    <cellStyle name="40% - Accent1 12 3" xfId="342"/>
    <cellStyle name="40% - Accent1 12 3 2" xfId="1370"/>
    <cellStyle name="40% - Accent1 12 3 2 2" xfId="4900"/>
    <cellStyle name="40% - Accent1 12 3 2 2 2" xfId="8491"/>
    <cellStyle name="40% - Accent1 12 3 2 2 2 2" xfId="16462"/>
    <cellStyle name="40% - Accent1 12 3 2 2 2 3" xfId="24408"/>
    <cellStyle name="40% - Accent1 12 3 2 2 3" xfId="12924"/>
    <cellStyle name="40% - Accent1 12 3 2 2 4" xfId="20879"/>
    <cellStyle name="40% - Accent1 12 3 2 3" xfId="6732"/>
    <cellStyle name="40% - Accent1 12 3 2 3 2" xfId="14704"/>
    <cellStyle name="40% - Accent1 12 3 2 3 3" xfId="22651"/>
    <cellStyle name="40% - Accent1 12 3 2 4" xfId="11168"/>
    <cellStyle name="40% - Accent1 12 3 2 5" xfId="19123"/>
    <cellStyle name="40% - Accent1 12 3 2_Exh G" xfId="2707"/>
    <cellStyle name="40% - Accent1 12 3 3" xfId="4021"/>
    <cellStyle name="40% - Accent1 12 3 3 2" xfId="7613"/>
    <cellStyle name="40% - Accent1 12 3 3 2 2" xfId="15584"/>
    <cellStyle name="40% - Accent1 12 3 3 2 3" xfId="23530"/>
    <cellStyle name="40% - Accent1 12 3 3 3" xfId="12046"/>
    <cellStyle name="40% - Accent1 12 3 3 4" xfId="20001"/>
    <cellStyle name="40% - Accent1 12 3 4" xfId="5841"/>
    <cellStyle name="40% - Accent1 12 3 4 2" xfId="13825"/>
    <cellStyle name="40% - Accent1 12 3 4 3" xfId="21773"/>
    <cellStyle name="40% - Accent1 12 3 5" xfId="9394"/>
    <cellStyle name="40% - Accent1 12 3 5 2" xfId="17352"/>
    <cellStyle name="40% - Accent1 12 3 5 3" xfId="25296"/>
    <cellStyle name="40% - Accent1 12 3 6" xfId="10290"/>
    <cellStyle name="40% - Accent1 12 3 7" xfId="18245"/>
    <cellStyle name="40% - Accent1 12 3_Exh G" xfId="2706"/>
    <cellStyle name="40% - Accent1 12 4" xfId="1367"/>
    <cellStyle name="40% - Accent1 12 4 2" xfId="4897"/>
    <cellStyle name="40% - Accent1 12 4 2 2" xfId="8488"/>
    <cellStyle name="40% - Accent1 12 4 2 2 2" xfId="16459"/>
    <cellStyle name="40% - Accent1 12 4 2 2 3" xfId="24405"/>
    <cellStyle name="40% - Accent1 12 4 2 3" xfId="12921"/>
    <cellStyle name="40% - Accent1 12 4 2 4" xfId="20876"/>
    <cellStyle name="40% - Accent1 12 4 3" xfId="6729"/>
    <cellStyle name="40% - Accent1 12 4 3 2" xfId="14701"/>
    <cellStyle name="40% - Accent1 12 4 3 3" xfId="22648"/>
    <cellStyle name="40% - Accent1 12 4 4" xfId="11165"/>
    <cellStyle name="40% - Accent1 12 4 5" xfId="19120"/>
    <cellStyle name="40% - Accent1 12 4_Exh G" xfId="2708"/>
    <cellStyle name="40% - Accent1 12 5" xfId="4018"/>
    <cellStyle name="40% - Accent1 12 5 2" xfId="7610"/>
    <cellStyle name="40% - Accent1 12 5 2 2" xfId="15581"/>
    <cellStyle name="40% - Accent1 12 5 2 3" xfId="23527"/>
    <cellStyle name="40% - Accent1 12 5 3" xfId="12043"/>
    <cellStyle name="40% - Accent1 12 5 4" xfId="19998"/>
    <cellStyle name="40% - Accent1 12 6" xfId="5838"/>
    <cellStyle name="40% - Accent1 12 6 2" xfId="13822"/>
    <cellStyle name="40% - Accent1 12 6 3" xfId="21770"/>
    <cellStyle name="40% - Accent1 12 7" xfId="9391"/>
    <cellStyle name="40% - Accent1 12 7 2" xfId="17349"/>
    <cellStyle name="40% - Accent1 12 7 3" xfId="25293"/>
    <cellStyle name="40% - Accent1 12 8" xfId="10287"/>
    <cellStyle name="40% - Accent1 12 9" xfId="18242"/>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 2 2" xfId="8494"/>
    <cellStyle name="40% - Accent1 13 2 2 2 2 2 2" xfId="16465"/>
    <cellStyle name="40% - Accent1 13 2 2 2 2 2 3" xfId="24411"/>
    <cellStyle name="40% - Accent1 13 2 2 2 2 3" xfId="12927"/>
    <cellStyle name="40% - Accent1 13 2 2 2 2 4" xfId="20882"/>
    <cellStyle name="40% - Accent1 13 2 2 2 3" xfId="6735"/>
    <cellStyle name="40% - Accent1 13 2 2 2 3 2" xfId="14707"/>
    <cellStyle name="40% - Accent1 13 2 2 2 3 3" xfId="22654"/>
    <cellStyle name="40% - Accent1 13 2 2 2 4" xfId="11171"/>
    <cellStyle name="40% - Accent1 13 2 2 2 5" xfId="19126"/>
    <cellStyle name="40% - Accent1 13 2 2 2_Exh G" xfId="2712"/>
    <cellStyle name="40% - Accent1 13 2 2 3" xfId="4024"/>
    <cellStyle name="40% - Accent1 13 2 2 3 2" xfId="7616"/>
    <cellStyle name="40% - Accent1 13 2 2 3 2 2" xfId="15587"/>
    <cellStyle name="40% - Accent1 13 2 2 3 2 3" xfId="23533"/>
    <cellStyle name="40% - Accent1 13 2 2 3 3" xfId="12049"/>
    <cellStyle name="40% - Accent1 13 2 2 3 4" xfId="20004"/>
    <cellStyle name="40% - Accent1 13 2 2 4" xfId="5844"/>
    <cellStyle name="40% - Accent1 13 2 2 4 2" xfId="13828"/>
    <cellStyle name="40% - Accent1 13 2 2 4 3" xfId="21776"/>
    <cellStyle name="40% - Accent1 13 2 2 5" xfId="9397"/>
    <cellStyle name="40% - Accent1 13 2 2 5 2" xfId="17355"/>
    <cellStyle name="40% - Accent1 13 2 2 5 3" xfId="25299"/>
    <cellStyle name="40% - Accent1 13 2 2 6" xfId="10293"/>
    <cellStyle name="40% - Accent1 13 2 2 7" xfId="18248"/>
    <cellStyle name="40% - Accent1 13 2 2_Exh G" xfId="2711"/>
    <cellStyle name="40% - Accent1 13 2 3" xfId="1372"/>
    <cellStyle name="40% - Accent1 13 2 3 2" xfId="4902"/>
    <cellStyle name="40% - Accent1 13 2 3 2 2" xfId="8493"/>
    <cellStyle name="40% - Accent1 13 2 3 2 2 2" xfId="16464"/>
    <cellStyle name="40% - Accent1 13 2 3 2 2 3" xfId="24410"/>
    <cellStyle name="40% - Accent1 13 2 3 2 3" xfId="12926"/>
    <cellStyle name="40% - Accent1 13 2 3 2 4" xfId="20881"/>
    <cellStyle name="40% - Accent1 13 2 3 3" xfId="6734"/>
    <cellStyle name="40% - Accent1 13 2 3 3 2" xfId="14706"/>
    <cellStyle name="40% - Accent1 13 2 3 3 3" xfId="22653"/>
    <cellStyle name="40% - Accent1 13 2 3 4" xfId="11170"/>
    <cellStyle name="40% - Accent1 13 2 3 5" xfId="19125"/>
    <cellStyle name="40% - Accent1 13 2 3_Exh G" xfId="2713"/>
    <cellStyle name="40% - Accent1 13 2 4" xfId="4023"/>
    <cellStyle name="40% - Accent1 13 2 4 2" xfId="7615"/>
    <cellStyle name="40% - Accent1 13 2 4 2 2" xfId="15586"/>
    <cellStyle name="40% - Accent1 13 2 4 2 3" xfId="23532"/>
    <cellStyle name="40% - Accent1 13 2 4 3" xfId="12048"/>
    <cellStyle name="40% - Accent1 13 2 4 4" xfId="20003"/>
    <cellStyle name="40% - Accent1 13 2 5" xfId="5843"/>
    <cellStyle name="40% - Accent1 13 2 5 2" xfId="13827"/>
    <cellStyle name="40% - Accent1 13 2 5 3" xfId="21775"/>
    <cellStyle name="40% - Accent1 13 2 6" xfId="9396"/>
    <cellStyle name="40% - Accent1 13 2 6 2" xfId="17354"/>
    <cellStyle name="40% - Accent1 13 2 6 3" xfId="25298"/>
    <cellStyle name="40% - Accent1 13 2 7" xfId="10292"/>
    <cellStyle name="40% - Accent1 13 2 8" xfId="18247"/>
    <cellStyle name="40% - Accent1 13 2_Exh G" xfId="2710"/>
    <cellStyle name="40% - Accent1 13 3" xfId="346"/>
    <cellStyle name="40% - Accent1 13 3 2" xfId="1374"/>
    <cellStyle name="40% - Accent1 13 3 2 2" xfId="4904"/>
    <cellStyle name="40% - Accent1 13 3 2 2 2" xfId="8495"/>
    <cellStyle name="40% - Accent1 13 3 2 2 2 2" xfId="16466"/>
    <cellStyle name="40% - Accent1 13 3 2 2 2 3" xfId="24412"/>
    <cellStyle name="40% - Accent1 13 3 2 2 3" xfId="12928"/>
    <cellStyle name="40% - Accent1 13 3 2 2 4" xfId="20883"/>
    <cellStyle name="40% - Accent1 13 3 2 3" xfId="6736"/>
    <cellStyle name="40% - Accent1 13 3 2 3 2" xfId="14708"/>
    <cellStyle name="40% - Accent1 13 3 2 3 3" xfId="22655"/>
    <cellStyle name="40% - Accent1 13 3 2 4" xfId="11172"/>
    <cellStyle name="40% - Accent1 13 3 2 5" xfId="19127"/>
    <cellStyle name="40% - Accent1 13 3 2_Exh G" xfId="2715"/>
    <cellStyle name="40% - Accent1 13 3 3" xfId="4025"/>
    <cellStyle name="40% - Accent1 13 3 3 2" xfId="7617"/>
    <cellStyle name="40% - Accent1 13 3 3 2 2" xfId="15588"/>
    <cellStyle name="40% - Accent1 13 3 3 2 3" xfId="23534"/>
    <cellStyle name="40% - Accent1 13 3 3 3" xfId="12050"/>
    <cellStyle name="40% - Accent1 13 3 3 4" xfId="20005"/>
    <cellStyle name="40% - Accent1 13 3 4" xfId="5845"/>
    <cellStyle name="40% - Accent1 13 3 4 2" xfId="13829"/>
    <cellStyle name="40% - Accent1 13 3 4 3" xfId="21777"/>
    <cellStyle name="40% - Accent1 13 3 5" xfId="9398"/>
    <cellStyle name="40% - Accent1 13 3 5 2" xfId="17356"/>
    <cellStyle name="40% - Accent1 13 3 5 3" xfId="25300"/>
    <cellStyle name="40% - Accent1 13 3 6" xfId="10294"/>
    <cellStyle name="40% - Accent1 13 3 7" xfId="18249"/>
    <cellStyle name="40% - Accent1 13 3_Exh G" xfId="2714"/>
    <cellStyle name="40% - Accent1 13 4" xfId="1371"/>
    <cellStyle name="40% - Accent1 13 4 2" xfId="4901"/>
    <cellStyle name="40% - Accent1 13 4 2 2" xfId="8492"/>
    <cellStyle name="40% - Accent1 13 4 2 2 2" xfId="16463"/>
    <cellStyle name="40% - Accent1 13 4 2 2 3" xfId="24409"/>
    <cellStyle name="40% - Accent1 13 4 2 3" xfId="12925"/>
    <cellStyle name="40% - Accent1 13 4 2 4" xfId="20880"/>
    <cellStyle name="40% - Accent1 13 4 3" xfId="6733"/>
    <cellStyle name="40% - Accent1 13 4 3 2" xfId="14705"/>
    <cellStyle name="40% - Accent1 13 4 3 3" xfId="22652"/>
    <cellStyle name="40% - Accent1 13 4 4" xfId="11169"/>
    <cellStyle name="40% - Accent1 13 4 5" xfId="19124"/>
    <cellStyle name="40% - Accent1 13 4_Exh G" xfId="2716"/>
    <cellStyle name="40% - Accent1 13 5" xfId="4022"/>
    <cellStyle name="40% - Accent1 13 5 2" xfId="7614"/>
    <cellStyle name="40% - Accent1 13 5 2 2" xfId="15585"/>
    <cellStyle name="40% - Accent1 13 5 2 3" xfId="23531"/>
    <cellStyle name="40% - Accent1 13 5 3" xfId="12047"/>
    <cellStyle name="40% - Accent1 13 5 4" xfId="20002"/>
    <cellStyle name="40% - Accent1 13 6" xfId="5842"/>
    <cellStyle name="40% - Accent1 13 6 2" xfId="13826"/>
    <cellStyle name="40% - Accent1 13 6 3" xfId="21774"/>
    <cellStyle name="40% - Accent1 13 7" xfId="9395"/>
    <cellStyle name="40% - Accent1 13 7 2" xfId="17353"/>
    <cellStyle name="40% - Accent1 13 7 3" xfId="25297"/>
    <cellStyle name="40% - Accent1 13 8" xfId="10291"/>
    <cellStyle name="40% - Accent1 13 9" xfId="18246"/>
    <cellStyle name="40% - Accent1 13_Exh G" xfId="2709"/>
    <cellStyle name="40% - Accent1 14" xfId="347"/>
    <cellStyle name="40% - Accent1 14 2" xfId="348"/>
    <cellStyle name="40% - Accent1 14 2 2" xfId="1376"/>
    <cellStyle name="40% - Accent1 14 2 2 2" xfId="4906"/>
    <cellStyle name="40% - Accent1 14 2 2 2 2" xfId="8497"/>
    <cellStyle name="40% - Accent1 14 2 2 2 2 2" xfId="16468"/>
    <cellStyle name="40% - Accent1 14 2 2 2 2 3" xfId="24414"/>
    <cellStyle name="40% - Accent1 14 2 2 2 3" xfId="12930"/>
    <cellStyle name="40% - Accent1 14 2 2 2 4" xfId="20885"/>
    <cellStyle name="40% - Accent1 14 2 2 3" xfId="6738"/>
    <cellStyle name="40% - Accent1 14 2 2 3 2" xfId="14710"/>
    <cellStyle name="40% - Accent1 14 2 2 3 3" xfId="22657"/>
    <cellStyle name="40% - Accent1 14 2 2 4" xfId="11174"/>
    <cellStyle name="40% - Accent1 14 2 2 5" xfId="19129"/>
    <cellStyle name="40% - Accent1 14 2 2_Exh G" xfId="2719"/>
    <cellStyle name="40% - Accent1 14 2 3" xfId="4027"/>
    <cellStyle name="40% - Accent1 14 2 3 2" xfId="7619"/>
    <cellStyle name="40% - Accent1 14 2 3 2 2" xfId="15590"/>
    <cellStyle name="40% - Accent1 14 2 3 2 3" xfId="23536"/>
    <cellStyle name="40% - Accent1 14 2 3 3" xfId="12052"/>
    <cellStyle name="40% - Accent1 14 2 3 4" xfId="20007"/>
    <cellStyle name="40% - Accent1 14 2 4" xfId="5847"/>
    <cellStyle name="40% - Accent1 14 2 4 2" xfId="13831"/>
    <cellStyle name="40% - Accent1 14 2 4 3" xfId="21779"/>
    <cellStyle name="40% - Accent1 14 2 5" xfId="9400"/>
    <cellStyle name="40% - Accent1 14 2 5 2" xfId="17358"/>
    <cellStyle name="40% - Accent1 14 2 5 3" xfId="25302"/>
    <cellStyle name="40% - Accent1 14 2 6" xfId="10296"/>
    <cellStyle name="40% - Accent1 14 2 7" xfId="18251"/>
    <cellStyle name="40% - Accent1 14 2_Exh G" xfId="2718"/>
    <cellStyle name="40% - Accent1 14 3" xfId="1375"/>
    <cellStyle name="40% - Accent1 14 3 2" xfId="4905"/>
    <cellStyle name="40% - Accent1 14 3 2 2" xfId="8496"/>
    <cellStyle name="40% - Accent1 14 3 2 2 2" xfId="16467"/>
    <cellStyle name="40% - Accent1 14 3 2 2 3" xfId="24413"/>
    <cellStyle name="40% - Accent1 14 3 2 3" xfId="12929"/>
    <cellStyle name="40% - Accent1 14 3 2 4" xfId="20884"/>
    <cellStyle name="40% - Accent1 14 3 3" xfId="6737"/>
    <cellStyle name="40% - Accent1 14 3 3 2" xfId="14709"/>
    <cellStyle name="40% - Accent1 14 3 3 3" xfId="22656"/>
    <cellStyle name="40% - Accent1 14 3 4" xfId="11173"/>
    <cellStyle name="40% - Accent1 14 3 5" xfId="19128"/>
    <cellStyle name="40% - Accent1 14 3_Exh G" xfId="2720"/>
    <cellStyle name="40% - Accent1 14 4" xfId="4026"/>
    <cellStyle name="40% - Accent1 14 4 2" xfId="7618"/>
    <cellStyle name="40% - Accent1 14 4 2 2" xfId="15589"/>
    <cellStyle name="40% - Accent1 14 4 2 3" xfId="23535"/>
    <cellStyle name="40% - Accent1 14 4 3" xfId="12051"/>
    <cellStyle name="40% - Accent1 14 4 4" xfId="20006"/>
    <cellStyle name="40% - Accent1 14 5" xfId="5846"/>
    <cellStyle name="40% - Accent1 14 5 2" xfId="13830"/>
    <cellStyle name="40% - Accent1 14 5 3" xfId="21778"/>
    <cellStyle name="40% - Accent1 14 6" xfId="9399"/>
    <cellStyle name="40% - Accent1 14 6 2" xfId="17357"/>
    <cellStyle name="40% - Accent1 14 6 3" xfId="25301"/>
    <cellStyle name="40% - Accent1 14 7" xfId="10295"/>
    <cellStyle name="40% - Accent1 14 8" xfId="18250"/>
    <cellStyle name="40% - Accent1 14_Exh G" xfId="2717"/>
    <cellStyle name="40% - Accent1 15" xfId="349"/>
    <cellStyle name="40% - Accent1 15 2" xfId="1377"/>
    <cellStyle name="40% - Accent1 15 2 2" xfId="4907"/>
    <cellStyle name="40% - Accent1 15 2 2 2" xfId="8498"/>
    <cellStyle name="40% - Accent1 15 2 2 2 2" xfId="16469"/>
    <cellStyle name="40% - Accent1 15 2 2 2 3" xfId="24415"/>
    <cellStyle name="40% - Accent1 15 2 2 3" xfId="12931"/>
    <cellStyle name="40% - Accent1 15 2 2 4" xfId="20886"/>
    <cellStyle name="40% - Accent1 15 2 3" xfId="6739"/>
    <cellStyle name="40% - Accent1 15 2 3 2" xfId="14711"/>
    <cellStyle name="40% - Accent1 15 2 3 3" xfId="22658"/>
    <cellStyle name="40% - Accent1 15 2 4" xfId="11175"/>
    <cellStyle name="40% - Accent1 15 2 5" xfId="19130"/>
    <cellStyle name="40% - Accent1 15 2_Exh G" xfId="2722"/>
    <cellStyle name="40% - Accent1 15 3" xfId="4028"/>
    <cellStyle name="40% - Accent1 15 3 2" xfId="7620"/>
    <cellStyle name="40% - Accent1 15 3 2 2" xfId="15591"/>
    <cellStyle name="40% - Accent1 15 3 2 3" xfId="23537"/>
    <cellStyle name="40% - Accent1 15 3 3" xfId="12053"/>
    <cellStyle name="40% - Accent1 15 3 4" xfId="20008"/>
    <cellStyle name="40% - Accent1 15 4" xfId="5848"/>
    <cellStyle name="40% - Accent1 15 4 2" xfId="13832"/>
    <cellStyle name="40% - Accent1 15 4 3" xfId="21780"/>
    <cellStyle name="40% - Accent1 15 5" xfId="9401"/>
    <cellStyle name="40% - Accent1 15 5 2" xfId="17359"/>
    <cellStyle name="40% - Accent1 15 5 3" xfId="25303"/>
    <cellStyle name="40% - Accent1 15 6" xfId="10297"/>
    <cellStyle name="40% - Accent1 15 7" xfId="18252"/>
    <cellStyle name="40% - Accent1 15_Exh G" xfId="2721"/>
    <cellStyle name="40% - Accent1 16" xfId="849"/>
    <cellStyle name="40% - Accent1 16 2" xfId="1788"/>
    <cellStyle name="40% - Accent1 16 2 2" xfId="5309"/>
    <cellStyle name="40% - Accent1 16 2 2 2" xfId="8900"/>
    <cellStyle name="40% - Accent1 16 2 2 2 2" xfId="16871"/>
    <cellStyle name="40% - Accent1 16 2 2 2 3" xfId="24817"/>
    <cellStyle name="40% - Accent1 16 2 2 3" xfId="13333"/>
    <cellStyle name="40% - Accent1 16 2 2 4" xfId="21288"/>
    <cellStyle name="40% - Accent1 16 2 3" xfId="7141"/>
    <cellStyle name="40% - Accent1 16 2 3 2" xfId="15113"/>
    <cellStyle name="40% - Accent1 16 2 3 3" xfId="23060"/>
    <cellStyle name="40% - Accent1 16 2 4" xfId="11577"/>
    <cellStyle name="40% - Accent1 16 2 5" xfId="19532"/>
    <cellStyle name="40% - Accent1 16 2_Exh G" xfId="2724"/>
    <cellStyle name="40% - Accent1 16 3" xfId="4430"/>
    <cellStyle name="40% - Accent1 16 3 2" xfId="8022"/>
    <cellStyle name="40% - Accent1 16 3 2 2" xfId="15993"/>
    <cellStyle name="40% - Accent1 16 3 2 3" xfId="23939"/>
    <cellStyle name="40% - Accent1 16 3 3" xfId="12455"/>
    <cellStyle name="40% - Accent1 16 3 4" xfId="20410"/>
    <cellStyle name="40% - Accent1 16 4" xfId="6260"/>
    <cellStyle name="40% - Accent1 16 4 2" xfId="14235"/>
    <cellStyle name="40% - Accent1 16 4 3" xfId="22182"/>
    <cellStyle name="40% - Accent1 16 5" xfId="9803"/>
    <cellStyle name="40% - Accent1 16 5 2" xfId="17761"/>
    <cellStyle name="40% - Accent1 16 5 3" xfId="25705"/>
    <cellStyle name="40% - Accent1 16 6" xfId="10699"/>
    <cellStyle name="40% - Accent1 16 7" xfId="18654"/>
    <cellStyle name="40% - Accent1 16_Exh G" xfId="2723"/>
    <cellStyle name="40% - Accent1 2" xfId="350"/>
    <cellStyle name="40% - Accent1 2 10" xfId="18253"/>
    <cellStyle name="40% - Accent1 2 2" xfId="351"/>
    <cellStyle name="40% - Accent1 2 2 2" xfId="352"/>
    <cellStyle name="40% - Accent1 2 2 2 2" xfId="1380"/>
    <cellStyle name="40% - Accent1 2 2 2 2 2" xfId="4910"/>
    <cellStyle name="40% - Accent1 2 2 2 2 2 2" xfId="8501"/>
    <cellStyle name="40% - Accent1 2 2 2 2 2 2 2" xfId="16472"/>
    <cellStyle name="40% - Accent1 2 2 2 2 2 2 3" xfId="24418"/>
    <cellStyle name="40% - Accent1 2 2 2 2 2 3" xfId="12934"/>
    <cellStyle name="40% - Accent1 2 2 2 2 2 4" xfId="20889"/>
    <cellStyle name="40% - Accent1 2 2 2 2 3" xfId="6742"/>
    <cellStyle name="40% - Accent1 2 2 2 2 3 2" xfId="14714"/>
    <cellStyle name="40% - Accent1 2 2 2 2 3 3" xfId="22661"/>
    <cellStyle name="40% - Accent1 2 2 2 2 4" xfId="11178"/>
    <cellStyle name="40% - Accent1 2 2 2 2 5" xfId="19133"/>
    <cellStyle name="40% - Accent1 2 2 2 2_Exh G" xfId="2728"/>
    <cellStyle name="40% - Accent1 2 2 2 3" xfId="4031"/>
    <cellStyle name="40% - Accent1 2 2 2 3 2" xfId="7623"/>
    <cellStyle name="40% - Accent1 2 2 2 3 2 2" xfId="15594"/>
    <cellStyle name="40% - Accent1 2 2 2 3 2 3" xfId="23540"/>
    <cellStyle name="40% - Accent1 2 2 2 3 3" xfId="12056"/>
    <cellStyle name="40% - Accent1 2 2 2 3 4" xfId="20011"/>
    <cellStyle name="40% - Accent1 2 2 2 4" xfId="5851"/>
    <cellStyle name="40% - Accent1 2 2 2 4 2" xfId="13835"/>
    <cellStyle name="40% - Accent1 2 2 2 4 3" xfId="21783"/>
    <cellStyle name="40% - Accent1 2 2 2 5" xfId="9404"/>
    <cellStyle name="40% - Accent1 2 2 2 5 2" xfId="17362"/>
    <cellStyle name="40% - Accent1 2 2 2 5 3" xfId="25306"/>
    <cellStyle name="40% - Accent1 2 2 2 6" xfId="10300"/>
    <cellStyle name="40% - Accent1 2 2 2 7" xfId="18255"/>
    <cellStyle name="40% - Accent1 2 2 2_Exh G" xfId="2727"/>
    <cellStyle name="40% - Accent1 2 2 3" xfId="936"/>
    <cellStyle name="40% - Accent1 2 2 3 2" xfId="1860"/>
    <cellStyle name="40% - Accent1 2 2 3 2 2" xfId="5378"/>
    <cellStyle name="40% - Accent1 2 2 3 2 2 2" xfId="8969"/>
    <cellStyle name="40% - Accent1 2 2 3 2 2 2 2" xfId="16940"/>
    <cellStyle name="40% - Accent1 2 2 3 2 2 2 3" xfId="24886"/>
    <cellStyle name="40% - Accent1 2 2 3 2 2 3" xfId="13402"/>
    <cellStyle name="40% - Accent1 2 2 3 2 2 4" xfId="21357"/>
    <cellStyle name="40% - Accent1 2 2 3 2 3" xfId="7210"/>
    <cellStyle name="40% - Accent1 2 2 3 2 3 2" xfId="15182"/>
    <cellStyle name="40% - Accent1 2 2 3 2 3 3" xfId="23129"/>
    <cellStyle name="40% - Accent1 2 2 3 2 4" xfId="11646"/>
    <cellStyle name="40% - Accent1 2 2 3 2 5" xfId="19601"/>
    <cellStyle name="40% - Accent1 2 2 3 2_Exh G" xfId="2730"/>
    <cellStyle name="40% - Accent1 2 2 3 3" xfId="4499"/>
    <cellStyle name="40% - Accent1 2 2 3 3 2" xfId="8091"/>
    <cellStyle name="40% - Accent1 2 2 3 3 2 2" xfId="16062"/>
    <cellStyle name="40% - Accent1 2 2 3 3 2 3" xfId="24008"/>
    <cellStyle name="40% - Accent1 2 2 3 3 3" xfId="12524"/>
    <cellStyle name="40% - Accent1 2 2 3 3 4" xfId="20479"/>
    <cellStyle name="40% - Accent1 2 2 3 4" xfId="6329"/>
    <cellStyle name="40% - Accent1 2 2 3 4 2" xfId="14304"/>
    <cellStyle name="40% - Accent1 2 2 3 4 3" xfId="22251"/>
    <cellStyle name="40% - Accent1 2 2 3 5" xfId="9872"/>
    <cellStyle name="40% - Accent1 2 2 3 5 2" xfId="17830"/>
    <cellStyle name="40% - Accent1 2 2 3 5 3" xfId="25774"/>
    <cellStyle name="40% - Accent1 2 2 3 6" xfId="10768"/>
    <cellStyle name="40% - Accent1 2 2 3 7" xfId="18723"/>
    <cellStyle name="40% - Accent1 2 2 3_Exh G" xfId="2729"/>
    <cellStyle name="40% - Accent1 2 2 4" xfId="1379"/>
    <cellStyle name="40% - Accent1 2 2 4 2" xfId="4909"/>
    <cellStyle name="40% - Accent1 2 2 4 2 2" xfId="8500"/>
    <cellStyle name="40% - Accent1 2 2 4 2 2 2" xfId="16471"/>
    <cellStyle name="40% - Accent1 2 2 4 2 2 3" xfId="24417"/>
    <cellStyle name="40% - Accent1 2 2 4 2 3" xfId="12933"/>
    <cellStyle name="40% - Accent1 2 2 4 2 4" xfId="20888"/>
    <cellStyle name="40% - Accent1 2 2 4 3" xfId="6741"/>
    <cellStyle name="40% - Accent1 2 2 4 3 2" xfId="14713"/>
    <cellStyle name="40% - Accent1 2 2 4 3 3" xfId="22660"/>
    <cellStyle name="40% - Accent1 2 2 4 4" xfId="11177"/>
    <cellStyle name="40% - Accent1 2 2 4 5" xfId="19132"/>
    <cellStyle name="40% - Accent1 2 2 4_Exh G" xfId="2731"/>
    <cellStyle name="40% - Accent1 2 2 5" xfId="4030"/>
    <cellStyle name="40% - Accent1 2 2 5 2" xfId="7622"/>
    <cellStyle name="40% - Accent1 2 2 5 2 2" xfId="15593"/>
    <cellStyle name="40% - Accent1 2 2 5 2 3" xfId="23539"/>
    <cellStyle name="40% - Accent1 2 2 5 3" xfId="12055"/>
    <cellStyle name="40% - Accent1 2 2 5 4" xfId="20010"/>
    <cellStyle name="40% - Accent1 2 2 6" xfId="5850"/>
    <cellStyle name="40% - Accent1 2 2 6 2" xfId="13834"/>
    <cellStyle name="40% - Accent1 2 2 6 3" xfId="21782"/>
    <cellStyle name="40% - Accent1 2 2 7" xfId="9403"/>
    <cellStyle name="40% - Accent1 2 2 7 2" xfId="17361"/>
    <cellStyle name="40% - Accent1 2 2 7 3" xfId="25305"/>
    <cellStyle name="40% - Accent1 2 2 8" xfId="10299"/>
    <cellStyle name="40% - Accent1 2 2 9" xfId="18254"/>
    <cellStyle name="40% - Accent1 2 2_Exh G" xfId="2726"/>
    <cellStyle name="40% - Accent1 2 3" xfId="353"/>
    <cellStyle name="40% - Accent1 2 3 2" xfId="1381"/>
    <cellStyle name="40% - Accent1 2 3 2 2" xfId="4911"/>
    <cellStyle name="40% - Accent1 2 3 2 2 2" xfId="8502"/>
    <cellStyle name="40% - Accent1 2 3 2 2 2 2" xfId="16473"/>
    <cellStyle name="40% - Accent1 2 3 2 2 2 3" xfId="24419"/>
    <cellStyle name="40% - Accent1 2 3 2 2 3" xfId="12935"/>
    <cellStyle name="40% - Accent1 2 3 2 2 4" xfId="20890"/>
    <cellStyle name="40% - Accent1 2 3 2 3" xfId="6743"/>
    <cellStyle name="40% - Accent1 2 3 2 3 2" xfId="14715"/>
    <cellStyle name="40% - Accent1 2 3 2 3 3" xfId="22662"/>
    <cellStyle name="40% - Accent1 2 3 2 4" xfId="11179"/>
    <cellStyle name="40% - Accent1 2 3 2 5" xfId="19134"/>
    <cellStyle name="40% - Accent1 2 3 2_Exh G" xfId="2733"/>
    <cellStyle name="40% - Accent1 2 3 3" xfId="4032"/>
    <cellStyle name="40% - Accent1 2 3 3 2" xfId="7624"/>
    <cellStyle name="40% - Accent1 2 3 3 2 2" xfId="15595"/>
    <cellStyle name="40% - Accent1 2 3 3 2 3" xfId="23541"/>
    <cellStyle name="40% - Accent1 2 3 3 3" xfId="12057"/>
    <cellStyle name="40% - Accent1 2 3 3 4" xfId="20012"/>
    <cellStyle name="40% - Accent1 2 3 4" xfId="5852"/>
    <cellStyle name="40% - Accent1 2 3 4 2" xfId="13836"/>
    <cellStyle name="40% - Accent1 2 3 4 3" xfId="21784"/>
    <cellStyle name="40% - Accent1 2 3 5" xfId="9405"/>
    <cellStyle name="40% - Accent1 2 3 5 2" xfId="17363"/>
    <cellStyle name="40% - Accent1 2 3 5 3" xfId="25307"/>
    <cellStyle name="40% - Accent1 2 3 6" xfId="10301"/>
    <cellStyle name="40% - Accent1 2 3 7" xfId="18256"/>
    <cellStyle name="40% - Accent1 2 3_Exh G" xfId="2732"/>
    <cellStyle name="40% - Accent1 2 4" xfId="935"/>
    <cellStyle name="40% - Accent1 2 4 2" xfId="1859"/>
    <cellStyle name="40% - Accent1 2 4 2 2" xfId="5377"/>
    <cellStyle name="40% - Accent1 2 4 2 2 2" xfId="8968"/>
    <cellStyle name="40% - Accent1 2 4 2 2 2 2" xfId="16939"/>
    <cellStyle name="40% - Accent1 2 4 2 2 2 3" xfId="24885"/>
    <cellStyle name="40% - Accent1 2 4 2 2 3" xfId="13401"/>
    <cellStyle name="40% - Accent1 2 4 2 2 4" xfId="21356"/>
    <cellStyle name="40% - Accent1 2 4 2 3" xfId="7209"/>
    <cellStyle name="40% - Accent1 2 4 2 3 2" xfId="15181"/>
    <cellStyle name="40% - Accent1 2 4 2 3 3" xfId="23128"/>
    <cellStyle name="40% - Accent1 2 4 2 4" xfId="11645"/>
    <cellStyle name="40% - Accent1 2 4 2 5" xfId="19600"/>
    <cellStyle name="40% - Accent1 2 4 2_Exh G" xfId="2735"/>
    <cellStyle name="40% - Accent1 2 4 3" xfId="4498"/>
    <cellStyle name="40% - Accent1 2 4 3 2" xfId="8090"/>
    <cellStyle name="40% - Accent1 2 4 3 2 2" xfId="16061"/>
    <cellStyle name="40% - Accent1 2 4 3 2 3" xfId="24007"/>
    <cellStyle name="40% - Accent1 2 4 3 3" xfId="12523"/>
    <cellStyle name="40% - Accent1 2 4 3 4" xfId="20478"/>
    <cellStyle name="40% - Accent1 2 4 4" xfId="6328"/>
    <cellStyle name="40% - Accent1 2 4 4 2" xfId="14303"/>
    <cellStyle name="40% - Accent1 2 4 4 3" xfId="22250"/>
    <cellStyle name="40% - Accent1 2 4 5" xfId="9871"/>
    <cellStyle name="40% - Accent1 2 4 5 2" xfId="17829"/>
    <cellStyle name="40% - Accent1 2 4 5 3" xfId="25773"/>
    <cellStyle name="40% - Accent1 2 4 6" xfId="10767"/>
    <cellStyle name="40% - Accent1 2 4 7" xfId="18722"/>
    <cellStyle name="40% - Accent1 2 4_Exh G" xfId="2734"/>
    <cellStyle name="40% - Accent1 2 5" xfId="1378"/>
    <cellStyle name="40% - Accent1 2 5 2" xfId="4908"/>
    <cellStyle name="40% - Accent1 2 5 2 2" xfId="8499"/>
    <cellStyle name="40% - Accent1 2 5 2 2 2" xfId="16470"/>
    <cellStyle name="40% - Accent1 2 5 2 2 3" xfId="24416"/>
    <cellStyle name="40% - Accent1 2 5 2 3" xfId="12932"/>
    <cellStyle name="40% - Accent1 2 5 2 4" xfId="20887"/>
    <cellStyle name="40% - Accent1 2 5 3" xfId="6740"/>
    <cellStyle name="40% - Accent1 2 5 3 2" xfId="14712"/>
    <cellStyle name="40% - Accent1 2 5 3 3" xfId="22659"/>
    <cellStyle name="40% - Accent1 2 5 4" xfId="11176"/>
    <cellStyle name="40% - Accent1 2 5 5" xfId="19131"/>
    <cellStyle name="40% - Accent1 2 5_Exh G" xfId="2736"/>
    <cellStyle name="40% - Accent1 2 6" xfId="4029"/>
    <cellStyle name="40% - Accent1 2 6 2" xfId="7621"/>
    <cellStyle name="40% - Accent1 2 6 2 2" xfId="15592"/>
    <cellStyle name="40% - Accent1 2 6 2 3" xfId="23538"/>
    <cellStyle name="40% - Accent1 2 6 3" xfId="12054"/>
    <cellStyle name="40% - Accent1 2 6 4" xfId="20009"/>
    <cellStyle name="40% - Accent1 2 7" xfId="5849"/>
    <cellStyle name="40% - Accent1 2 7 2" xfId="13833"/>
    <cellStyle name="40% - Accent1 2 7 3" xfId="21781"/>
    <cellStyle name="40% - Accent1 2 8" xfId="9402"/>
    <cellStyle name="40% - Accent1 2 8 2" xfId="17360"/>
    <cellStyle name="40% - Accent1 2 8 3" xfId="25304"/>
    <cellStyle name="40% - Accent1 2 9" xfId="10298"/>
    <cellStyle name="40% - Accent1 2_Exh G" xfId="2725"/>
    <cellStyle name="40% - Accent1 3" xfId="354"/>
    <cellStyle name="40% - Accent1 3 10" xfId="18257"/>
    <cellStyle name="40% - Accent1 3 2" xfId="355"/>
    <cellStyle name="40% - Accent1 3 2 2" xfId="356"/>
    <cellStyle name="40% - Accent1 3 2 2 2" xfId="1384"/>
    <cellStyle name="40% - Accent1 3 2 2 2 2" xfId="4914"/>
    <cellStyle name="40% - Accent1 3 2 2 2 2 2" xfId="8505"/>
    <cellStyle name="40% - Accent1 3 2 2 2 2 2 2" xfId="16476"/>
    <cellStyle name="40% - Accent1 3 2 2 2 2 2 3" xfId="24422"/>
    <cellStyle name="40% - Accent1 3 2 2 2 2 3" xfId="12938"/>
    <cellStyle name="40% - Accent1 3 2 2 2 2 4" xfId="20893"/>
    <cellStyle name="40% - Accent1 3 2 2 2 3" xfId="6746"/>
    <cellStyle name="40% - Accent1 3 2 2 2 3 2" xfId="14718"/>
    <cellStyle name="40% - Accent1 3 2 2 2 3 3" xfId="22665"/>
    <cellStyle name="40% - Accent1 3 2 2 2 4" xfId="11182"/>
    <cellStyle name="40% - Accent1 3 2 2 2 5" xfId="19137"/>
    <cellStyle name="40% - Accent1 3 2 2 2_Exh G" xfId="2740"/>
    <cellStyle name="40% - Accent1 3 2 2 3" xfId="4035"/>
    <cellStyle name="40% - Accent1 3 2 2 3 2" xfId="7627"/>
    <cellStyle name="40% - Accent1 3 2 2 3 2 2" xfId="15598"/>
    <cellStyle name="40% - Accent1 3 2 2 3 2 3" xfId="23544"/>
    <cellStyle name="40% - Accent1 3 2 2 3 3" xfId="12060"/>
    <cellStyle name="40% - Accent1 3 2 2 3 4" xfId="20015"/>
    <cellStyle name="40% - Accent1 3 2 2 4" xfId="5855"/>
    <cellStyle name="40% - Accent1 3 2 2 4 2" xfId="13839"/>
    <cellStyle name="40% - Accent1 3 2 2 4 3" xfId="21787"/>
    <cellStyle name="40% - Accent1 3 2 2 5" xfId="9408"/>
    <cellStyle name="40% - Accent1 3 2 2 5 2" xfId="17366"/>
    <cellStyle name="40% - Accent1 3 2 2 5 3" xfId="25310"/>
    <cellStyle name="40% - Accent1 3 2 2 6" xfId="10304"/>
    <cellStyle name="40% - Accent1 3 2 2 7" xfId="18259"/>
    <cellStyle name="40% - Accent1 3 2 2_Exh G" xfId="2739"/>
    <cellStyle name="40% - Accent1 3 2 3" xfId="938"/>
    <cellStyle name="40% - Accent1 3 2 3 2" xfId="1862"/>
    <cellStyle name="40% - Accent1 3 2 3 2 2" xfId="5380"/>
    <cellStyle name="40% - Accent1 3 2 3 2 2 2" xfId="8971"/>
    <cellStyle name="40% - Accent1 3 2 3 2 2 2 2" xfId="16942"/>
    <cellStyle name="40% - Accent1 3 2 3 2 2 2 3" xfId="24888"/>
    <cellStyle name="40% - Accent1 3 2 3 2 2 3" xfId="13404"/>
    <cellStyle name="40% - Accent1 3 2 3 2 2 4" xfId="21359"/>
    <cellStyle name="40% - Accent1 3 2 3 2 3" xfId="7212"/>
    <cellStyle name="40% - Accent1 3 2 3 2 3 2" xfId="15184"/>
    <cellStyle name="40% - Accent1 3 2 3 2 3 3" xfId="23131"/>
    <cellStyle name="40% - Accent1 3 2 3 2 4" xfId="11648"/>
    <cellStyle name="40% - Accent1 3 2 3 2 5" xfId="19603"/>
    <cellStyle name="40% - Accent1 3 2 3 2_Exh G" xfId="2742"/>
    <cellStyle name="40% - Accent1 3 2 3 3" xfId="4501"/>
    <cellStyle name="40% - Accent1 3 2 3 3 2" xfId="8093"/>
    <cellStyle name="40% - Accent1 3 2 3 3 2 2" xfId="16064"/>
    <cellStyle name="40% - Accent1 3 2 3 3 2 3" xfId="24010"/>
    <cellStyle name="40% - Accent1 3 2 3 3 3" xfId="12526"/>
    <cellStyle name="40% - Accent1 3 2 3 3 4" xfId="20481"/>
    <cellStyle name="40% - Accent1 3 2 3 4" xfId="6331"/>
    <cellStyle name="40% - Accent1 3 2 3 4 2" xfId="14306"/>
    <cellStyle name="40% - Accent1 3 2 3 4 3" xfId="22253"/>
    <cellStyle name="40% - Accent1 3 2 3 5" xfId="9874"/>
    <cellStyle name="40% - Accent1 3 2 3 5 2" xfId="17832"/>
    <cellStyle name="40% - Accent1 3 2 3 5 3" xfId="25776"/>
    <cellStyle name="40% - Accent1 3 2 3 6" xfId="10770"/>
    <cellStyle name="40% - Accent1 3 2 3 7" xfId="18725"/>
    <cellStyle name="40% - Accent1 3 2 3_Exh G" xfId="2741"/>
    <cellStyle name="40% - Accent1 3 2 4" xfId="1383"/>
    <cellStyle name="40% - Accent1 3 2 4 2" xfId="4913"/>
    <cellStyle name="40% - Accent1 3 2 4 2 2" xfId="8504"/>
    <cellStyle name="40% - Accent1 3 2 4 2 2 2" xfId="16475"/>
    <cellStyle name="40% - Accent1 3 2 4 2 2 3" xfId="24421"/>
    <cellStyle name="40% - Accent1 3 2 4 2 3" xfId="12937"/>
    <cellStyle name="40% - Accent1 3 2 4 2 4" xfId="20892"/>
    <cellStyle name="40% - Accent1 3 2 4 3" xfId="6745"/>
    <cellStyle name="40% - Accent1 3 2 4 3 2" xfId="14717"/>
    <cellStyle name="40% - Accent1 3 2 4 3 3" xfId="22664"/>
    <cellStyle name="40% - Accent1 3 2 4 4" xfId="11181"/>
    <cellStyle name="40% - Accent1 3 2 4 5" xfId="19136"/>
    <cellStyle name="40% - Accent1 3 2 4_Exh G" xfId="2743"/>
    <cellStyle name="40% - Accent1 3 2 5" xfId="4034"/>
    <cellStyle name="40% - Accent1 3 2 5 2" xfId="7626"/>
    <cellStyle name="40% - Accent1 3 2 5 2 2" xfId="15597"/>
    <cellStyle name="40% - Accent1 3 2 5 2 3" xfId="23543"/>
    <cellStyle name="40% - Accent1 3 2 5 3" xfId="12059"/>
    <cellStyle name="40% - Accent1 3 2 5 4" xfId="20014"/>
    <cellStyle name="40% - Accent1 3 2 6" xfId="5854"/>
    <cellStyle name="40% - Accent1 3 2 6 2" xfId="13838"/>
    <cellStyle name="40% - Accent1 3 2 6 3" xfId="21786"/>
    <cellStyle name="40% - Accent1 3 2 7" xfId="9407"/>
    <cellStyle name="40% - Accent1 3 2 7 2" xfId="17365"/>
    <cellStyle name="40% - Accent1 3 2 7 3" xfId="25309"/>
    <cellStyle name="40% - Accent1 3 2 8" xfId="10303"/>
    <cellStyle name="40% - Accent1 3 2 9" xfId="18258"/>
    <cellStyle name="40% - Accent1 3 2_Exh G" xfId="2738"/>
    <cellStyle name="40% - Accent1 3 3" xfId="357"/>
    <cellStyle name="40% - Accent1 3 3 2" xfId="1385"/>
    <cellStyle name="40% - Accent1 3 3 2 2" xfId="4915"/>
    <cellStyle name="40% - Accent1 3 3 2 2 2" xfId="8506"/>
    <cellStyle name="40% - Accent1 3 3 2 2 2 2" xfId="16477"/>
    <cellStyle name="40% - Accent1 3 3 2 2 2 3" xfId="24423"/>
    <cellStyle name="40% - Accent1 3 3 2 2 3" xfId="12939"/>
    <cellStyle name="40% - Accent1 3 3 2 2 4" xfId="20894"/>
    <cellStyle name="40% - Accent1 3 3 2 3" xfId="6747"/>
    <cellStyle name="40% - Accent1 3 3 2 3 2" xfId="14719"/>
    <cellStyle name="40% - Accent1 3 3 2 3 3" xfId="22666"/>
    <cellStyle name="40% - Accent1 3 3 2 4" xfId="11183"/>
    <cellStyle name="40% - Accent1 3 3 2 5" xfId="19138"/>
    <cellStyle name="40% - Accent1 3 3 2_Exh G" xfId="2745"/>
    <cellStyle name="40% - Accent1 3 3 3" xfId="4036"/>
    <cellStyle name="40% - Accent1 3 3 3 2" xfId="7628"/>
    <cellStyle name="40% - Accent1 3 3 3 2 2" xfId="15599"/>
    <cellStyle name="40% - Accent1 3 3 3 2 3" xfId="23545"/>
    <cellStyle name="40% - Accent1 3 3 3 3" xfId="12061"/>
    <cellStyle name="40% - Accent1 3 3 3 4" xfId="20016"/>
    <cellStyle name="40% - Accent1 3 3 4" xfId="5856"/>
    <cellStyle name="40% - Accent1 3 3 4 2" xfId="13840"/>
    <cellStyle name="40% - Accent1 3 3 4 3" xfId="21788"/>
    <cellStyle name="40% - Accent1 3 3 5" xfId="9409"/>
    <cellStyle name="40% - Accent1 3 3 5 2" xfId="17367"/>
    <cellStyle name="40% - Accent1 3 3 5 3" xfId="25311"/>
    <cellStyle name="40% - Accent1 3 3 6" xfId="10305"/>
    <cellStyle name="40% - Accent1 3 3 7" xfId="18260"/>
    <cellStyle name="40% - Accent1 3 3_Exh G" xfId="2744"/>
    <cellStyle name="40% - Accent1 3 4" xfId="937"/>
    <cellStyle name="40% - Accent1 3 4 2" xfId="1861"/>
    <cellStyle name="40% - Accent1 3 4 2 2" xfId="5379"/>
    <cellStyle name="40% - Accent1 3 4 2 2 2" xfId="8970"/>
    <cellStyle name="40% - Accent1 3 4 2 2 2 2" xfId="16941"/>
    <cellStyle name="40% - Accent1 3 4 2 2 2 3" xfId="24887"/>
    <cellStyle name="40% - Accent1 3 4 2 2 3" xfId="13403"/>
    <cellStyle name="40% - Accent1 3 4 2 2 4" xfId="21358"/>
    <cellStyle name="40% - Accent1 3 4 2 3" xfId="7211"/>
    <cellStyle name="40% - Accent1 3 4 2 3 2" xfId="15183"/>
    <cellStyle name="40% - Accent1 3 4 2 3 3" xfId="23130"/>
    <cellStyle name="40% - Accent1 3 4 2 4" xfId="11647"/>
    <cellStyle name="40% - Accent1 3 4 2 5" xfId="19602"/>
    <cellStyle name="40% - Accent1 3 4 2_Exh G" xfId="2747"/>
    <cellStyle name="40% - Accent1 3 4 3" xfId="4500"/>
    <cellStyle name="40% - Accent1 3 4 3 2" xfId="8092"/>
    <cellStyle name="40% - Accent1 3 4 3 2 2" xfId="16063"/>
    <cellStyle name="40% - Accent1 3 4 3 2 3" xfId="24009"/>
    <cellStyle name="40% - Accent1 3 4 3 3" xfId="12525"/>
    <cellStyle name="40% - Accent1 3 4 3 4" xfId="20480"/>
    <cellStyle name="40% - Accent1 3 4 4" xfId="6330"/>
    <cellStyle name="40% - Accent1 3 4 4 2" xfId="14305"/>
    <cellStyle name="40% - Accent1 3 4 4 3" xfId="22252"/>
    <cellStyle name="40% - Accent1 3 4 5" xfId="9873"/>
    <cellStyle name="40% - Accent1 3 4 5 2" xfId="17831"/>
    <cellStyle name="40% - Accent1 3 4 5 3" xfId="25775"/>
    <cellStyle name="40% - Accent1 3 4 6" xfId="10769"/>
    <cellStyle name="40% - Accent1 3 4 7" xfId="18724"/>
    <cellStyle name="40% - Accent1 3 4_Exh G" xfId="2746"/>
    <cellStyle name="40% - Accent1 3 5" xfId="1382"/>
    <cellStyle name="40% - Accent1 3 5 2" xfId="4912"/>
    <cellStyle name="40% - Accent1 3 5 2 2" xfId="8503"/>
    <cellStyle name="40% - Accent1 3 5 2 2 2" xfId="16474"/>
    <cellStyle name="40% - Accent1 3 5 2 2 3" xfId="24420"/>
    <cellStyle name="40% - Accent1 3 5 2 3" xfId="12936"/>
    <cellStyle name="40% - Accent1 3 5 2 4" xfId="20891"/>
    <cellStyle name="40% - Accent1 3 5 3" xfId="6744"/>
    <cellStyle name="40% - Accent1 3 5 3 2" xfId="14716"/>
    <cellStyle name="40% - Accent1 3 5 3 3" xfId="22663"/>
    <cellStyle name="40% - Accent1 3 5 4" xfId="11180"/>
    <cellStyle name="40% - Accent1 3 5 5" xfId="19135"/>
    <cellStyle name="40% - Accent1 3 5_Exh G" xfId="2748"/>
    <cellStyle name="40% - Accent1 3 6" xfId="4033"/>
    <cellStyle name="40% - Accent1 3 6 2" xfId="7625"/>
    <cellStyle name="40% - Accent1 3 6 2 2" xfId="15596"/>
    <cellStyle name="40% - Accent1 3 6 2 3" xfId="23542"/>
    <cellStyle name="40% - Accent1 3 6 3" xfId="12058"/>
    <cellStyle name="40% - Accent1 3 6 4" xfId="20013"/>
    <cellStyle name="40% - Accent1 3 7" xfId="5853"/>
    <cellStyle name="40% - Accent1 3 7 2" xfId="13837"/>
    <cellStyle name="40% - Accent1 3 7 3" xfId="21785"/>
    <cellStyle name="40% - Accent1 3 8" xfId="9406"/>
    <cellStyle name="40% - Accent1 3 8 2" xfId="17364"/>
    <cellStyle name="40% - Accent1 3 8 3" xfId="25308"/>
    <cellStyle name="40% - Accent1 3 9" xfId="10302"/>
    <cellStyle name="40% - Accent1 3_Exh G" xfId="2737"/>
    <cellStyle name="40% - Accent1 4" xfId="358"/>
    <cellStyle name="40% - Accent1 4 10" xfId="18261"/>
    <cellStyle name="40% - Accent1 4 2" xfId="359"/>
    <cellStyle name="40% - Accent1 4 2 2" xfId="360"/>
    <cellStyle name="40% - Accent1 4 2 2 2" xfId="1388"/>
    <cellStyle name="40% - Accent1 4 2 2 2 2" xfId="4918"/>
    <cellStyle name="40% - Accent1 4 2 2 2 2 2" xfId="8509"/>
    <cellStyle name="40% - Accent1 4 2 2 2 2 2 2" xfId="16480"/>
    <cellStyle name="40% - Accent1 4 2 2 2 2 2 3" xfId="24426"/>
    <cellStyle name="40% - Accent1 4 2 2 2 2 3" xfId="12942"/>
    <cellStyle name="40% - Accent1 4 2 2 2 2 4" xfId="20897"/>
    <cellStyle name="40% - Accent1 4 2 2 2 3" xfId="6750"/>
    <cellStyle name="40% - Accent1 4 2 2 2 3 2" xfId="14722"/>
    <cellStyle name="40% - Accent1 4 2 2 2 3 3" xfId="22669"/>
    <cellStyle name="40% - Accent1 4 2 2 2 4" xfId="11186"/>
    <cellStyle name="40% - Accent1 4 2 2 2 5" xfId="19141"/>
    <cellStyle name="40% - Accent1 4 2 2 2_Exh G" xfId="2752"/>
    <cellStyle name="40% - Accent1 4 2 2 3" xfId="4039"/>
    <cellStyle name="40% - Accent1 4 2 2 3 2" xfId="7631"/>
    <cellStyle name="40% - Accent1 4 2 2 3 2 2" xfId="15602"/>
    <cellStyle name="40% - Accent1 4 2 2 3 2 3" xfId="23548"/>
    <cellStyle name="40% - Accent1 4 2 2 3 3" xfId="12064"/>
    <cellStyle name="40% - Accent1 4 2 2 3 4" xfId="20019"/>
    <cellStyle name="40% - Accent1 4 2 2 4" xfId="5859"/>
    <cellStyle name="40% - Accent1 4 2 2 4 2" xfId="13843"/>
    <cellStyle name="40% - Accent1 4 2 2 4 3" xfId="21791"/>
    <cellStyle name="40% - Accent1 4 2 2 5" xfId="9412"/>
    <cellStyle name="40% - Accent1 4 2 2 5 2" xfId="17370"/>
    <cellStyle name="40% - Accent1 4 2 2 5 3" xfId="25314"/>
    <cellStyle name="40% - Accent1 4 2 2 6" xfId="10308"/>
    <cellStyle name="40% - Accent1 4 2 2 7" xfId="18263"/>
    <cellStyle name="40% - Accent1 4 2 2_Exh G" xfId="2751"/>
    <cellStyle name="40% - Accent1 4 2 3" xfId="940"/>
    <cellStyle name="40% - Accent1 4 2 3 2" xfId="1864"/>
    <cellStyle name="40% - Accent1 4 2 3 2 2" xfId="5382"/>
    <cellStyle name="40% - Accent1 4 2 3 2 2 2" xfId="8973"/>
    <cellStyle name="40% - Accent1 4 2 3 2 2 2 2" xfId="16944"/>
    <cellStyle name="40% - Accent1 4 2 3 2 2 2 3" xfId="24890"/>
    <cellStyle name="40% - Accent1 4 2 3 2 2 3" xfId="13406"/>
    <cellStyle name="40% - Accent1 4 2 3 2 2 4" xfId="21361"/>
    <cellStyle name="40% - Accent1 4 2 3 2 3" xfId="7214"/>
    <cellStyle name="40% - Accent1 4 2 3 2 3 2" xfId="15186"/>
    <cellStyle name="40% - Accent1 4 2 3 2 3 3" xfId="23133"/>
    <cellStyle name="40% - Accent1 4 2 3 2 4" xfId="11650"/>
    <cellStyle name="40% - Accent1 4 2 3 2 5" xfId="19605"/>
    <cellStyle name="40% - Accent1 4 2 3 2_Exh G" xfId="2754"/>
    <cellStyle name="40% - Accent1 4 2 3 3" xfId="4503"/>
    <cellStyle name="40% - Accent1 4 2 3 3 2" xfId="8095"/>
    <cellStyle name="40% - Accent1 4 2 3 3 2 2" xfId="16066"/>
    <cellStyle name="40% - Accent1 4 2 3 3 2 3" xfId="24012"/>
    <cellStyle name="40% - Accent1 4 2 3 3 3" xfId="12528"/>
    <cellStyle name="40% - Accent1 4 2 3 3 4" xfId="20483"/>
    <cellStyle name="40% - Accent1 4 2 3 4" xfId="6333"/>
    <cellStyle name="40% - Accent1 4 2 3 4 2" xfId="14308"/>
    <cellStyle name="40% - Accent1 4 2 3 4 3" xfId="22255"/>
    <cellStyle name="40% - Accent1 4 2 3 5" xfId="9876"/>
    <cellStyle name="40% - Accent1 4 2 3 5 2" xfId="17834"/>
    <cellStyle name="40% - Accent1 4 2 3 5 3" xfId="25778"/>
    <cellStyle name="40% - Accent1 4 2 3 6" xfId="10772"/>
    <cellStyle name="40% - Accent1 4 2 3 7" xfId="18727"/>
    <cellStyle name="40% - Accent1 4 2 3_Exh G" xfId="2753"/>
    <cellStyle name="40% - Accent1 4 2 4" xfId="1387"/>
    <cellStyle name="40% - Accent1 4 2 4 2" xfId="4917"/>
    <cellStyle name="40% - Accent1 4 2 4 2 2" xfId="8508"/>
    <cellStyle name="40% - Accent1 4 2 4 2 2 2" xfId="16479"/>
    <cellStyle name="40% - Accent1 4 2 4 2 2 3" xfId="24425"/>
    <cellStyle name="40% - Accent1 4 2 4 2 3" xfId="12941"/>
    <cellStyle name="40% - Accent1 4 2 4 2 4" xfId="20896"/>
    <cellStyle name="40% - Accent1 4 2 4 3" xfId="6749"/>
    <cellStyle name="40% - Accent1 4 2 4 3 2" xfId="14721"/>
    <cellStyle name="40% - Accent1 4 2 4 3 3" xfId="22668"/>
    <cellStyle name="40% - Accent1 4 2 4 4" xfId="11185"/>
    <cellStyle name="40% - Accent1 4 2 4 5" xfId="19140"/>
    <cellStyle name="40% - Accent1 4 2 4_Exh G" xfId="2755"/>
    <cellStyle name="40% - Accent1 4 2 5" xfId="4038"/>
    <cellStyle name="40% - Accent1 4 2 5 2" xfId="7630"/>
    <cellStyle name="40% - Accent1 4 2 5 2 2" xfId="15601"/>
    <cellStyle name="40% - Accent1 4 2 5 2 3" xfId="23547"/>
    <cellStyle name="40% - Accent1 4 2 5 3" xfId="12063"/>
    <cellStyle name="40% - Accent1 4 2 5 4" xfId="20018"/>
    <cellStyle name="40% - Accent1 4 2 6" xfId="5858"/>
    <cellStyle name="40% - Accent1 4 2 6 2" xfId="13842"/>
    <cellStyle name="40% - Accent1 4 2 6 3" xfId="21790"/>
    <cellStyle name="40% - Accent1 4 2 7" xfId="9411"/>
    <cellStyle name="40% - Accent1 4 2 7 2" xfId="17369"/>
    <cellStyle name="40% - Accent1 4 2 7 3" xfId="25313"/>
    <cellStyle name="40% - Accent1 4 2 8" xfId="10307"/>
    <cellStyle name="40% - Accent1 4 2 9" xfId="18262"/>
    <cellStyle name="40% - Accent1 4 2_Exh G" xfId="2750"/>
    <cellStyle name="40% - Accent1 4 3" xfId="361"/>
    <cellStyle name="40% - Accent1 4 3 2" xfId="1389"/>
    <cellStyle name="40% - Accent1 4 3 2 2" xfId="4919"/>
    <cellStyle name="40% - Accent1 4 3 2 2 2" xfId="8510"/>
    <cellStyle name="40% - Accent1 4 3 2 2 2 2" xfId="16481"/>
    <cellStyle name="40% - Accent1 4 3 2 2 2 3" xfId="24427"/>
    <cellStyle name="40% - Accent1 4 3 2 2 3" xfId="12943"/>
    <cellStyle name="40% - Accent1 4 3 2 2 4" xfId="20898"/>
    <cellStyle name="40% - Accent1 4 3 2 3" xfId="6751"/>
    <cellStyle name="40% - Accent1 4 3 2 3 2" xfId="14723"/>
    <cellStyle name="40% - Accent1 4 3 2 3 3" xfId="22670"/>
    <cellStyle name="40% - Accent1 4 3 2 4" xfId="11187"/>
    <cellStyle name="40% - Accent1 4 3 2 5" xfId="19142"/>
    <cellStyle name="40% - Accent1 4 3 2_Exh G" xfId="2757"/>
    <cellStyle name="40% - Accent1 4 3 3" xfId="4040"/>
    <cellStyle name="40% - Accent1 4 3 3 2" xfId="7632"/>
    <cellStyle name="40% - Accent1 4 3 3 2 2" xfId="15603"/>
    <cellStyle name="40% - Accent1 4 3 3 2 3" xfId="23549"/>
    <cellStyle name="40% - Accent1 4 3 3 3" xfId="12065"/>
    <cellStyle name="40% - Accent1 4 3 3 4" xfId="20020"/>
    <cellStyle name="40% - Accent1 4 3 4" xfId="5860"/>
    <cellStyle name="40% - Accent1 4 3 4 2" xfId="13844"/>
    <cellStyle name="40% - Accent1 4 3 4 3" xfId="21792"/>
    <cellStyle name="40% - Accent1 4 3 5" xfId="9413"/>
    <cellStyle name="40% - Accent1 4 3 5 2" xfId="17371"/>
    <cellStyle name="40% - Accent1 4 3 5 3" xfId="25315"/>
    <cellStyle name="40% - Accent1 4 3 6" xfId="10309"/>
    <cellStyle name="40% - Accent1 4 3 7" xfId="18264"/>
    <cellStyle name="40% - Accent1 4 3_Exh G" xfId="2756"/>
    <cellStyle name="40% - Accent1 4 4" xfId="939"/>
    <cellStyle name="40% - Accent1 4 4 2" xfId="1863"/>
    <cellStyle name="40% - Accent1 4 4 2 2" xfId="5381"/>
    <cellStyle name="40% - Accent1 4 4 2 2 2" xfId="8972"/>
    <cellStyle name="40% - Accent1 4 4 2 2 2 2" xfId="16943"/>
    <cellStyle name="40% - Accent1 4 4 2 2 2 3" xfId="24889"/>
    <cellStyle name="40% - Accent1 4 4 2 2 3" xfId="13405"/>
    <cellStyle name="40% - Accent1 4 4 2 2 4" xfId="21360"/>
    <cellStyle name="40% - Accent1 4 4 2 3" xfId="7213"/>
    <cellStyle name="40% - Accent1 4 4 2 3 2" xfId="15185"/>
    <cellStyle name="40% - Accent1 4 4 2 3 3" xfId="23132"/>
    <cellStyle name="40% - Accent1 4 4 2 4" xfId="11649"/>
    <cellStyle name="40% - Accent1 4 4 2 5" xfId="19604"/>
    <cellStyle name="40% - Accent1 4 4 2_Exh G" xfId="2759"/>
    <cellStyle name="40% - Accent1 4 4 3" xfId="4502"/>
    <cellStyle name="40% - Accent1 4 4 3 2" xfId="8094"/>
    <cellStyle name="40% - Accent1 4 4 3 2 2" xfId="16065"/>
    <cellStyle name="40% - Accent1 4 4 3 2 3" xfId="24011"/>
    <cellStyle name="40% - Accent1 4 4 3 3" xfId="12527"/>
    <cellStyle name="40% - Accent1 4 4 3 4" xfId="20482"/>
    <cellStyle name="40% - Accent1 4 4 4" xfId="6332"/>
    <cellStyle name="40% - Accent1 4 4 4 2" xfId="14307"/>
    <cellStyle name="40% - Accent1 4 4 4 3" xfId="22254"/>
    <cellStyle name="40% - Accent1 4 4 5" xfId="9875"/>
    <cellStyle name="40% - Accent1 4 4 5 2" xfId="17833"/>
    <cellStyle name="40% - Accent1 4 4 5 3" xfId="25777"/>
    <cellStyle name="40% - Accent1 4 4 6" xfId="10771"/>
    <cellStyle name="40% - Accent1 4 4 7" xfId="18726"/>
    <cellStyle name="40% - Accent1 4 4_Exh G" xfId="2758"/>
    <cellStyle name="40% - Accent1 4 5" xfId="1386"/>
    <cellStyle name="40% - Accent1 4 5 2" xfId="4916"/>
    <cellStyle name="40% - Accent1 4 5 2 2" xfId="8507"/>
    <cellStyle name="40% - Accent1 4 5 2 2 2" xfId="16478"/>
    <cellStyle name="40% - Accent1 4 5 2 2 3" xfId="24424"/>
    <cellStyle name="40% - Accent1 4 5 2 3" xfId="12940"/>
    <cellStyle name="40% - Accent1 4 5 2 4" xfId="20895"/>
    <cellStyle name="40% - Accent1 4 5 3" xfId="6748"/>
    <cellStyle name="40% - Accent1 4 5 3 2" xfId="14720"/>
    <cellStyle name="40% - Accent1 4 5 3 3" xfId="22667"/>
    <cellStyle name="40% - Accent1 4 5 4" xfId="11184"/>
    <cellStyle name="40% - Accent1 4 5 5" xfId="19139"/>
    <cellStyle name="40% - Accent1 4 5_Exh G" xfId="2760"/>
    <cellStyle name="40% - Accent1 4 6" xfId="4037"/>
    <cellStyle name="40% - Accent1 4 6 2" xfId="7629"/>
    <cellStyle name="40% - Accent1 4 6 2 2" xfId="15600"/>
    <cellStyle name="40% - Accent1 4 6 2 3" xfId="23546"/>
    <cellStyle name="40% - Accent1 4 6 3" xfId="12062"/>
    <cellStyle name="40% - Accent1 4 6 4" xfId="20017"/>
    <cellStyle name="40% - Accent1 4 7" xfId="5857"/>
    <cellStyle name="40% - Accent1 4 7 2" xfId="13841"/>
    <cellStyle name="40% - Accent1 4 7 3" xfId="21789"/>
    <cellStyle name="40% - Accent1 4 8" xfId="9410"/>
    <cellStyle name="40% - Accent1 4 8 2" xfId="17368"/>
    <cellStyle name="40% - Accent1 4 8 3" xfId="25312"/>
    <cellStyle name="40% - Accent1 4 9" xfId="10306"/>
    <cellStyle name="40% - Accent1 4_Exh G" xfId="2749"/>
    <cellStyle name="40% - Accent1 5" xfId="362"/>
    <cellStyle name="40% - Accent1 5 10" xfId="18265"/>
    <cellStyle name="40% - Accent1 5 2" xfId="363"/>
    <cellStyle name="40% - Accent1 5 2 2" xfId="364"/>
    <cellStyle name="40% - Accent1 5 2 2 2" xfId="1392"/>
    <cellStyle name="40% - Accent1 5 2 2 2 2" xfId="4922"/>
    <cellStyle name="40% - Accent1 5 2 2 2 2 2" xfId="8513"/>
    <cellStyle name="40% - Accent1 5 2 2 2 2 2 2" xfId="16484"/>
    <cellStyle name="40% - Accent1 5 2 2 2 2 2 3" xfId="24430"/>
    <cellStyle name="40% - Accent1 5 2 2 2 2 3" xfId="12946"/>
    <cellStyle name="40% - Accent1 5 2 2 2 2 4" xfId="20901"/>
    <cellStyle name="40% - Accent1 5 2 2 2 3" xfId="6754"/>
    <cellStyle name="40% - Accent1 5 2 2 2 3 2" xfId="14726"/>
    <cellStyle name="40% - Accent1 5 2 2 2 3 3" xfId="22673"/>
    <cellStyle name="40% - Accent1 5 2 2 2 4" xfId="11190"/>
    <cellStyle name="40% - Accent1 5 2 2 2 5" xfId="19145"/>
    <cellStyle name="40% - Accent1 5 2 2 2_Exh G" xfId="2764"/>
    <cellStyle name="40% - Accent1 5 2 2 3" xfId="4043"/>
    <cellStyle name="40% - Accent1 5 2 2 3 2" xfId="7635"/>
    <cellStyle name="40% - Accent1 5 2 2 3 2 2" xfId="15606"/>
    <cellStyle name="40% - Accent1 5 2 2 3 2 3" xfId="23552"/>
    <cellStyle name="40% - Accent1 5 2 2 3 3" xfId="12068"/>
    <cellStyle name="40% - Accent1 5 2 2 3 4" xfId="20023"/>
    <cellStyle name="40% - Accent1 5 2 2 4" xfId="5863"/>
    <cellStyle name="40% - Accent1 5 2 2 4 2" xfId="13847"/>
    <cellStyle name="40% - Accent1 5 2 2 4 3" xfId="21795"/>
    <cellStyle name="40% - Accent1 5 2 2 5" xfId="9416"/>
    <cellStyle name="40% - Accent1 5 2 2 5 2" xfId="17374"/>
    <cellStyle name="40% - Accent1 5 2 2 5 3" xfId="25318"/>
    <cellStyle name="40% - Accent1 5 2 2 6" xfId="10312"/>
    <cellStyle name="40% - Accent1 5 2 2 7" xfId="18267"/>
    <cellStyle name="40% - Accent1 5 2 2_Exh G" xfId="2763"/>
    <cellStyle name="40% - Accent1 5 2 3" xfId="1391"/>
    <cellStyle name="40% - Accent1 5 2 3 2" xfId="4921"/>
    <cellStyle name="40% - Accent1 5 2 3 2 2" xfId="8512"/>
    <cellStyle name="40% - Accent1 5 2 3 2 2 2" xfId="16483"/>
    <cellStyle name="40% - Accent1 5 2 3 2 2 3" xfId="24429"/>
    <cellStyle name="40% - Accent1 5 2 3 2 3" xfId="12945"/>
    <cellStyle name="40% - Accent1 5 2 3 2 4" xfId="20900"/>
    <cellStyle name="40% - Accent1 5 2 3 3" xfId="6753"/>
    <cellStyle name="40% - Accent1 5 2 3 3 2" xfId="14725"/>
    <cellStyle name="40% - Accent1 5 2 3 3 3" xfId="22672"/>
    <cellStyle name="40% - Accent1 5 2 3 4" xfId="11189"/>
    <cellStyle name="40% - Accent1 5 2 3 5" xfId="19144"/>
    <cellStyle name="40% - Accent1 5 2 3_Exh G" xfId="2765"/>
    <cellStyle name="40% - Accent1 5 2 4" xfId="4042"/>
    <cellStyle name="40% - Accent1 5 2 4 2" xfId="7634"/>
    <cellStyle name="40% - Accent1 5 2 4 2 2" xfId="15605"/>
    <cellStyle name="40% - Accent1 5 2 4 2 3" xfId="23551"/>
    <cellStyle name="40% - Accent1 5 2 4 3" xfId="12067"/>
    <cellStyle name="40% - Accent1 5 2 4 4" xfId="20022"/>
    <cellStyle name="40% - Accent1 5 2 5" xfId="5862"/>
    <cellStyle name="40% - Accent1 5 2 5 2" xfId="13846"/>
    <cellStyle name="40% - Accent1 5 2 5 3" xfId="21794"/>
    <cellStyle name="40% - Accent1 5 2 6" xfId="9415"/>
    <cellStyle name="40% - Accent1 5 2 6 2" xfId="17373"/>
    <cellStyle name="40% - Accent1 5 2 6 3" xfId="25317"/>
    <cellStyle name="40% - Accent1 5 2 7" xfId="10311"/>
    <cellStyle name="40% - Accent1 5 2 8" xfId="18266"/>
    <cellStyle name="40% - Accent1 5 2_Exh G" xfId="2762"/>
    <cellStyle name="40% - Accent1 5 3" xfId="365"/>
    <cellStyle name="40% - Accent1 5 3 2" xfId="1393"/>
    <cellStyle name="40% - Accent1 5 3 2 2" xfId="4923"/>
    <cellStyle name="40% - Accent1 5 3 2 2 2" xfId="8514"/>
    <cellStyle name="40% - Accent1 5 3 2 2 2 2" xfId="16485"/>
    <cellStyle name="40% - Accent1 5 3 2 2 2 3" xfId="24431"/>
    <cellStyle name="40% - Accent1 5 3 2 2 3" xfId="12947"/>
    <cellStyle name="40% - Accent1 5 3 2 2 4" xfId="20902"/>
    <cellStyle name="40% - Accent1 5 3 2 3" xfId="6755"/>
    <cellStyle name="40% - Accent1 5 3 2 3 2" xfId="14727"/>
    <cellStyle name="40% - Accent1 5 3 2 3 3" xfId="22674"/>
    <cellStyle name="40% - Accent1 5 3 2 4" xfId="11191"/>
    <cellStyle name="40% - Accent1 5 3 2 5" xfId="19146"/>
    <cellStyle name="40% - Accent1 5 3 2_Exh G" xfId="2767"/>
    <cellStyle name="40% - Accent1 5 3 3" xfId="4044"/>
    <cellStyle name="40% - Accent1 5 3 3 2" xfId="7636"/>
    <cellStyle name="40% - Accent1 5 3 3 2 2" xfId="15607"/>
    <cellStyle name="40% - Accent1 5 3 3 2 3" xfId="23553"/>
    <cellStyle name="40% - Accent1 5 3 3 3" xfId="12069"/>
    <cellStyle name="40% - Accent1 5 3 3 4" xfId="20024"/>
    <cellStyle name="40% - Accent1 5 3 4" xfId="5864"/>
    <cellStyle name="40% - Accent1 5 3 4 2" xfId="13848"/>
    <cellStyle name="40% - Accent1 5 3 4 3" xfId="21796"/>
    <cellStyle name="40% - Accent1 5 3 5" xfId="9417"/>
    <cellStyle name="40% - Accent1 5 3 5 2" xfId="17375"/>
    <cellStyle name="40% - Accent1 5 3 5 3" xfId="25319"/>
    <cellStyle name="40% - Accent1 5 3 6" xfId="10313"/>
    <cellStyle name="40% - Accent1 5 3 7" xfId="18268"/>
    <cellStyle name="40% - Accent1 5 3_Exh G" xfId="2766"/>
    <cellStyle name="40% - Accent1 5 4" xfId="941"/>
    <cellStyle name="40% - Accent1 5 5" xfId="1390"/>
    <cellStyle name="40% - Accent1 5 5 2" xfId="4920"/>
    <cellStyle name="40% - Accent1 5 5 2 2" xfId="8511"/>
    <cellStyle name="40% - Accent1 5 5 2 2 2" xfId="16482"/>
    <cellStyle name="40% - Accent1 5 5 2 2 3" xfId="24428"/>
    <cellStyle name="40% - Accent1 5 5 2 3" xfId="12944"/>
    <cellStyle name="40% - Accent1 5 5 2 4" xfId="20899"/>
    <cellStyle name="40% - Accent1 5 5 3" xfId="6752"/>
    <cellStyle name="40% - Accent1 5 5 3 2" xfId="14724"/>
    <cellStyle name="40% - Accent1 5 5 3 3" xfId="22671"/>
    <cellStyle name="40% - Accent1 5 5 4" xfId="11188"/>
    <cellStyle name="40% - Accent1 5 5 5" xfId="19143"/>
    <cellStyle name="40% - Accent1 5 5_Exh G" xfId="2768"/>
    <cellStyle name="40% - Accent1 5 6" xfId="4041"/>
    <cellStyle name="40% - Accent1 5 6 2" xfId="7633"/>
    <cellStyle name="40% - Accent1 5 6 2 2" xfId="15604"/>
    <cellStyle name="40% - Accent1 5 6 2 3" xfId="23550"/>
    <cellStyle name="40% - Accent1 5 6 3" xfId="12066"/>
    <cellStyle name="40% - Accent1 5 6 4" xfId="20021"/>
    <cellStyle name="40% - Accent1 5 7" xfId="5861"/>
    <cellStyle name="40% - Accent1 5 7 2" xfId="13845"/>
    <cellStyle name="40% - Accent1 5 7 3" xfId="21793"/>
    <cellStyle name="40% - Accent1 5 8" xfId="9414"/>
    <cellStyle name="40% - Accent1 5 8 2" xfId="17372"/>
    <cellStyle name="40% - Accent1 5 8 3" xfId="25316"/>
    <cellStyle name="40% - Accent1 5 9" xfId="10310"/>
    <cellStyle name="40% - Accent1 5_Exh G" xfId="2761"/>
    <cellStyle name="40% - Accent1 6" xfId="366"/>
    <cellStyle name="40% - Accent1 6 10" xfId="18269"/>
    <cellStyle name="40% - Accent1 6 2" xfId="367"/>
    <cellStyle name="40% - Accent1 6 2 2" xfId="368"/>
    <cellStyle name="40% - Accent1 6 2 2 2" xfId="1396"/>
    <cellStyle name="40% - Accent1 6 2 2 2 2" xfId="4926"/>
    <cellStyle name="40% - Accent1 6 2 2 2 2 2" xfId="8517"/>
    <cellStyle name="40% - Accent1 6 2 2 2 2 2 2" xfId="16488"/>
    <cellStyle name="40% - Accent1 6 2 2 2 2 2 3" xfId="24434"/>
    <cellStyle name="40% - Accent1 6 2 2 2 2 3" xfId="12950"/>
    <cellStyle name="40% - Accent1 6 2 2 2 2 4" xfId="20905"/>
    <cellStyle name="40% - Accent1 6 2 2 2 3" xfId="6758"/>
    <cellStyle name="40% - Accent1 6 2 2 2 3 2" xfId="14730"/>
    <cellStyle name="40% - Accent1 6 2 2 2 3 3" xfId="22677"/>
    <cellStyle name="40% - Accent1 6 2 2 2 4" xfId="11194"/>
    <cellStyle name="40% - Accent1 6 2 2 2 5" xfId="19149"/>
    <cellStyle name="40% - Accent1 6 2 2 2_Exh G" xfId="2772"/>
    <cellStyle name="40% - Accent1 6 2 2 3" xfId="4047"/>
    <cellStyle name="40% - Accent1 6 2 2 3 2" xfId="7639"/>
    <cellStyle name="40% - Accent1 6 2 2 3 2 2" xfId="15610"/>
    <cellStyle name="40% - Accent1 6 2 2 3 2 3" xfId="23556"/>
    <cellStyle name="40% - Accent1 6 2 2 3 3" xfId="12072"/>
    <cellStyle name="40% - Accent1 6 2 2 3 4" xfId="20027"/>
    <cellStyle name="40% - Accent1 6 2 2 4" xfId="5867"/>
    <cellStyle name="40% - Accent1 6 2 2 4 2" xfId="13851"/>
    <cellStyle name="40% - Accent1 6 2 2 4 3" xfId="21799"/>
    <cellStyle name="40% - Accent1 6 2 2 5" xfId="9420"/>
    <cellStyle name="40% - Accent1 6 2 2 5 2" xfId="17378"/>
    <cellStyle name="40% - Accent1 6 2 2 5 3" xfId="25322"/>
    <cellStyle name="40% - Accent1 6 2 2 6" xfId="10316"/>
    <cellStyle name="40% - Accent1 6 2 2 7" xfId="18271"/>
    <cellStyle name="40% - Accent1 6 2 2_Exh G" xfId="2771"/>
    <cellStyle name="40% - Accent1 6 2 3" xfId="1395"/>
    <cellStyle name="40% - Accent1 6 2 3 2" xfId="4925"/>
    <cellStyle name="40% - Accent1 6 2 3 2 2" xfId="8516"/>
    <cellStyle name="40% - Accent1 6 2 3 2 2 2" xfId="16487"/>
    <cellStyle name="40% - Accent1 6 2 3 2 2 3" xfId="24433"/>
    <cellStyle name="40% - Accent1 6 2 3 2 3" xfId="12949"/>
    <cellStyle name="40% - Accent1 6 2 3 2 4" xfId="20904"/>
    <cellStyle name="40% - Accent1 6 2 3 3" xfId="6757"/>
    <cellStyle name="40% - Accent1 6 2 3 3 2" xfId="14729"/>
    <cellStyle name="40% - Accent1 6 2 3 3 3" xfId="22676"/>
    <cellStyle name="40% - Accent1 6 2 3 4" xfId="11193"/>
    <cellStyle name="40% - Accent1 6 2 3 5" xfId="19148"/>
    <cellStyle name="40% - Accent1 6 2 3_Exh G" xfId="2773"/>
    <cellStyle name="40% - Accent1 6 2 4" xfId="4046"/>
    <cellStyle name="40% - Accent1 6 2 4 2" xfId="7638"/>
    <cellStyle name="40% - Accent1 6 2 4 2 2" xfId="15609"/>
    <cellStyle name="40% - Accent1 6 2 4 2 3" xfId="23555"/>
    <cellStyle name="40% - Accent1 6 2 4 3" xfId="12071"/>
    <cellStyle name="40% - Accent1 6 2 4 4" xfId="20026"/>
    <cellStyle name="40% - Accent1 6 2 5" xfId="5866"/>
    <cellStyle name="40% - Accent1 6 2 5 2" xfId="13850"/>
    <cellStyle name="40% - Accent1 6 2 5 3" xfId="21798"/>
    <cellStyle name="40% - Accent1 6 2 6" xfId="9419"/>
    <cellStyle name="40% - Accent1 6 2 6 2" xfId="17377"/>
    <cellStyle name="40% - Accent1 6 2 6 3" xfId="25321"/>
    <cellStyle name="40% - Accent1 6 2 7" xfId="10315"/>
    <cellStyle name="40% - Accent1 6 2 8" xfId="18270"/>
    <cellStyle name="40% - Accent1 6 2_Exh G" xfId="2770"/>
    <cellStyle name="40% - Accent1 6 3" xfId="369"/>
    <cellStyle name="40% - Accent1 6 3 2" xfId="1397"/>
    <cellStyle name="40% - Accent1 6 3 2 2" xfId="4927"/>
    <cellStyle name="40% - Accent1 6 3 2 2 2" xfId="8518"/>
    <cellStyle name="40% - Accent1 6 3 2 2 2 2" xfId="16489"/>
    <cellStyle name="40% - Accent1 6 3 2 2 2 3" xfId="24435"/>
    <cellStyle name="40% - Accent1 6 3 2 2 3" xfId="12951"/>
    <cellStyle name="40% - Accent1 6 3 2 2 4" xfId="20906"/>
    <cellStyle name="40% - Accent1 6 3 2 3" xfId="6759"/>
    <cellStyle name="40% - Accent1 6 3 2 3 2" xfId="14731"/>
    <cellStyle name="40% - Accent1 6 3 2 3 3" xfId="22678"/>
    <cellStyle name="40% - Accent1 6 3 2 4" xfId="11195"/>
    <cellStyle name="40% - Accent1 6 3 2 5" xfId="19150"/>
    <cellStyle name="40% - Accent1 6 3 2_Exh G" xfId="2775"/>
    <cellStyle name="40% - Accent1 6 3 3" xfId="4048"/>
    <cellStyle name="40% - Accent1 6 3 3 2" xfId="7640"/>
    <cellStyle name="40% - Accent1 6 3 3 2 2" xfId="15611"/>
    <cellStyle name="40% - Accent1 6 3 3 2 3" xfId="23557"/>
    <cellStyle name="40% - Accent1 6 3 3 3" xfId="12073"/>
    <cellStyle name="40% - Accent1 6 3 3 4" xfId="20028"/>
    <cellStyle name="40% - Accent1 6 3 4" xfId="5868"/>
    <cellStyle name="40% - Accent1 6 3 4 2" xfId="13852"/>
    <cellStyle name="40% - Accent1 6 3 4 3" xfId="21800"/>
    <cellStyle name="40% - Accent1 6 3 5" xfId="9421"/>
    <cellStyle name="40% - Accent1 6 3 5 2" xfId="17379"/>
    <cellStyle name="40% - Accent1 6 3 5 3" xfId="25323"/>
    <cellStyle name="40% - Accent1 6 3 6" xfId="10317"/>
    <cellStyle name="40% - Accent1 6 3 7" xfId="18272"/>
    <cellStyle name="40% - Accent1 6 3_Exh G" xfId="2774"/>
    <cellStyle name="40% - Accent1 6 4" xfId="942"/>
    <cellStyle name="40% - Accent1 6 4 2" xfId="1865"/>
    <cellStyle name="40% - Accent1 6 4 2 2" xfId="5383"/>
    <cellStyle name="40% - Accent1 6 4 2 2 2" xfId="8974"/>
    <cellStyle name="40% - Accent1 6 4 2 2 2 2" xfId="16945"/>
    <cellStyle name="40% - Accent1 6 4 2 2 2 3" xfId="24891"/>
    <cellStyle name="40% - Accent1 6 4 2 2 3" xfId="13407"/>
    <cellStyle name="40% - Accent1 6 4 2 2 4" xfId="21362"/>
    <cellStyle name="40% - Accent1 6 4 2 3" xfId="7215"/>
    <cellStyle name="40% - Accent1 6 4 2 3 2" xfId="15187"/>
    <cellStyle name="40% - Accent1 6 4 2 3 3" xfId="23134"/>
    <cellStyle name="40% - Accent1 6 4 2 4" xfId="11651"/>
    <cellStyle name="40% - Accent1 6 4 2 5" xfId="19606"/>
    <cellStyle name="40% - Accent1 6 4 2_Exh G" xfId="2777"/>
    <cellStyle name="40% - Accent1 6 4 3" xfId="4504"/>
    <cellStyle name="40% - Accent1 6 4 3 2" xfId="8096"/>
    <cellStyle name="40% - Accent1 6 4 3 2 2" xfId="16067"/>
    <cellStyle name="40% - Accent1 6 4 3 2 3" xfId="24013"/>
    <cellStyle name="40% - Accent1 6 4 3 3" xfId="12529"/>
    <cellStyle name="40% - Accent1 6 4 3 4" xfId="20484"/>
    <cellStyle name="40% - Accent1 6 4 4" xfId="6334"/>
    <cellStyle name="40% - Accent1 6 4 4 2" xfId="14309"/>
    <cellStyle name="40% - Accent1 6 4 4 3" xfId="22256"/>
    <cellStyle name="40% - Accent1 6 4 5" xfId="9877"/>
    <cellStyle name="40% - Accent1 6 4 5 2" xfId="17835"/>
    <cellStyle name="40% - Accent1 6 4 5 3" xfId="25779"/>
    <cellStyle name="40% - Accent1 6 4 6" xfId="10773"/>
    <cellStyle name="40% - Accent1 6 4 7" xfId="18728"/>
    <cellStyle name="40% - Accent1 6 4_Exh G" xfId="2776"/>
    <cellStyle name="40% - Accent1 6 5" xfId="1394"/>
    <cellStyle name="40% - Accent1 6 5 2" xfId="4924"/>
    <cellStyle name="40% - Accent1 6 5 2 2" xfId="8515"/>
    <cellStyle name="40% - Accent1 6 5 2 2 2" xfId="16486"/>
    <cellStyle name="40% - Accent1 6 5 2 2 3" xfId="24432"/>
    <cellStyle name="40% - Accent1 6 5 2 3" xfId="12948"/>
    <cellStyle name="40% - Accent1 6 5 2 4" xfId="20903"/>
    <cellStyle name="40% - Accent1 6 5 3" xfId="6756"/>
    <cellStyle name="40% - Accent1 6 5 3 2" xfId="14728"/>
    <cellStyle name="40% - Accent1 6 5 3 3" xfId="22675"/>
    <cellStyle name="40% - Accent1 6 5 4" xfId="11192"/>
    <cellStyle name="40% - Accent1 6 5 5" xfId="19147"/>
    <cellStyle name="40% - Accent1 6 5_Exh G" xfId="2778"/>
    <cellStyle name="40% - Accent1 6 6" xfId="4045"/>
    <cellStyle name="40% - Accent1 6 6 2" xfId="7637"/>
    <cellStyle name="40% - Accent1 6 6 2 2" xfId="15608"/>
    <cellStyle name="40% - Accent1 6 6 2 3" xfId="23554"/>
    <cellStyle name="40% - Accent1 6 6 3" xfId="12070"/>
    <cellStyle name="40% - Accent1 6 6 4" xfId="20025"/>
    <cellStyle name="40% - Accent1 6 7" xfId="5865"/>
    <cellStyle name="40% - Accent1 6 7 2" xfId="13849"/>
    <cellStyle name="40% - Accent1 6 7 3" xfId="21797"/>
    <cellStyle name="40% - Accent1 6 8" xfId="9418"/>
    <cellStyle name="40% - Accent1 6 8 2" xfId="17376"/>
    <cellStyle name="40% - Accent1 6 8 3" xfId="25320"/>
    <cellStyle name="40% - Accent1 6 9" xfId="10314"/>
    <cellStyle name="40% - Accent1 6_Exh G" xfId="2769"/>
    <cellStyle name="40% - Accent1 7" xfId="370"/>
    <cellStyle name="40% - Accent1 7 10" xfId="18273"/>
    <cellStyle name="40% - Accent1 7 2" xfId="371"/>
    <cellStyle name="40% - Accent1 7 2 2" xfId="372"/>
    <cellStyle name="40% - Accent1 7 2 2 2" xfId="1400"/>
    <cellStyle name="40% - Accent1 7 2 2 2 2" xfId="4930"/>
    <cellStyle name="40% - Accent1 7 2 2 2 2 2" xfId="8521"/>
    <cellStyle name="40% - Accent1 7 2 2 2 2 2 2" xfId="16492"/>
    <cellStyle name="40% - Accent1 7 2 2 2 2 2 3" xfId="24438"/>
    <cellStyle name="40% - Accent1 7 2 2 2 2 3" xfId="12954"/>
    <cellStyle name="40% - Accent1 7 2 2 2 2 4" xfId="20909"/>
    <cellStyle name="40% - Accent1 7 2 2 2 3" xfId="6762"/>
    <cellStyle name="40% - Accent1 7 2 2 2 3 2" xfId="14734"/>
    <cellStyle name="40% - Accent1 7 2 2 2 3 3" xfId="22681"/>
    <cellStyle name="40% - Accent1 7 2 2 2 4" xfId="11198"/>
    <cellStyle name="40% - Accent1 7 2 2 2 5" xfId="19153"/>
    <cellStyle name="40% - Accent1 7 2 2 2_Exh G" xfId="2782"/>
    <cellStyle name="40% - Accent1 7 2 2 3" xfId="4051"/>
    <cellStyle name="40% - Accent1 7 2 2 3 2" xfId="7643"/>
    <cellStyle name="40% - Accent1 7 2 2 3 2 2" xfId="15614"/>
    <cellStyle name="40% - Accent1 7 2 2 3 2 3" xfId="23560"/>
    <cellStyle name="40% - Accent1 7 2 2 3 3" xfId="12076"/>
    <cellStyle name="40% - Accent1 7 2 2 3 4" xfId="20031"/>
    <cellStyle name="40% - Accent1 7 2 2 4" xfId="5871"/>
    <cellStyle name="40% - Accent1 7 2 2 4 2" xfId="13855"/>
    <cellStyle name="40% - Accent1 7 2 2 4 3" xfId="21803"/>
    <cellStyle name="40% - Accent1 7 2 2 5" xfId="9424"/>
    <cellStyle name="40% - Accent1 7 2 2 5 2" xfId="17382"/>
    <cellStyle name="40% - Accent1 7 2 2 5 3" xfId="25326"/>
    <cellStyle name="40% - Accent1 7 2 2 6" xfId="10320"/>
    <cellStyle name="40% - Accent1 7 2 2 7" xfId="18275"/>
    <cellStyle name="40% - Accent1 7 2 2_Exh G" xfId="2781"/>
    <cellStyle name="40% - Accent1 7 2 3" xfId="1399"/>
    <cellStyle name="40% - Accent1 7 2 3 2" xfId="4929"/>
    <cellStyle name="40% - Accent1 7 2 3 2 2" xfId="8520"/>
    <cellStyle name="40% - Accent1 7 2 3 2 2 2" xfId="16491"/>
    <cellStyle name="40% - Accent1 7 2 3 2 2 3" xfId="24437"/>
    <cellStyle name="40% - Accent1 7 2 3 2 3" xfId="12953"/>
    <cellStyle name="40% - Accent1 7 2 3 2 4" xfId="20908"/>
    <cellStyle name="40% - Accent1 7 2 3 3" xfId="6761"/>
    <cellStyle name="40% - Accent1 7 2 3 3 2" xfId="14733"/>
    <cellStyle name="40% - Accent1 7 2 3 3 3" xfId="22680"/>
    <cellStyle name="40% - Accent1 7 2 3 4" xfId="11197"/>
    <cellStyle name="40% - Accent1 7 2 3 5" xfId="19152"/>
    <cellStyle name="40% - Accent1 7 2 3_Exh G" xfId="2783"/>
    <cellStyle name="40% - Accent1 7 2 4" xfId="4050"/>
    <cellStyle name="40% - Accent1 7 2 4 2" xfId="7642"/>
    <cellStyle name="40% - Accent1 7 2 4 2 2" xfId="15613"/>
    <cellStyle name="40% - Accent1 7 2 4 2 3" xfId="23559"/>
    <cellStyle name="40% - Accent1 7 2 4 3" xfId="12075"/>
    <cellStyle name="40% - Accent1 7 2 4 4" xfId="20030"/>
    <cellStyle name="40% - Accent1 7 2 5" xfId="5870"/>
    <cellStyle name="40% - Accent1 7 2 5 2" xfId="13854"/>
    <cellStyle name="40% - Accent1 7 2 5 3" xfId="21802"/>
    <cellStyle name="40% - Accent1 7 2 6" xfId="9423"/>
    <cellStyle name="40% - Accent1 7 2 6 2" xfId="17381"/>
    <cellStyle name="40% - Accent1 7 2 6 3" xfId="25325"/>
    <cellStyle name="40% - Accent1 7 2 7" xfId="10319"/>
    <cellStyle name="40% - Accent1 7 2 8" xfId="18274"/>
    <cellStyle name="40% - Accent1 7 2_Exh G" xfId="2780"/>
    <cellStyle name="40% - Accent1 7 3" xfId="373"/>
    <cellStyle name="40% - Accent1 7 3 2" xfId="1401"/>
    <cellStyle name="40% - Accent1 7 3 2 2" xfId="4931"/>
    <cellStyle name="40% - Accent1 7 3 2 2 2" xfId="8522"/>
    <cellStyle name="40% - Accent1 7 3 2 2 2 2" xfId="16493"/>
    <cellStyle name="40% - Accent1 7 3 2 2 2 3" xfId="24439"/>
    <cellStyle name="40% - Accent1 7 3 2 2 3" xfId="12955"/>
    <cellStyle name="40% - Accent1 7 3 2 2 4" xfId="20910"/>
    <cellStyle name="40% - Accent1 7 3 2 3" xfId="6763"/>
    <cellStyle name="40% - Accent1 7 3 2 3 2" xfId="14735"/>
    <cellStyle name="40% - Accent1 7 3 2 3 3" xfId="22682"/>
    <cellStyle name="40% - Accent1 7 3 2 4" xfId="11199"/>
    <cellStyle name="40% - Accent1 7 3 2 5" xfId="19154"/>
    <cellStyle name="40% - Accent1 7 3 2_Exh G" xfId="2785"/>
    <cellStyle name="40% - Accent1 7 3 3" xfId="4052"/>
    <cellStyle name="40% - Accent1 7 3 3 2" xfId="7644"/>
    <cellStyle name="40% - Accent1 7 3 3 2 2" xfId="15615"/>
    <cellStyle name="40% - Accent1 7 3 3 2 3" xfId="23561"/>
    <cellStyle name="40% - Accent1 7 3 3 3" xfId="12077"/>
    <cellStyle name="40% - Accent1 7 3 3 4" xfId="20032"/>
    <cellStyle name="40% - Accent1 7 3 4" xfId="5872"/>
    <cellStyle name="40% - Accent1 7 3 4 2" xfId="13856"/>
    <cellStyle name="40% - Accent1 7 3 4 3" xfId="21804"/>
    <cellStyle name="40% - Accent1 7 3 5" xfId="9425"/>
    <cellStyle name="40% - Accent1 7 3 5 2" xfId="17383"/>
    <cellStyle name="40% - Accent1 7 3 5 3" xfId="25327"/>
    <cellStyle name="40% - Accent1 7 3 6" xfId="10321"/>
    <cellStyle name="40% - Accent1 7 3 7" xfId="18276"/>
    <cellStyle name="40% - Accent1 7 3_Exh G" xfId="2784"/>
    <cellStyle name="40% - Accent1 7 4" xfId="943"/>
    <cellStyle name="40% - Accent1 7 4 2" xfId="1866"/>
    <cellStyle name="40% - Accent1 7 4 2 2" xfId="5384"/>
    <cellStyle name="40% - Accent1 7 4 2 2 2" xfId="8975"/>
    <cellStyle name="40% - Accent1 7 4 2 2 2 2" xfId="16946"/>
    <cellStyle name="40% - Accent1 7 4 2 2 2 3" xfId="24892"/>
    <cellStyle name="40% - Accent1 7 4 2 2 3" xfId="13408"/>
    <cellStyle name="40% - Accent1 7 4 2 2 4" xfId="21363"/>
    <cellStyle name="40% - Accent1 7 4 2 3" xfId="7216"/>
    <cellStyle name="40% - Accent1 7 4 2 3 2" xfId="15188"/>
    <cellStyle name="40% - Accent1 7 4 2 3 3" xfId="23135"/>
    <cellStyle name="40% - Accent1 7 4 2 4" xfId="11652"/>
    <cellStyle name="40% - Accent1 7 4 2 5" xfId="19607"/>
    <cellStyle name="40% - Accent1 7 4 2_Exh G" xfId="2787"/>
    <cellStyle name="40% - Accent1 7 4 3" xfId="4505"/>
    <cellStyle name="40% - Accent1 7 4 3 2" xfId="8097"/>
    <cellStyle name="40% - Accent1 7 4 3 2 2" xfId="16068"/>
    <cellStyle name="40% - Accent1 7 4 3 2 3" xfId="24014"/>
    <cellStyle name="40% - Accent1 7 4 3 3" xfId="12530"/>
    <cellStyle name="40% - Accent1 7 4 3 4" xfId="20485"/>
    <cellStyle name="40% - Accent1 7 4 4" xfId="6335"/>
    <cellStyle name="40% - Accent1 7 4 4 2" xfId="14310"/>
    <cellStyle name="40% - Accent1 7 4 4 3" xfId="22257"/>
    <cellStyle name="40% - Accent1 7 4 5" xfId="9878"/>
    <cellStyle name="40% - Accent1 7 4 5 2" xfId="17836"/>
    <cellStyle name="40% - Accent1 7 4 5 3" xfId="25780"/>
    <cellStyle name="40% - Accent1 7 4 6" xfId="10774"/>
    <cellStyle name="40% - Accent1 7 4 7" xfId="18729"/>
    <cellStyle name="40% - Accent1 7 4_Exh G" xfId="2786"/>
    <cellStyle name="40% - Accent1 7 5" xfId="1398"/>
    <cellStyle name="40% - Accent1 7 5 2" xfId="4928"/>
    <cellStyle name="40% - Accent1 7 5 2 2" xfId="8519"/>
    <cellStyle name="40% - Accent1 7 5 2 2 2" xfId="16490"/>
    <cellStyle name="40% - Accent1 7 5 2 2 3" xfId="24436"/>
    <cellStyle name="40% - Accent1 7 5 2 3" xfId="12952"/>
    <cellStyle name="40% - Accent1 7 5 2 4" xfId="20907"/>
    <cellStyle name="40% - Accent1 7 5 3" xfId="6760"/>
    <cellStyle name="40% - Accent1 7 5 3 2" xfId="14732"/>
    <cellStyle name="40% - Accent1 7 5 3 3" xfId="22679"/>
    <cellStyle name="40% - Accent1 7 5 4" xfId="11196"/>
    <cellStyle name="40% - Accent1 7 5 5" xfId="19151"/>
    <cellStyle name="40% - Accent1 7 5_Exh G" xfId="2788"/>
    <cellStyle name="40% - Accent1 7 6" xfId="4049"/>
    <cellStyle name="40% - Accent1 7 6 2" xfId="7641"/>
    <cellStyle name="40% - Accent1 7 6 2 2" xfId="15612"/>
    <cellStyle name="40% - Accent1 7 6 2 3" xfId="23558"/>
    <cellStyle name="40% - Accent1 7 6 3" xfId="12074"/>
    <cellStyle name="40% - Accent1 7 6 4" xfId="20029"/>
    <cellStyle name="40% - Accent1 7 7" xfId="5869"/>
    <cellStyle name="40% - Accent1 7 7 2" xfId="13853"/>
    <cellStyle name="40% - Accent1 7 7 3" xfId="21801"/>
    <cellStyle name="40% - Accent1 7 8" xfId="9422"/>
    <cellStyle name="40% - Accent1 7 8 2" xfId="17380"/>
    <cellStyle name="40% - Accent1 7 8 3" xfId="25324"/>
    <cellStyle name="40% - Accent1 7 9" xfId="10318"/>
    <cellStyle name="40% - Accent1 7_Exh G" xfId="2779"/>
    <cellStyle name="40% - Accent1 8" xfId="374"/>
    <cellStyle name="40% - Accent1 8 10" xfId="18277"/>
    <cellStyle name="40% - Accent1 8 2" xfId="375"/>
    <cellStyle name="40% - Accent1 8 2 2" xfId="376"/>
    <cellStyle name="40% - Accent1 8 2 2 2" xfId="1404"/>
    <cellStyle name="40% - Accent1 8 2 2 2 2" xfId="4934"/>
    <cellStyle name="40% - Accent1 8 2 2 2 2 2" xfId="8525"/>
    <cellStyle name="40% - Accent1 8 2 2 2 2 2 2" xfId="16496"/>
    <cellStyle name="40% - Accent1 8 2 2 2 2 2 3" xfId="24442"/>
    <cellStyle name="40% - Accent1 8 2 2 2 2 3" xfId="12958"/>
    <cellStyle name="40% - Accent1 8 2 2 2 2 4" xfId="20913"/>
    <cellStyle name="40% - Accent1 8 2 2 2 3" xfId="6766"/>
    <cellStyle name="40% - Accent1 8 2 2 2 3 2" xfId="14738"/>
    <cellStyle name="40% - Accent1 8 2 2 2 3 3" xfId="22685"/>
    <cellStyle name="40% - Accent1 8 2 2 2 4" xfId="11202"/>
    <cellStyle name="40% - Accent1 8 2 2 2 5" xfId="19157"/>
    <cellStyle name="40% - Accent1 8 2 2 2_Exh G" xfId="2792"/>
    <cellStyle name="40% - Accent1 8 2 2 3" xfId="4055"/>
    <cellStyle name="40% - Accent1 8 2 2 3 2" xfId="7647"/>
    <cellStyle name="40% - Accent1 8 2 2 3 2 2" xfId="15618"/>
    <cellStyle name="40% - Accent1 8 2 2 3 2 3" xfId="23564"/>
    <cellStyle name="40% - Accent1 8 2 2 3 3" xfId="12080"/>
    <cellStyle name="40% - Accent1 8 2 2 3 4" xfId="20035"/>
    <cellStyle name="40% - Accent1 8 2 2 4" xfId="5875"/>
    <cellStyle name="40% - Accent1 8 2 2 4 2" xfId="13859"/>
    <cellStyle name="40% - Accent1 8 2 2 4 3" xfId="21807"/>
    <cellStyle name="40% - Accent1 8 2 2 5" xfId="9428"/>
    <cellStyle name="40% - Accent1 8 2 2 5 2" xfId="17386"/>
    <cellStyle name="40% - Accent1 8 2 2 5 3" xfId="25330"/>
    <cellStyle name="40% - Accent1 8 2 2 6" xfId="10324"/>
    <cellStyle name="40% - Accent1 8 2 2 7" xfId="18279"/>
    <cellStyle name="40% - Accent1 8 2 2_Exh G" xfId="2791"/>
    <cellStyle name="40% - Accent1 8 2 3" xfId="1403"/>
    <cellStyle name="40% - Accent1 8 2 3 2" xfId="4933"/>
    <cellStyle name="40% - Accent1 8 2 3 2 2" xfId="8524"/>
    <cellStyle name="40% - Accent1 8 2 3 2 2 2" xfId="16495"/>
    <cellStyle name="40% - Accent1 8 2 3 2 2 3" xfId="24441"/>
    <cellStyle name="40% - Accent1 8 2 3 2 3" xfId="12957"/>
    <cellStyle name="40% - Accent1 8 2 3 2 4" xfId="20912"/>
    <cellStyle name="40% - Accent1 8 2 3 3" xfId="6765"/>
    <cellStyle name="40% - Accent1 8 2 3 3 2" xfId="14737"/>
    <cellStyle name="40% - Accent1 8 2 3 3 3" xfId="22684"/>
    <cellStyle name="40% - Accent1 8 2 3 4" xfId="11201"/>
    <cellStyle name="40% - Accent1 8 2 3 5" xfId="19156"/>
    <cellStyle name="40% - Accent1 8 2 3_Exh G" xfId="2793"/>
    <cellStyle name="40% - Accent1 8 2 4" xfId="4054"/>
    <cellStyle name="40% - Accent1 8 2 4 2" xfId="7646"/>
    <cellStyle name="40% - Accent1 8 2 4 2 2" xfId="15617"/>
    <cellStyle name="40% - Accent1 8 2 4 2 3" xfId="23563"/>
    <cellStyle name="40% - Accent1 8 2 4 3" xfId="12079"/>
    <cellStyle name="40% - Accent1 8 2 4 4" xfId="20034"/>
    <cellStyle name="40% - Accent1 8 2 5" xfId="5874"/>
    <cellStyle name="40% - Accent1 8 2 5 2" xfId="13858"/>
    <cellStyle name="40% - Accent1 8 2 5 3" xfId="21806"/>
    <cellStyle name="40% - Accent1 8 2 6" xfId="9427"/>
    <cellStyle name="40% - Accent1 8 2 6 2" xfId="17385"/>
    <cellStyle name="40% - Accent1 8 2 6 3" xfId="25329"/>
    <cellStyle name="40% - Accent1 8 2 7" xfId="10323"/>
    <cellStyle name="40% - Accent1 8 2 8" xfId="18278"/>
    <cellStyle name="40% - Accent1 8 2_Exh G" xfId="2790"/>
    <cellStyle name="40% - Accent1 8 3" xfId="377"/>
    <cellStyle name="40% - Accent1 8 3 2" xfId="1405"/>
    <cellStyle name="40% - Accent1 8 3 2 2" xfId="4935"/>
    <cellStyle name="40% - Accent1 8 3 2 2 2" xfId="8526"/>
    <cellStyle name="40% - Accent1 8 3 2 2 2 2" xfId="16497"/>
    <cellStyle name="40% - Accent1 8 3 2 2 2 3" xfId="24443"/>
    <cellStyle name="40% - Accent1 8 3 2 2 3" xfId="12959"/>
    <cellStyle name="40% - Accent1 8 3 2 2 4" xfId="20914"/>
    <cellStyle name="40% - Accent1 8 3 2 3" xfId="6767"/>
    <cellStyle name="40% - Accent1 8 3 2 3 2" xfId="14739"/>
    <cellStyle name="40% - Accent1 8 3 2 3 3" xfId="22686"/>
    <cellStyle name="40% - Accent1 8 3 2 4" xfId="11203"/>
    <cellStyle name="40% - Accent1 8 3 2 5" xfId="19158"/>
    <cellStyle name="40% - Accent1 8 3 2_Exh G" xfId="2795"/>
    <cellStyle name="40% - Accent1 8 3 3" xfId="4056"/>
    <cellStyle name="40% - Accent1 8 3 3 2" xfId="7648"/>
    <cellStyle name="40% - Accent1 8 3 3 2 2" xfId="15619"/>
    <cellStyle name="40% - Accent1 8 3 3 2 3" xfId="23565"/>
    <cellStyle name="40% - Accent1 8 3 3 3" xfId="12081"/>
    <cellStyle name="40% - Accent1 8 3 3 4" xfId="20036"/>
    <cellStyle name="40% - Accent1 8 3 4" xfId="5876"/>
    <cellStyle name="40% - Accent1 8 3 4 2" xfId="13860"/>
    <cellStyle name="40% - Accent1 8 3 4 3" xfId="21808"/>
    <cellStyle name="40% - Accent1 8 3 5" xfId="9429"/>
    <cellStyle name="40% - Accent1 8 3 5 2" xfId="17387"/>
    <cellStyle name="40% - Accent1 8 3 5 3" xfId="25331"/>
    <cellStyle name="40% - Accent1 8 3 6" xfId="10325"/>
    <cellStyle name="40% - Accent1 8 3 7" xfId="18280"/>
    <cellStyle name="40% - Accent1 8 3_Exh G" xfId="2794"/>
    <cellStyle name="40% - Accent1 8 4" xfId="944"/>
    <cellStyle name="40% - Accent1 8 4 2" xfId="1867"/>
    <cellStyle name="40% - Accent1 8 4 2 2" xfId="5385"/>
    <cellStyle name="40% - Accent1 8 4 2 2 2" xfId="8976"/>
    <cellStyle name="40% - Accent1 8 4 2 2 2 2" xfId="16947"/>
    <cellStyle name="40% - Accent1 8 4 2 2 2 3" xfId="24893"/>
    <cellStyle name="40% - Accent1 8 4 2 2 3" xfId="13409"/>
    <cellStyle name="40% - Accent1 8 4 2 2 4" xfId="21364"/>
    <cellStyle name="40% - Accent1 8 4 2 3" xfId="7217"/>
    <cellStyle name="40% - Accent1 8 4 2 3 2" xfId="15189"/>
    <cellStyle name="40% - Accent1 8 4 2 3 3" xfId="23136"/>
    <cellStyle name="40% - Accent1 8 4 2 4" xfId="11653"/>
    <cellStyle name="40% - Accent1 8 4 2 5" xfId="19608"/>
    <cellStyle name="40% - Accent1 8 4 2_Exh G" xfId="2797"/>
    <cellStyle name="40% - Accent1 8 4 3" xfId="4506"/>
    <cellStyle name="40% - Accent1 8 4 3 2" xfId="8098"/>
    <cellStyle name="40% - Accent1 8 4 3 2 2" xfId="16069"/>
    <cellStyle name="40% - Accent1 8 4 3 2 3" xfId="24015"/>
    <cellStyle name="40% - Accent1 8 4 3 3" xfId="12531"/>
    <cellStyle name="40% - Accent1 8 4 3 4" xfId="20486"/>
    <cellStyle name="40% - Accent1 8 4 4" xfId="6336"/>
    <cellStyle name="40% - Accent1 8 4 4 2" xfId="14311"/>
    <cellStyle name="40% - Accent1 8 4 4 3" xfId="22258"/>
    <cellStyle name="40% - Accent1 8 4 5" xfId="9879"/>
    <cellStyle name="40% - Accent1 8 4 5 2" xfId="17837"/>
    <cellStyle name="40% - Accent1 8 4 5 3" xfId="25781"/>
    <cellStyle name="40% - Accent1 8 4 6" xfId="10775"/>
    <cellStyle name="40% - Accent1 8 4 7" xfId="18730"/>
    <cellStyle name="40% - Accent1 8 4_Exh G" xfId="2796"/>
    <cellStyle name="40% - Accent1 8 5" xfId="1402"/>
    <cellStyle name="40% - Accent1 8 5 2" xfId="4932"/>
    <cellStyle name="40% - Accent1 8 5 2 2" xfId="8523"/>
    <cellStyle name="40% - Accent1 8 5 2 2 2" xfId="16494"/>
    <cellStyle name="40% - Accent1 8 5 2 2 3" xfId="24440"/>
    <cellStyle name="40% - Accent1 8 5 2 3" xfId="12956"/>
    <cellStyle name="40% - Accent1 8 5 2 4" xfId="20911"/>
    <cellStyle name="40% - Accent1 8 5 3" xfId="6764"/>
    <cellStyle name="40% - Accent1 8 5 3 2" xfId="14736"/>
    <cellStyle name="40% - Accent1 8 5 3 3" xfId="22683"/>
    <cellStyle name="40% - Accent1 8 5 4" xfId="11200"/>
    <cellStyle name="40% - Accent1 8 5 5" xfId="19155"/>
    <cellStyle name="40% - Accent1 8 5_Exh G" xfId="2798"/>
    <cellStyle name="40% - Accent1 8 6" xfId="4053"/>
    <cellStyle name="40% - Accent1 8 6 2" xfId="7645"/>
    <cellStyle name="40% - Accent1 8 6 2 2" xfId="15616"/>
    <cellStyle name="40% - Accent1 8 6 2 3" xfId="23562"/>
    <cellStyle name="40% - Accent1 8 6 3" xfId="12078"/>
    <cellStyle name="40% - Accent1 8 6 4" xfId="20033"/>
    <cellStyle name="40% - Accent1 8 7" xfId="5873"/>
    <cellStyle name="40% - Accent1 8 7 2" xfId="13857"/>
    <cellStyle name="40% - Accent1 8 7 3" xfId="21805"/>
    <cellStyle name="40% - Accent1 8 8" xfId="9426"/>
    <cellStyle name="40% - Accent1 8 8 2" xfId="17384"/>
    <cellStyle name="40% - Accent1 8 8 3" xfId="25328"/>
    <cellStyle name="40% - Accent1 8 9" xfId="10322"/>
    <cellStyle name="40% - Accent1 8_Exh G" xfId="2789"/>
    <cellStyle name="40% - Accent1 9" xfId="378"/>
    <cellStyle name="40% - Accent1 9 10" xfId="18281"/>
    <cellStyle name="40% - Accent1 9 2" xfId="379"/>
    <cellStyle name="40% - Accent1 9 2 2" xfId="380"/>
    <cellStyle name="40% - Accent1 9 2 2 2" xfId="1408"/>
    <cellStyle name="40% - Accent1 9 2 2 2 2" xfId="4938"/>
    <cellStyle name="40% - Accent1 9 2 2 2 2 2" xfId="8529"/>
    <cellStyle name="40% - Accent1 9 2 2 2 2 2 2" xfId="16500"/>
    <cellStyle name="40% - Accent1 9 2 2 2 2 2 3" xfId="24446"/>
    <cellStyle name="40% - Accent1 9 2 2 2 2 3" xfId="12962"/>
    <cellStyle name="40% - Accent1 9 2 2 2 2 4" xfId="20917"/>
    <cellStyle name="40% - Accent1 9 2 2 2 3" xfId="6770"/>
    <cellStyle name="40% - Accent1 9 2 2 2 3 2" xfId="14742"/>
    <cellStyle name="40% - Accent1 9 2 2 2 3 3" xfId="22689"/>
    <cellStyle name="40% - Accent1 9 2 2 2 4" xfId="11206"/>
    <cellStyle name="40% - Accent1 9 2 2 2 5" xfId="19161"/>
    <cellStyle name="40% - Accent1 9 2 2 2_Exh G" xfId="2802"/>
    <cellStyle name="40% - Accent1 9 2 2 3" xfId="4059"/>
    <cellStyle name="40% - Accent1 9 2 2 3 2" xfId="7651"/>
    <cellStyle name="40% - Accent1 9 2 2 3 2 2" xfId="15622"/>
    <cellStyle name="40% - Accent1 9 2 2 3 2 3" xfId="23568"/>
    <cellStyle name="40% - Accent1 9 2 2 3 3" xfId="12084"/>
    <cellStyle name="40% - Accent1 9 2 2 3 4" xfId="20039"/>
    <cellStyle name="40% - Accent1 9 2 2 4" xfId="5879"/>
    <cellStyle name="40% - Accent1 9 2 2 4 2" xfId="13863"/>
    <cellStyle name="40% - Accent1 9 2 2 4 3" xfId="21811"/>
    <cellStyle name="40% - Accent1 9 2 2 5" xfId="9432"/>
    <cellStyle name="40% - Accent1 9 2 2 5 2" xfId="17390"/>
    <cellStyle name="40% - Accent1 9 2 2 5 3" xfId="25334"/>
    <cellStyle name="40% - Accent1 9 2 2 6" xfId="10328"/>
    <cellStyle name="40% - Accent1 9 2 2 7" xfId="18283"/>
    <cellStyle name="40% - Accent1 9 2 2_Exh G" xfId="2801"/>
    <cellStyle name="40% - Accent1 9 2 3" xfId="1407"/>
    <cellStyle name="40% - Accent1 9 2 3 2" xfId="4937"/>
    <cellStyle name="40% - Accent1 9 2 3 2 2" xfId="8528"/>
    <cellStyle name="40% - Accent1 9 2 3 2 2 2" xfId="16499"/>
    <cellStyle name="40% - Accent1 9 2 3 2 2 3" xfId="24445"/>
    <cellStyle name="40% - Accent1 9 2 3 2 3" xfId="12961"/>
    <cellStyle name="40% - Accent1 9 2 3 2 4" xfId="20916"/>
    <cellStyle name="40% - Accent1 9 2 3 3" xfId="6769"/>
    <cellStyle name="40% - Accent1 9 2 3 3 2" xfId="14741"/>
    <cellStyle name="40% - Accent1 9 2 3 3 3" xfId="22688"/>
    <cellStyle name="40% - Accent1 9 2 3 4" xfId="11205"/>
    <cellStyle name="40% - Accent1 9 2 3 5" xfId="19160"/>
    <cellStyle name="40% - Accent1 9 2 3_Exh G" xfId="2803"/>
    <cellStyle name="40% - Accent1 9 2 4" xfId="4058"/>
    <cellStyle name="40% - Accent1 9 2 4 2" xfId="7650"/>
    <cellStyle name="40% - Accent1 9 2 4 2 2" xfId="15621"/>
    <cellStyle name="40% - Accent1 9 2 4 2 3" xfId="23567"/>
    <cellStyle name="40% - Accent1 9 2 4 3" xfId="12083"/>
    <cellStyle name="40% - Accent1 9 2 4 4" xfId="20038"/>
    <cellStyle name="40% - Accent1 9 2 5" xfId="5878"/>
    <cellStyle name="40% - Accent1 9 2 5 2" xfId="13862"/>
    <cellStyle name="40% - Accent1 9 2 5 3" xfId="21810"/>
    <cellStyle name="40% - Accent1 9 2 6" xfId="9431"/>
    <cellStyle name="40% - Accent1 9 2 6 2" xfId="17389"/>
    <cellStyle name="40% - Accent1 9 2 6 3" xfId="25333"/>
    <cellStyle name="40% - Accent1 9 2 7" xfId="10327"/>
    <cellStyle name="40% - Accent1 9 2 8" xfId="18282"/>
    <cellStyle name="40% - Accent1 9 2_Exh G" xfId="2800"/>
    <cellStyle name="40% - Accent1 9 3" xfId="381"/>
    <cellStyle name="40% - Accent1 9 3 2" xfId="1409"/>
    <cellStyle name="40% - Accent1 9 3 2 2" xfId="4939"/>
    <cellStyle name="40% - Accent1 9 3 2 2 2" xfId="8530"/>
    <cellStyle name="40% - Accent1 9 3 2 2 2 2" xfId="16501"/>
    <cellStyle name="40% - Accent1 9 3 2 2 2 3" xfId="24447"/>
    <cellStyle name="40% - Accent1 9 3 2 2 3" xfId="12963"/>
    <cellStyle name="40% - Accent1 9 3 2 2 4" xfId="20918"/>
    <cellStyle name="40% - Accent1 9 3 2 3" xfId="6771"/>
    <cellStyle name="40% - Accent1 9 3 2 3 2" xfId="14743"/>
    <cellStyle name="40% - Accent1 9 3 2 3 3" xfId="22690"/>
    <cellStyle name="40% - Accent1 9 3 2 4" xfId="11207"/>
    <cellStyle name="40% - Accent1 9 3 2 5" xfId="19162"/>
    <cellStyle name="40% - Accent1 9 3 2_Exh G" xfId="2805"/>
    <cellStyle name="40% - Accent1 9 3 3" xfId="4060"/>
    <cellStyle name="40% - Accent1 9 3 3 2" xfId="7652"/>
    <cellStyle name="40% - Accent1 9 3 3 2 2" xfId="15623"/>
    <cellStyle name="40% - Accent1 9 3 3 2 3" xfId="23569"/>
    <cellStyle name="40% - Accent1 9 3 3 3" xfId="12085"/>
    <cellStyle name="40% - Accent1 9 3 3 4" xfId="20040"/>
    <cellStyle name="40% - Accent1 9 3 4" xfId="5880"/>
    <cellStyle name="40% - Accent1 9 3 4 2" xfId="13864"/>
    <cellStyle name="40% - Accent1 9 3 4 3" xfId="21812"/>
    <cellStyle name="40% - Accent1 9 3 5" xfId="9433"/>
    <cellStyle name="40% - Accent1 9 3 5 2" xfId="17391"/>
    <cellStyle name="40% - Accent1 9 3 5 3" xfId="25335"/>
    <cellStyle name="40% - Accent1 9 3 6" xfId="10329"/>
    <cellStyle name="40% - Accent1 9 3 7" xfId="18284"/>
    <cellStyle name="40% - Accent1 9 3_Exh G" xfId="2804"/>
    <cellStyle name="40% - Accent1 9 4" xfId="945"/>
    <cellStyle name="40% - Accent1 9 4 2" xfId="1868"/>
    <cellStyle name="40% - Accent1 9 4 2 2" xfId="5386"/>
    <cellStyle name="40% - Accent1 9 4 2 2 2" xfId="8977"/>
    <cellStyle name="40% - Accent1 9 4 2 2 2 2" xfId="16948"/>
    <cellStyle name="40% - Accent1 9 4 2 2 2 3" xfId="24894"/>
    <cellStyle name="40% - Accent1 9 4 2 2 3" xfId="13410"/>
    <cellStyle name="40% - Accent1 9 4 2 2 4" xfId="21365"/>
    <cellStyle name="40% - Accent1 9 4 2 3" xfId="7218"/>
    <cellStyle name="40% - Accent1 9 4 2 3 2" xfId="15190"/>
    <cellStyle name="40% - Accent1 9 4 2 3 3" xfId="23137"/>
    <cellStyle name="40% - Accent1 9 4 2 4" xfId="11654"/>
    <cellStyle name="40% - Accent1 9 4 2 5" xfId="19609"/>
    <cellStyle name="40% - Accent1 9 4 2_Exh G" xfId="2807"/>
    <cellStyle name="40% - Accent1 9 4 3" xfId="4507"/>
    <cellStyle name="40% - Accent1 9 4 3 2" xfId="8099"/>
    <cellStyle name="40% - Accent1 9 4 3 2 2" xfId="16070"/>
    <cellStyle name="40% - Accent1 9 4 3 2 3" xfId="24016"/>
    <cellStyle name="40% - Accent1 9 4 3 3" xfId="12532"/>
    <cellStyle name="40% - Accent1 9 4 3 4" xfId="20487"/>
    <cellStyle name="40% - Accent1 9 4 4" xfId="6337"/>
    <cellStyle name="40% - Accent1 9 4 4 2" xfId="14312"/>
    <cellStyle name="40% - Accent1 9 4 4 3" xfId="22259"/>
    <cellStyle name="40% - Accent1 9 4 5" xfId="9880"/>
    <cellStyle name="40% - Accent1 9 4 5 2" xfId="17838"/>
    <cellStyle name="40% - Accent1 9 4 5 3" xfId="25782"/>
    <cellStyle name="40% - Accent1 9 4 6" xfId="10776"/>
    <cellStyle name="40% - Accent1 9 4 7" xfId="18731"/>
    <cellStyle name="40% - Accent1 9 4_Exh G" xfId="2806"/>
    <cellStyle name="40% - Accent1 9 5" xfId="1406"/>
    <cellStyle name="40% - Accent1 9 5 2" xfId="4936"/>
    <cellStyle name="40% - Accent1 9 5 2 2" xfId="8527"/>
    <cellStyle name="40% - Accent1 9 5 2 2 2" xfId="16498"/>
    <cellStyle name="40% - Accent1 9 5 2 2 3" xfId="24444"/>
    <cellStyle name="40% - Accent1 9 5 2 3" xfId="12960"/>
    <cellStyle name="40% - Accent1 9 5 2 4" xfId="20915"/>
    <cellStyle name="40% - Accent1 9 5 3" xfId="6768"/>
    <cellStyle name="40% - Accent1 9 5 3 2" xfId="14740"/>
    <cellStyle name="40% - Accent1 9 5 3 3" xfId="22687"/>
    <cellStyle name="40% - Accent1 9 5 4" xfId="11204"/>
    <cellStyle name="40% - Accent1 9 5 5" xfId="19159"/>
    <cellStyle name="40% - Accent1 9 5_Exh G" xfId="2808"/>
    <cellStyle name="40% - Accent1 9 6" xfId="4057"/>
    <cellStyle name="40% - Accent1 9 6 2" xfId="7649"/>
    <cellStyle name="40% - Accent1 9 6 2 2" xfId="15620"/>
    <cellStyle name="40% - Accent1 9 6 2 3" xfId="23566"/>
    <cellStyle name="40% - Accent1 9 6 3" xfId="12082"/>
    <cellStyle name="40% - Accent1 9 6 4" xfId="20037"/>
    <cellStyle name="40% - Accent1 9 7" xfId="5877"/>
    <cellStyle name="40% - Accent1 9 7 2" xfId="13861"/>
    <cellStyle name="40% - Accent1 9 7 3" xfId="21809"/>
    <cellStyle name="40% - Accent1 9 8" xfId="9430"/>
    <cellStyle name="40% - Accent1 9 8 2" xfId="17388"/>
    <cellStyle name="40% - Accent1 9 8 3" xfId="25332"/>
    <cellStyle name="40% - Accent1 9 9" xfId="10326"/>
    <cellStyle name="40% - Accent1 9_Exh G" xfId="2799"/>
    <cellStyle name="40% - Accent2 10" xfId="382"/>
    <cellStyle name="40% - Accent2 10 10" xfId="18285"/>
    <cellStyle name="40% - Accent2 10 2" xfId="383"/>
    <cellStyle name="40% - Accent2 10 2 2" xfId="384"/>
    <cellStyle name="40% - Accent2 10 2 2 2" xfId="1412"/>
    <cellStyle name="40% - Accent2 10 2 2 2 2" xfId="4942"/>
    <cellStyle name="40% - Accent2 10 2 2 2 2 2" xfId="8533"/>
    <cellStyle name="40% - Accent2 10 2 2 2 2 2 2" xfId="16504"/>
    <cellStyle name="40% - Accent2 10 2 2 2 2 2 3" xfId="24450"/>
    <cellStyle name="40% - Accent2 10 2 2 2 2 3" xfId="12966"/>
    <cellStyle name="40% - Accent2 10 2 2 2 2 4" xfId="20921"/>
    <cellStyle name="40% - Accent2 10 2 2 2 3" xfId="6774"/>
    <cellStyle name="40% - Accent2 10 2 2 2 3 2" xfId="14746"/>
    <cellStyle name="40% - Accent2 10 2 2 2 3 3" xfId="22693"/>
    <cellStyle name="40% - Accent2 10 2 2 2 4" xfId="11210"/>
    <cellStyle name="40% - Accent2 10 2 2 2 5" xfId="19165"/>
    <cellStyle name="40% - Accent2 10 2 2 2_Exh G" xfId="2812"/>
    <cellStyle name="40% - Accent2 10 2 2 3" xfId="4063"/>
    <cellStyle name="40% - Accent2 10 2 2 3 2" xfId="7655"/>
    <cellStyle name="40% - Accent2 10 2 2 3 2 2" xfId="15626"/>
    <cellStyle name="40% - Accent2 10 2 2 3 2 3" xfId="23572"/>
    <cellStyle name="40% - Accent2 10 2 2 3 3" xfId="12088"/>
    <cellStyle name="40% - Accent2 10 2 2 3 4" xfId="20043"/>
    <cellStyle name="40% - Accent2 10 2 2 4" xfId="5883"/>
    <cellStyle name="40% - Accent2 10 2 2 4 2" xfId="13867"/>
    <cellStyle name="40% - Accent2 10 2 2 4 3" xfId="21815"/>
    <cellStyle name="40% - Accent2 10 2 2 5" xfId="9436"/>
    <cellStyle name="40% - Accent2 10 2 2 5 2" xfId="17394"/>
    <cellStyle name="40% - Accent2 10 2 2 5 3" xfId="25338"/>
    <cellStyle name="40% - Accent2 10 2 2 6" xfId="10332"/>
    <cellStyle name="40% - Accent2 10 2 2 7" xfId="18287"/>
    <cellStyle name="40% - Accent2 10 2 2_Exh G" xfId="2811"/>
    <cellStyle name="40% - Accent2 10 2 3" xfId="1411"/>
    <cellStyle name="40% - Accent2 10 2 3 2" xfId="4941"/>
    <cellStyle name="40% - Accent2 10 2 3 2 2" xfId="8532"/>
    <cellStyle name="40% - Accent2 10 2 3 2 2 2" xfId="16503"/>
    <cellStyle name="40% - Accent2 10 2 3 2 2 3" xfId="24449"/>
    <cellStyle name="40% - Accent2 10 2 3 2 3" xfId="12965"/>
    <cellStyle name="40% - Accent2 10 2 3 2 4" xfId="20920"/>
    <cellStyle name="40% - Accent2 10 2 3 3" xfId="6773"/>
    <cellStyle name="40% - Accent2 10 2 3 3 2" xfId="14745"/>
    <cellStyle name="40% - Accent2 10 2 3 3 3" xfId="22692"/>
    <cellStyle name="40% - Accent2 10 2 3 4" xfId="11209"/>
    <cellStyle name="40% - Accent2 10 2 3 5" xfId="19164"/>
    <cellStyle name="40% - Accent2 10 2 3_Exh G" xfId="2813"/>
    <cellStyle name="40% - Accent2 10 2 4" xfId="4062"/>
    <cellStyle name="40% - Accent2 10 2 4 2" xfId="7654"/>
    <cellStyle name="40% - Accent2 10 2 4 2 2" xfId="15625"/>
    <cellStyle name="40% - Accent2 10 2 4 2 3" xfId="23571"/>
    <cellStyle name="40% - Accent2 10 2 4 3" xfId="12087"/>
    <cellStyle name="40% - Accent2 10 2 4 4" xfId="20042"/>
    <cellStyle name="40% - Accent2 10 2 5" xfId="5882"/>
    <cellStyle name="40% - Accent2 10 2 5 2" xfId="13866"/>
    <cellStyle name="40% - Accent2 10 2 5 3" xfId="21814"/>
    <cellStyle name="40% - Accent2 10 2 6" xfId="9435"/>
    <cellStyle name="40% - Accent2 10 2 6 2" xfId="17393"/>
    <cellStyle name="40% - Accent2 10 2 6 3" xfId="25337"/>
    <cellStyle name="40% - Accent2 10 2 7" xfId="10331"/>
    <cellStyle name="40% - Accent2 10 2 8" xfId="18286"/>
    <cellStyle name="40% - Accent2 10 2_Exh G" xfId="2810"/>
    <cellStyle name="40% - Accent2 10 3" xfId="385"/>
    <cellStyle name="40% - Accent2 10 3 2" xfId="1413"/>
    <cellStyle name="40% - Accent2 10 3 2 2" xfId="4943"/>
    <cellStyle name="40% - Accent2 10 3 2 2 2" xfId="8534"/>
    <cellStyle name="40% - Accent2 10 3 2 2 2 2" xfId="16505"/>
    <cellStyle name="40% - Accent2 10 3 2 2 2 3" xfId="24451"/>
    <cellStyle name="40% - Accent2 10 3 2 2 3" xfId="12967"/>
    <cellStyle name="40% - Accent2 10 3 2 2 4" xfId="20922"/>
    <cellStyle name="40% - Accent2 10 3 2 3" xfId="6775"/>
    <cellStyle name="40% - Accent2 10 3 2 3 2" xfId="14747"/>
    <cellStyle name="40% - Accent2 10 3 2 3 3" xfId="22694"/>
    <cellStyle name="40% - Accent2 10 3 2 4" xfId="11211"/>
    <cellStyle name="40% - Accent2 10 3 2 5" xfId="19166"/>
    <cellStyle name="40% - Accent2 10 3 2_Exh G" xfId="2815"/>
    <cellStyle name="40% - Accent2 10 3 3" xfId="4064"/>
    <cellStyle name="40% - Accent2 10 3 3 2" xfId="7656"/>
    <cellStyle name="40% - Accent2 10 3 3 2 2" xfId="15627"/>
    <cellStyle name="40% - Accent2 10 3 3 2 3" xfId="23573"/>
    <cellStyle name="40% - Accent2 10 3 3 3" xfId="12089"/>
    <cellStyle name="40% - Accent2 10 3 3 4" xfId="20044"/>
    <cellStyle name="40% - Accent2 10 3 4" xfId="5884"/>
    <cellStyle name="40% - Accent2 10 3 4 2" xfId="13868"/>
    <cellStyle name="40% - Accent2 10 3 4 3" xfId="21816"/>
    <cellStyle name="40% - Accent2 10 3 5" xfId="9437"/>
    <cellStyle name="40% - Accent2 10 3 5 2" xfId="17395"/>
    <cellStyle name="40% - Accent2 10 3 5 3" xfId="25339"/>
    <cellStyle name="40% - Accent2 10 3 6" xfId="10333"/>
    <cellStyle name="40% - Accent2 10 3 7" xfId="18288"/>
    <cellStyle name="40% - Accent2 10 3_Exh G" xfId="2814"/>
    <cellStyle name="40% - Accent2 10 4" xfId="946"/>
    <cellStyle name="40% - Accent2 10 5" xfId="1410"/>
    <cellStyle name="40% - Accent2 10 5 2" xfId="4940"/>
    <cellStyle name="40% - Accent2 10 5 2 2" xfId="8531"/>
    <cellStyle name="40% - Accent2 10 5 2 2 2" xfId="16502"/>
    <cellStyle name="40% - Accent2 10 5 2 2 3" xfId="24448"/>
    <cellStyle name="40% - Accent2 10 5 2 3" xfId="12964"/>
    <cellStyle name="40% - Accent2 10 5 2 4" xfId="20919"/>
    <cellStyle name="40% - Accent2 10 5 3" xfId="6772"/>
    <cellStyle name="40% - Accent2 10 5 3 2" xfId="14744"/>
    <cellStyle name="40% - Accent2 10 5 3 3" xfId="22691"/>
    <cellStyle name="40% - Accent2 10 5 4" xfId="11208"/>
    <cellStyle name="40% - Accent2 10 5 5" xfId="19163"/>
    <cellStyle name="40% - Accent2 10 5_Exh G" xfId="2816"/>
    <cellStyle name="40% - Accent2 10 6" xfId="4061"/>
    <cellStyle name="40% - Accent2 10 6 2" xfId="7653"/>
    <cellStyle name="40% - Accent2 10 6 2 2" xfId="15624"/>
    <cellStyle name="40% - Accent2 10 6 2 3" xfId="23570"/>
    <cellStyle name="40% - Accent2 10 6 3" xfId="12086"/>
    <cellStyle name="40% - Accent2 10 6 4" xfId="20041"/>
    <cellStyle name="40% - Accent2 10 7" xfId="5881"/>
    <cellStyle name="40% - Accent2 10 7 2" xfId="13865"/>
    <cellStyle name="40% - Accent2 10 7 3" xfId="21813"/>
    <cellStyle name="40% - Accent2 10 8" xfId="9434"/>
    <cellStyle name="40% - Accent2 10 8 2" xfId="17392"/>
    <cellStyle name="40% - Accent2 10 8 3" xfId="25336"/>
    <cellStyle name="40% - Accent2 10 9" xfId="10330"/>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 2 2" xfId="8537"/>
    <cellStyle name="40% - Accent2 11 2 2 2 2 2 2" xfId="16508"/>
    <cellStyle name="40% - Accent2 11 2 2 2 2 2 3" xfId="24454"/>
    <cellStyle name="40% - Accent2 11 2 2 2 2 3" xfId="12970"/>
    <cellStyle name="40% - Accent2 11 2 2 2 2 4" xfId="20925"/>
    <cellStyle name="40% - Accent2 11 2 2 2 3" xfId="6778"/>
    <cellStyle name="40% - Accent2 11 2 2 2 3 2" xfId="14750"/>
    <cellStyle name="40% - Accent2 11 2 2 2 3 3" xfId="22697"/>
    <cellStyle name="40% - Accent2 11 2 2 2 4" xfId="11214"/>
    <cellStyle name="40% - Accent2 11 2 2 2 5" xfId="19169"/>
    <cellStyle name="40% - Accent2 11 2 2 2_Exh G" xfId="2820"/>
    <cellStyle name="40% - Accent2 11 2 2 3" xfId="4067"/>
    <cellStyle name="40% - Accent2 11 2 2 3 2" xfId="7659"/>
    <cellStyle name="40% - Accent2 11 2 2 3 2 2" xfId="15630"/>
    <cellStyle name="40% - Accent2 11 2 2 3 2 3" xfId="23576"/>
    <cellStyle name="40% - Accent2 11 2 2 3 3" xfId="12092"/>
    <cellStyle name="40% - Accent2 11 2 2 3 4" xfId="20047"/>
    <cellStyle name="40% - Accent2 11 2 2 4" xfId="5887"/>
    <cellStyle name="40% - Accent2 11 2 2 4 2" xfId="13871"/>
    <cellStyle name="40% - Accent2 11 2 2 4 3" xfId="21819"/>
    <cellStyle name="40% - Accent2 11 2 2 5" xfId="9440"/>
    <cellStyle name="40% - Accent2 11 2 2 5 2" xfId="17398"/>
    <cellStyle name="40% - Accent2 11 2 2 5 3" xfId="25342"/>
    <cellStyle name="40% - Accent2 11 2 2 6" xfId="10336"/>
    <cellStyle name="40% - Accent2 11 2 2 7" xfId="18291"/>
    <cellStyle name="40% - Accent2 11 2 2_Exh G" xfId="2819"/>
    <cellStyle name="40% - Accent2 11 2 3" xfId="1415"/>
    <cellStyle name="40% - Accent2 11 2 3 2" xfId="4945"/>
    <cellStyle name="40% - Accent2 11 2 3 2 2" xfId="8536"/>
    <cellStyle name="40% - Accent2 11 2 3 2 2 2" xfId="16507"/>
    <cellStyle name="40% - Accent2 11 2 3 2 2 3" xfId="24453"/>
    <cellStyle name="40% - Accent2 11 2 3 2 3" xfId="12969"/>
    <cellStyle name="40% - Accent2 11 2 3 2 4" xfId="20924"/>
    <cellStyle name="40% - Accent2 11 2 3 3" xfId="6777"/>
    <cellStyle name="40% - Accent2 11 2 3 3 2" xfId="14749"/>
    <cellStyle name="40% - Accent2 11 2 3 3 3" xfId="22696"/>
    <cellStyle name="40% - Accent2 11 2 3 4" xfId="11213"/>
    <cellStyle name="40% - Accent2 11 2 3 5" xfId="19168"/>
    <cellStyle name="40% - Accent2 11 2 3_Exh G" xfId="2821"/>
    <cellStyle name="40% - Accent2 11 2 4" xfId="4066"/>
    <cellStyle name="40% - Accent2 11 2 4 2" xfId="7658"/>
    <cellStyle name="40% - Accent2 11 2 4 2 2" xfId="15629"/>
    <cellStyle name="40% - Accent2 11 2 4 2 3" xfId="23575"/>
    <cellStyle name="40% - Accent2 11 2 4 3" xfId="12091"/>
    <cellStyle name="40% - Accent2 11 2 4 4" xfId="20046"/>
    <cellStyle name="40% - Accent2 11 2 5" xfId="5886"/>
    <cellStyle name="40% - Accent2 11 2 5 2" xfId="13870"/>
    <cellStyle name="40% - Accent2 11 2 5 3" xfId="21818"/>
    <cellStyle name="40% - Accent2 11 2 6" xfId="9439"/>
    <cellStyle name="40% - Accent2 11 2 6 2" xfId="17397"/>
    <cellStyle name="40% - Accent2 11 2 6 3" xfId="25341"/>
    <cellStyle name="40% - Accent2 11 2 7" xfId="10335"/>
    <cellStyle name="40% - Accent2 11 2 8" xfId="18290"/>
    <cellStyle name="40% - Accent2 11 2_Exh G" xfId="2818"/>
    <cellStyle name="40% - Accent2 11 3" xfId="389"/>
    <cellStyle name="40% - Accent2 11 3 2" xfId="1417"/>
    <cellStyle name="40% - Accent2 11 3 2 2" xfId="4947"/>
    <cellStyle name="40% - Accent2 11 3 2 2 2" xfId="8538"/>
    <cellStyle name="40% - Accent2 11 3 2 2 2 2" xfId="16509"/>
    <cellStyle name="40% - Accent2 11 3 2 2 2 3" xfId="24455"/>
    <cellStyle name="40% - Accent2 11 3 2 2 3" xfId="12971"/>
    <cellStyle name="40% - Accent2 11 3 2 2 4" xfId="20926"/>
    <cellStyle name="40% - Accent2 11 3 2 3" xfId="6779"/>
    <cellStyle name="40% - Accent2 11 3 2 3 2" xfId="14751"/>
    <cellStyle name="40% - Accent2 11 3 2 3 3" xfId="22698"/>
    <cellStyle name="40% - Accent2 11 3 2 4" xfId="11215"/>
    <cellStyle name="40% - Accent2 11 3 2 5" xfId="19170"/>
    <cellStyle name="40% - Accent2 11 3 2_Exh G" xfId="2823"/>
    <cellStyle name="40% - Accent2 11 3 3" xfId="4068"/>
    <cellStyle name="40% - Accent2 11 3 3 2" xfId="7660"/>
    <cellStyle name="40% - Accent2 11 3 3 2 2" xfId="15631"/>
    <cellStyle name="40% - Accent2 11 3 3 2 3" xfId="23577"/>
    <cellStyle name="40% - Accent2 11 3 3 3" xfId="12093"/>
    <cellStyle name="40% - Accent2 11 3 3 4" xfId="20048"/>
    <cellStyle name="40% - Accent2 11 3 4" xfId="5888"/>
    <cellStyle name="40% - Accent2 11 3 4 2" xfId="13872"/>
    <cellStyle name="40% - Accent2 11 3 4 3" xfId="21820"/>
    <cellStyle name="40% - Accent2 11 3 5" xfId="9441"/>
    <cellStyle name="40% - Accent2 11 3 5 2" xfId="17399"/>
    <cellStyle name="40% - Accent2 11 3 5 3" xfId="25343"/>
    <cellStyle name="40% - Accent2 11 3 6" xfId="10337"/>
    <cellStyle name="40% - Accent2 11 3 7" xfId="18292"/>
    <cellStyle name="40% - Accent2 11 3_Exh G" xfId="2822"/>
    <cellStyle name="40% - Accent2 11 4" xfId="1414"/>
    <cellStyle name="40% - Accent2 11 4 2" xfId="4944"/>
    <cellStyle name="40% - Accent2 11 4 2 2" xfId="8535"/>
    <cellStyle name="40% - Accent2 11 4 2 2 2" xfId="16506"/>
    <cellStyle name="40% - Accent2 11 4 2 2 3" xfId="24452"/>
    <cellStyle name="40% - Accent2 11 4 2 3" xfId="12968"/>
    <cellStyle name="40% - Accent2 11 4 2 4" xfId="20923"/>
    <cellStyle name="40% - Accent2 11 4 3" xfId="6776"/>
    <cellStyle name="40% - Accent2 11 4 3 2" xfId="14748"/>
    <cellStyle name="40% - Accent2 11 4 3 3" xfId="22695"/>
    <cellStyle name="40% - Accent2 11 4 4" xfId="11212"/>
    <cellStyle name="40% - Accent2 11 4 5" xfId="19167"/>
    <cellStyle name="40% - Accent2 11 4_Exh G" xfId="2824"/>
    <cellStyle name="40% - Accent2 11 5" xfId="4065"/>
    <cellStyle name="40% - Accent2 11 5 2" xfId="7657"/>
    <cellStyle name="40% - Accent2 11 5 2 2" xfId="15628"/>
    <cellStyle name="40% - Accent2 11 5 2 3" xfId="23574"/>
    <cellStyle name="40% - Accent2 11 5 3" xfId="12090"/>
    <cellStyle name="40% - Accent2 11 5 4" xfId="20045"/>
    <cellStyle name="40% - Accent2 11 6" xfId="5885"/>
    <cellStyle name="40% - Accent2 11 6 2" xfId="13869"/>
    <cellStyle name="40% - Accent2 11 6 3" xfId="21817"/>
    <cellStyle name="40% - Accent2 11 7" xfId="9438"/>
    <cellStyle name="40% - Accent2 11 7 2" xfId="17396"/>
    <cellStyle name="40% - Accent2 11 7 3" xfId="25340"/>
    <cellStyle name="40% - Accent2 11 8" xfId="10334"/>
    <cellStyle name="40% - Accent2 11 9" xfId="18289"/>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 2 2" xfId="8541"/>
    <cellStyle name="40% - Accent2 12 2 2 2 2 2 2" xfId="16512"/>
    <cellStyle name="40% - Accent2 12 2 2 2 2 2 3" xfId="24458"/>
    <cellStyle name="40% - Accent2 12 2 2 2 2 3" xfId="12974"/>
    <cellStyle name="40% - Accent2 12 2 2 2 2 4" xfId="20929"/>
    <cellStyle name="40% - Accent2 12 2 2 2 3" xfId="6782"/>
    <cellStyle name="40% - Accent2 12 2 2 2 3 2" xfId="14754"/>
    <cellStyle name="40% - Accent2 12 2 2 2 3 3" xfId="22701"/>
    <cellStyle name="40% - Accent2 12 2 2 2 4" xfId="11218"/>
    <cellStyle name="40% - Accent2 12 2 2 2 5" xfId="19173"/>
    <cellStyle name="40% - Accent2 12 2 2 2_Exh G" xfId="2828"/>
    <cellStyle name="40% - Accent2 12 2 2 3" xfId="4071"/>
    <cellStyle name="40% - Accent2 12 2 2 3 2" xfId="7663"/>
    <cellStyle name="40% - Accent2 12 2 2 3 2 2" xfId="15634"/>
    <cellStyle name="40% - Accent2 12 2 2 3 2 3" xfId="23580"/>
    <cellStyle name="40% - Accent2 12 2 2 3 3" xfId="12096"/>
    <cellStyle name="40% - Accent2 12 2 2 3 4" xfId="20051"/>
    <cellStyle name="40% - Accent2 12 2 2 4" xfId="5891"/>
    <cellStyle name="40% - Accent2 12 2 2 4 2" xfId="13875"/>
    <cellStyle name="40% - Accent2 12 2 2 4 3" xfId="21823"/>
    <cellStyle name="40% - Accent2 12 2 2 5" xfId="9444"/>
    <cellStyle name="40% - Accent2 12 2 2 5 2" xfId="17402"/>
    <cellStyle name="40% - Accent2 12 2 2 5 3" xfId="25346"/>
    <cellStyle name="40% - Accent2 12 2 2 6" xfId="10340"/>
    <cellStyle name="40% - Accent2 12 2 2 7" xfId="18295"/>
    <cellStyle name="40% - Accent2 12 2 2_Exh G" xfId="2827"/>
    <cellStyle name="40% - Accent2 12 2 3" xfId="1419"/>
    <cellStyle name="40% - Accent2 12 2 3 2" xfId="4949"/>
    <cellStyle name="40% - Accent2 12 2 3 2 2" xfId="8540"/>
    <cellStyle name="40% - Accent2 12 2 3 2 2 2" xfId="16511"/>
    <cellStyle name="40% - Accent2 12 2 3 2 2 3" xfId="24457"/>
    <cellStyle name="40% - Accent2 12 2 3 2 3" xfId="12973"/>
    <cellStyle name="40% - Accent2 12 2 3 2 4" xfId="20928"/>
    <cellStyle name="40% - Accent2 12 2 3 3" xfId="6781"/>
    <cellStyle name="40% - Accent2 12 2 3 3 2" xfId="14753"/>
    <cellStyle name="40% - Accent2 12 2 3 3 3" xfId="22700"/>
    <cellStyle name="40% - Accent2 12 2 3 4" xfId="11217"/>
    <cellStyle name="40% - Accent2 12 2 3 5" xfId="19172"/>
    <cellStyle name="40% - Accent2 12 2 3_Exh G" xfId="2829"/>
    <cellStyle name="40% - Accent2 12 2 4" xfId="4070"/>
    <cellStyle name="40% - Accent2 12 2 4 2" xfId="7662"/>
    <cellStyle name="40% - Accent2 12 2 4 2 2" xfId="15633"/>
    <cellStyle name="40% - Accent2 12 2 4 2 3" xfId="23579"/>
    <cellStyle name="40% - Accent2 12 2 4 3" xfId="12095"/>
    <cellStyle name="40% - Accent2 12 2 4 4" xfId="20050"/>
    <cellStyle name="40% - Accent2 12 2 5" xfId="5890"/>
    <cellStyle name="40% - Accent2 12 2 5 2" xfId="13874"/>
    <cellStyle name="40% - Accent2 12 2 5 3" xfId="21822"/>
    <cellStyle name="40% - Accent2 12 2 6" xfId="9443"/>
    <cellStyle name="40% - Accent2 12 2 6 2" xfId="17401"/>
    <cellStyle name="40% - Accent2 12 2 6 3" xfId="25345"/>
    <cellStyle name="40% - Accent2 12 2 7" xfId="10339"/>
    <cellStyle name="40% - Accent2 12 2 8" xfId="18294"/>
    <cellStyle name="40% - Accent2 12 2_Exh G" xfId="2826"/>
    <cellStyle name="40% - Accent2 12 3" xfId="393"/>
    <cellStyle name="40% - Accent2 12 3 2" xfId="1421"/>
    <cellStyle name="40% - Accent2 12 3 2 2" xfId="4951"/>
    <cellStyle name="40% - Accent2 12 3 2 2 2" xfId="8542"/>
    <cellStyle name="40% - Accent2 12 3 2 2 2 2" xfId="16513"/>
    <cellStyle name="40% - Accent2 12 3 2 2 2 3" xfId="24459"/>
    <cellStyle name="40% - Accent2 12 3 2 2 3" xfId="12975"/>
    <cellStyle name="40% - Accent2 12 3 2 2 4" xfId="20930"/>
    <cellStyle name="40% - Accent2 12 3 2 3" xfId="6783"/>
    <cellStyle name="40% - Accent2 12 3 2 3 2" xfId="14755"/>
    <cellStyle name="40% - Accent2 12 3 2 3 3" xfId="22702"/>
    <cellStyle name="40% - Accent2 12 3 2 4" xfId="11219"/>
    <cellStyle name="40% - Accent2 12 3 2 5" xfId="19174"/>
    <cellStyle name="40% - Accent2 12 3 2_Exh G" xfId="2831"/>
    <cellStyle name="40% - Accent2 12 3 3" xfId="4072"/>
    <cellStyle name="40% - Accent2 12 3 3 2" xfId="7664"/>
    <cellStyle name="40% - Accent2 12 3 3 2 2" xfId="15635"/>
    <cellStyle name="40% - Accent2 12 3 3 2 3" xfId="23581"/>
    <cellStyle name="40% - Accent2 12 3 3 3" xfId="12097"/>
    <cellStyle name="40% - Accent2 12 3 3 4" xfId="20052"/>
    <cellStyle name="40% - Accent2 12 3 4" xfId="5892"/>
    <cellStyle name="40% - Accent2 12 3 4 2" xfId="13876"/>
    <cellStyle name="40% - Accent2 12 3 4 3" xfId="21824"/>
    <cellStyle name="40% - Accent2 12 3 5" xfId="9445"/>
    <cellStyle name="40% - Accent2 12 3 5 2" xfId="17403"/>
    <cellStyle name="40% - Accent2 12 3 5 3" xfId="25347"/>
    <cellStyle name="40% - Accent2 12 3 6" xfId="10341"/>
    <cellStyle name="40% - Accent2 12 3 7" xfId="18296"/>
    <cellStyle name="40% - Accent2 12 3_Exh G" xfId="2830"/>
    <cellStyle name="40% - Accent2 12 4" xfId="1418"/>
    <cellStyle name="40% - Accent2 12 4 2" xfId="4948"/>
    <cellStyle name="40% - Accent2 12 4 2 2" xfId="8539"/>
    <cellStyle name="40% - Accent2 12 4 2 2 2" xfId="16510"/>
    <cellStyle name="40% - Accent2 12 4 2 2 3" xfId="24456"/>
    <cellStyle name="40% - Accent2 12 4 2 3" xfId="12972"/>
    <cellStyle name="40% - Accent2 12 4 2 4" xfId="20927"/>
    <cellStyle name="40% - Accent2 12 4 3" xfId="6780"/>
    <cellStyle name="40% - Accent2 12 4 3 2" xfId="14752"/>
    <cellStyle name="40% - Accent2 12 4 3 3" xfId="22699"/>
    <cellStyle name="40% - Accent2 12 4 4" xfId="11216"/>
    <cellStyle name="40% - Accent2 12 4 5" xfId="19171"/>
    <cellStyle name="40% - Accent2 12 4_Exh G" xfId="2832"/>
    <cellStyle name="40% - Accent2 12 5" xfId="4069"/>
    <cellStyle name="40% - Accent2 12 5 2" xfId="7661"/>
    <cellStyle name="40% - Accent2 12 5 2 2" xfId="15632"/>
    <cellStyle name="40% - Accent2 12 5 2 3" xfId="23578"/>
    <cellStyle name="40% - Accent2 12 5 3" xfId="12094"/>
    <cellStyle name="40% - Accent2 12 5 4" xfId="20049"/>
    <cellStyle name="40% - Accent2 12 6" xfId="5889"/>
    <cellStyle name="40% - Accent2 12 6 2" xfId="13873"/>
    <cellStyle name="40% - Accent2 12 6 3" xfId="21821"/>
    <cellStyle name="40% - Accent2 12 7" xfId="9442"/>
    <cellStyle name="40% - Accent2 12 7 2" xfId="17400"/>
    <cellStyle name="40% - Accent2 12 7 3" xfId="25344"/>
    <cellStyle name="40% - Accent2 12 8" xfId="10338"/>
    <cellStyle name="40% - Accent2 12 9" xfId="18293"/>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 2 2" xfId="8545"/>
    <cellStyle name="40% - Accent2 13 2 2 2 2 2 2" xfId="16516"/>
    <cellStyle name="40% - Accent2 13 2 2 2 2 2 3" xfId="24462"/>
    <cellStyle name="40% - Accent2 13 2 2 2 2 3" xfId="12978"/>
    <cellStyle name="40% - Accent2 13 2 2 2 2 4" xfId="20933"/>
    <cellStyle name="40% - Accent2 13 2 2 2 3" xfId="6786"/>
    <cellStyle name="40% - Accent2 13 2 2 2 3 2" xfId="14758"/>
    <cellStyle name="40% - Accent2 13 2 2 2 3 3" xfId="22705"/>
    <cellStyle name="40% - Accent2 13 2 2 2 4" xfId="11222"/>
    <cellStyle name="40% - Accent2 13 2 2 2 5" xfId="19177"/>
    <cellStyle name="40% - Accent2 13 2 2 2_Exh G" xfId="2836"/>
    <cellStyle name="40% - Accent2 13 2 2 3" xfId="4075"/>
    <cellStyle name="40% - Accent2 13 2 2 3 2" xfId="7667"/>
    <cellStyle name="40% - Accent2 13 2 2 3 2 2" xfId="15638"/>
    <cellStyle name="40% - Accent2 13 2 2 3 2 3" xfId="23584"/>
    <cellStyle name="40% - Accent2 13 2 2 3 3" xfId="12100"/>
    <cellStyle name="40% - Accent2 13 2 2 3 4" xfId="20055"/>
    <cellStyle name="40% - Accent2 13 2 2 4" xfId="5895"/>
    <cellStyle name="40% - Accent2 13 2 2 4 2" xfId="13879"/>
    <cellStyle name="40% - Accent2 13 2 2 4 3" xfId="21827"/>
    <cellStyle name="40% - Accent2 13 2 2 5" xfId="9448"/>
    <cellStyle name="40% - Accent2 13 2 2 5 2" xfId="17406"/>
    <cellStyle name="40% - Accent2 13 2 2 5 3" xfId="25350"/>
    <cellStyle name="40% - Accent2 13 2 2 6" xfId="10344"/>
    <cellStyle name="40% - Accent2 13 2 2 7" xfId="18299"/>
    <cellStyle name="40% - Accent2 13 2 2_Exh G" xfId="2835"/>
    <cellStyle name="40% - Accent2 13 2 3" xfId="1423"/>
    <cellStyle name="40% - Accent2 13 2 3 2" xfId="4953"/>
    <cellStyle name="40% - Accent2 13 2 3 2 2" xfId="8544"/>
    <cellStyle name="40% - Accent2 13 2 3 2 2 2" xfId="16515"/>
    <cellStyle name="40% - Accent2 13 2 3 2 2 3" xfId="24461"/>
    <cellStyle name="40% - Accent2 13 2 3 2 3" xfId="12977"/>
    <cellStyle name="40% - Accent2 13 2 3 2 4" xfId="20932"/>
    <cellStyle name="40% - Accent2 13 2 3 3" xfId="6785"/>
    <cellStyle name="40% - Accent2 13 2 3 3 2" xfId="14757"/>
    <cellStyle name="40% - Accent2 13 2 3 3 3" xfId="22704"/>
    <cellStyle name="40% - Accent2 13 2 3 4" xfId="11221"/>
    <cellStyle name="40% - Accent2 13 2 3 5" xfId="19176"/>
    <cellStyle name="40% - Accent2 13 2 3_Exh G" xfId="2837"/>
    <cellStyle name="40% - Accent2 13 2 4" xfId="4074"/>
    <cellStyle name="40% - Accent2 13 2 4 2" xfId="7666"/>
    <cellStyle name="40% - Accent2 13 2 4 2 2" xfId="15637"/>
    <cellStyle name="40% - Accent2 13 2 4 2 3" xfId="23583"/>
    <cellStyle name="40% - Accent2 13 2 4 3" xfId="12099"/>
    <cellStyle name="40% - Accent2 13 2 4 4" xfId="20054"/>
    <cellStyle name="40% - Accent2 13 2 5" xfId="5894"/>
    <cellStyle name="40% - Accent2 13 2 5 2" xfId="13878"/>
    <cellStyle name="40% - Accent2 13 2 5 3" xfId="21826"/>
    <cellStyle name="40% - Accent2 13 2 6" xfId="9447"/>
    <cellStyle name="40% - Accent2 13 2 6 2" xfId="17405"/>
    <cellStyle name="40% - Accent2 13 2 6 3" xfId="25349"/>
    <cellStyle name="40% - Accent2 13 2 7" xfId="10343"/>
    <cellStyle name="40% - Accent2 13 2 8" xfId="18298"/>
    <cellStyle name="40% - Accent2 13 2_Exh G" xfId="2834"/>
    <cellStyle name="40% - Accent2 13 3" xfId="397"/>
    <cellStyle name="40% - Accent2 13 3 2" xfId="1425"/>
    <cellStyle name="40% - Accent2 13 3 2 2" xfId="4955"/>
    <cellStyle name="40% - Accent2 13 3 2 2 2" xfId="8546"/>
    <cellStyle name="40% - Accent2 13 3 2 2 2 2" xfId="16517"/>
    <cellStyle name="40% - Accent2 13 3 2 2 2 3" xfId="24463"/>
    <cellStyle name="40% - Accent2 13 3 2 2 3" xfId="12979"/>
    <cellStyle name="40% - Accent2 13 3 2 2 4" xfId="20934"/>
    <cellStyle name="40% - Accent2 13 3 2 3" xfId="6787"/>
    <cellStyle name="40% - Accent2 13 3 2 3 2" xfId="14759"/>
    <cellStyle name="40% - Accent2 13 3 2 3 3" xfId="22706"/>
    <cellStyle name="40% - Accent2 13 3 2 4" xfId="11223"/>
    <cellStyle name="40% - Accent2 13 3 2 5" xfId="19178"/>
    <cellStyle name="40% - Accent2 13 3 2_Exh G" xfId="2839"/>
    <cellStyle name="40% - Accent2 13 3 3" xfId="4076"/>
    <cellStyle name="40% - Accent2 13 3 3 2" xfId="7668"/>
    <cellStyle name="40% - Accent2 13 3 3 2 2" xfId="15639"/>
    <cellStyle name="40% - Accent2 13 3 3 2 3" xfId="23585"/>
    <cellStyle name="40% - Accent2 13 3 3 3" xfId="12101"/>
    <cellStyle name="40% - Accent2 13 3 3 4" xfId="20056"/>
    <cellStyle name="40% - Accent2 13 3 4" xfId="5896"/>
    <cellStyle name="40% - Accent2 13 3 4 2" xfId="13880"/>
    <cellStyle name="40% - Accent2 13 3 4 3" xfId="21828"/>
    <cellStyle name="40% - Accent2 13 3 5" xfId="9449"/>
    <cellStyle name="40% - Accent2 13 3 5 2" xfId="17407"/>
    <cellStyle name="40% - Accent2 13 3 5 3" xfId="25351"/>
    <cellStyle name="40% - Accent2 13 3 6" xfId="10345"/>
    <cellStyle name="40% - Accent2 13 3 7" xfId="18300"/>
    <cellStyle name="40% - Accent2 13 3_Exh G" xfId="2838"/>
    <cellStyle name="40% - Accent2 13 4" xfId="1422"/>
    <cellStyle name="40% - Accent2 13 4 2" xfId="4952"/>
    <cellStyle name="40% - Accent2 13 4 2 2" xfId="8543"/>
    <cellStyle name="40% - Accent2 13 4 2 2 2" xfId="16514"/>
    <cellStyle name="40% - Accent2 13 4 2 2 3" xfId="24460"/>
    <cellStyle name="40% - Accent2 13 4 2 3" xfId="12976"/>
    <cellStyle name="40% - Accent2 13 4 2 4" xfId="20931"/>
    <cellStyle name="40% - Accent2 13 4 3" xfId="6784"/>
    <cellStyle name="40% - Accent2 13 4 3 2" xfId="14756"/>
    <cellStyle name="40% - Accent2 13 4 3 3" xfId="22703"/>
    <cellStyle name="40% - Accent2 13 4 4" xfId="11220"/>
    <cellStyle name="40% - Accent2 13 4 5" xfId="19175"/>
    <cellStyle name="40% - Accent2 13 4_Exh G" xfId="2840"/>
    <cellStyle name="40% - Accent2 13 5" xfId="4073"/>
    <cellStyle name="40% - Accent2 13 5 2" xfId="7665"/>
    <cellStyle name="40% - Accent2 13 5 2 2" xfId="15636"/>
    <cellStyle name="40% - Accent2 13 5 2 3" xfId="23582"/>
    <cellStyle name="40% - Accent2 13 5 3" xfId="12098"/>
    <cellStyle name="40% - Accent2 13 5 4" xfId="20053"/>
    <cellStyle name="40% - Accent2 13 6" xfId="5893"/>
    <cellStyle name="40% - Accent2 13 6 2" xfId="13877"/>
    <cellStyle name="40% - Accent2 13 6 3" xfId="21825"/>
    <cellStyle name="40% - Accent2 13 7" xfId="9446"/>
    <cellStyle name="40% - Accent2 13 7 2" xfId="17404"/>
    <cellStyle name="40% - Accent2 13 7 3" xfId="25348"/>
    <cellStyle name="40% - Accent2 13 8" xfId="10342"/>
    <cellStyle name="40% - Accent2 13 9" xfId="18297"/>
    <cellStyle name="40% - Accent2 13_Exh G" xfId="2833"/>
    <cellStyle name="40% - Accent2 14" xfId="398"/>
    <cellStyle name="40% - Accent2 14 2" xfId="399"/>
    <cellStyle name="40% - Accent2 14 2 2" xfId="1427"/>
    <cellStyle name="40% - Accent2 14 2 2 2" xfId="4957"/>
    <cellStyle name="40% - Accent2 14 2 2 2 2" xfId="8548"/>
    <cellStyle name="40% - Accent2 14 2 2 2 2 2" xfId="16519"/>
    <cellStyle name="40% - Accent2 14 2 2 2 2 3" xfId="24465"/>
    <cellStyle name="40% - Accent2 14 2 2 2 3" xfId="12981"/>
    <cellStyle name="40% - Accent2 14 2 2 2 4" xfId="20936"/>
    <cellStyle name="40% - Accent2 14 2 2 3" xfId="6789"/>
    <cellStyle name="40% - Accent2 14 2 2 3 2" xfId="14761"/>
    <cellStyle name="40% - Accent2 14 2 2 3 3" xfId="22708"/>
    <cellStyle name="40% - Accent2 14 2 2 4" xfId="11225"/>
    <cellStyle name="40% - Accent2 14 2 2 5" xfId="19180"/>
    <cellStyle name="40% - Accent2 14 2 2_Exh G" xfId="2843"/>
    <cellStyle name="40% - Accent2 14 2 3" xfId="4078"/>
    <cellStyle name="40% - Accent2 14 2 3 2" xfId="7670"/>
    <cellStyle name="40% - Accent2 14 2 3 2 2" xfId="15641"/>
    <cellStyle name="40% - Accent2 14 2 3 2 3" xfId="23587"/>
    <cellStyle name="40% - Accent2 14 2 3 3" xfId="12103"/>
    <cellStyle name="40% - Accent2 14 2 3 4" xfId="20058"/>
    <cellStyle name="40% - Accent2 14 2 4" xfId="5898"/>
    <cellStyle name="40% - Accent2 14 2 4 2" xfId="13882"/>
    <cellStyle name="40% - Accent2 14 2 4 3" xfId="21830"/>
    <cellStyle name="40% - Accent2 14 2 5" xfId="9451"/>
    <cellStyle name="40% - Accent2 14 2 5 2" xfId="17409"/>
    <cellStyle name="40% - Accent2 14 2 5 3" xfId="25353"/>
    <cellStyle name="40% - Accent2 14 2 6" xfId="10347"/>
    <cellStyle name="40% - Accent2 14 2 7" xfId="18302"/>
    <cellStyle name="40% - Accent2 14 2_Exh G" xfId="2842"/>
    <cellStyle name="40% - Accent2 14 3" xfId="1426"/>
    <cellStyle name="40% - Accent2 14 3 2" xfId="4956"/>
    <cellStyle name="40% - Accent2 14 3 2 2" xfId="8547"/>
    <cellStyle name="40% - Accent2 14 3 2 2 2" xfId="16518"/>
    <cellStyle name="40% - Accent2 14 3 2 2 3" xfId="24464"/>
    <cellStyle name="40% - Accent2 14 3 2 3" xfId="12980"/>
    <cellStyle name="40% - Accent2 14 3 2 4" xfId="20935"/>
    <cellStyle name="40% - Accent2 14 3 3" xfId="6788"/>
    <cellStyle name="40% - Accent2 14 3 3 2" xfId="14760"/>
    <cellStyle name="40% - Accent2 14 3 3 3" xfId="22707"/>
    <cellStyle name="40% - Accent2 14 3 4" xfId="11224"/>
    <cellStyle name="40% - Accent2 14 3 5" xfId="19179"/>
    <cellStyle name="40% - Accent2 14 3_Exh G" xfId="2844"/>
    <cellStyle name="40% - Accent2 14 4" xfId="4077"/>
    <cellStyle name="40% - Accent2 14 4 2" xfId="7669"/>
    <cellStyle name="40% - Accent2 14 4 2 2" xfId="15640"/>
    <cellStyle name="40% - Accent2 14 4 2 3" xfId="23586"/>
    <cellStyle name="40% - Accent2 14 4 3" xfId="12102"/>
    <cellStyle name="40% - Accent2 14 4 4" xfId="20057"/>
    <cellStyle name="40% - Accent2 14 5" xfId="5897"/>
    <cellStyle name="40% - Accent2 14 5 2" xfId="13881"/>
    <cellStyle name="40% - Accent2 14 5 3" xfId="21829"/>
    <cellStyle name="40% - Accent2 14 6" xfId="9450"/>
    <cellStyle name="40% - Accent2 14 6 2" xfId="17408"/>
    <cellStyle name="40% - Accent2 14 6 3" xfId="25352"/>
    <cellStyle name="40% - Accent2 14 7" xfId="10346"/>
    <cellStyle name="40% - Accent2 14 8" xfId="18301"/>
    <cellStyle name="40% - Accent2 14_Exh G" xfId="2841"/>
    <cellStyle name="40% - Accent2 15" xfId="400"/>
    <cellStyle name="40% - Accent2 15 2" xfId="1428"/>
    <cellStyle name="40% - Accent2 15 2 2" xfId="4958"/>
    <cellStyle name="40% - Accent2 15 2 2 2" xfId="8549"/>
    <cellStyle name="40% - Accent2 15 2 2 2 2" xfId="16520"/>
    <cellStyle name="40% - Accent2 15 2 2 2 3" xfId="24466"/>
    <cellStyle name="40% - Accent2 15 2 2 3" xfId="12982"/>
    <cellStyle name="40% - Accent2 15 2 2 4" xfId="20937"/>
    <cellStyle name="40% - Accent2 15 2 3" xfId="6790"/>
    <cellStyle name="40% - Accent2 15 2 3 2" xfId="14762"/>
    <cellStyle name="40% - Accent2 15 2 3 3" xfId="22709"/>
    <cellStyle name="40% - Accent2 15 2 4" xfId="11226"/>
    <cellStyle name="40% - Accent2 15 2 5" xfId="19181"/>
    <cellStyle name="40% - Accent2 15 2_Exh G" xfId="2846"/>
    <cellStyle name="40% - Accent2 15 3" xfId="4079"/>
    <cellStyle name="40% - Accent2 15 3 2" xfId="7671"/>
    <cellStyle name="40% - Accent2 15 3 2 2" xfId="15642"/>
    <cellStyle name="40% - Accent2 15 3 2 3" xfId="23588"/>
    <cellStyle name="40% - Accent2 15 3 3" xfId="12104"/>
    <cellStyle name="40% - Accent2 15 3 4" xfId="20059"/>
    <cellStyle name="40% - Accent2 15 4" xfId="5899"/>
    <cellStyle name="40% - Accent2 15 4 2" xfId="13883"/>
    <cellStyle name="40% - Accent2 15 4 3" xfId="21831"/>
    <cellStyle name="40% - Accent2 15 5" xfId="9452"/>
    <cellStyle name="40% - Accent2 15 5 2" xfId="17410"/>
    <cellStyle name="40% - Accent2 15 5 3" xfId="25354"/>
    <cellStyle name="40% - Accent2 15 6" xfId="10348"/>
    <cellStyle name="40% - Accent2 15 7" xfId="18303"/>
    <cellStyle name="40% - Accent2 15_Exh G" xfId="2845"/>
    <cellStyle name="40% - Accent2 16" xfId="850"/>
    <cellStyle name="40% - Accent2 16 2" xfId="1789"/>
    <cellStyle name="40% - Accent2 16 2 2" xfId="5310"/>
    <cellStyle name="40% - Accent2 16 2 2 2" xfId="8901"/>
    <cellStyle name="40% - Accent2 16 2 2 2 2" xfId="16872"/>
    <cellStyle name="40% - Accent2 16 2 2 2 3" xfId="24818"/>
    <cellStyle name="40% - Accent2 16 2 2 3" xfId="13334"/>
    <cellStyle name="40% - Accent2 16 2 2 4" xfId="21289"/>
    <cellStyle name="40% - Accent2 16 2 3" xfId="7142"/>
    <cellStyle name="40% - Accent2 16 2 3 2" xfId="15114"/>
    <cellStyle name="40% - Accent2 16 2 3 3" xfId="23061"/>
    <cellStyle name="40% - Accent2 16 2 4" xfId="11578"/>
    <cellStyle name="40% - Accent2 16 2 5" xfId="19533"/>
    <cellStyle name="40% - Accent2 16 2_Exh G" xfId="2848"/>
    <cellStyle name="40% - Accent2 16 3" xfId="4431"/>
    <cellStyle name="40% - Accent2 16 3 2" xfId="8023"/>
    <cellStyle name="40% - Accent2 16 3 2 2" xfId="15994"/>
    <cellStyle name="40% - Accent2 16 3 2 3" xfId="23940"/>
    <cellStyle name="40% - Accent2 16 3 3" xfId="12456"/>
    <cellStyle name="40% - Accent2 16 3 4" xfId="20411"/>
    <cellStyle name="40% - Accent2 16 4" xfId="6261"/>
    <cellStyle name="40% - Accent2 16 4 2" xfId="14236"/>
    <cellStyle name="40% - Accent2 16 4 3" xfId="22183"/>
    <cellStyle name="40% - Accent2 16 5" xfId="9804"/>
    <cellStyle name="40% - Accent2 16 5 2" xfId="17762"/>
    <cellStyle name="40% - Accent2 16 5 3" xfId="25706"/>
    <cellStyle name="40% - Accent2 16 6" xfId="10700"/>
    <cellStyle name="40% - Accent2 16 7" xfId="18655"/>
    <cellStyle name="40% - Accent2 16_Exh G" xfId="2847"/>
    <cellStyle name="40% - Accent2 2" xfId="401"/>
    <cellStyle name="40% - Accent2 2 10" xfId="18304"/>
    <cellStyle name="40% - Accent2 2 2" xfId="402"/>
    <cellStyle name="40% - Accent2 2 2 2" xfId="403"/>
    <cellStyle name="40% - Accent2 2 2 2 2" xfId="1431"/>
    <cellStyle name="40% - Accent2 2 2 2 2 2" xfId="4961"/>
    <cellStyle name="40% - Accent2 2 2 2 2 2 2" xfId="8552"/>
    <cellStyle name="40% - Accent2 2 2 2 2 2 2 2" xfId="16523"/>
    <cellStyle name="40% - Accent2 2 2 2 2 2 2 3" xfId="24469"/>
    <cellStyle name="40% - Accent2 2 2 2 2 2 3" xfId="12985"/>
    <cellStyle name="40% - Accent2 2 2 2 2 2 4" xfId="20940"/>
    <cellStyle name="40% - Accent2 2 2 2 2 3" xfId="6793"/>
    <cellStyle name="40% - Accent2 2 2 2 2 3 2" xfId="14765"/>
    <cellStyle name="40% - Accent2 2 2 2 2 3 3" xfId="22712"/>
    <cellStyle name="40% - Accent2 2 2 2 2 4" xfId="11229"/>
    <cellStyle name="40% - Accent2 2 2 2 2 5" xfId="19184"/>
    <cellStyle name="40% - Accent2 2 2 2 2_Exh G" xfId="2852"/>
    <cellStyle name="40% - Accent2 2 2 2 3" xfId="4082"/>
    <cellStyle name="40% - Accent2 2 2 2 3 2" xfId="7674"/>
    <cellStyle name="40% - Accent2 2 2 2 3 2 2" xfId="15645"/>
    <cellStyle name="40% - Accent2 2 2 2 3 2 3" xfId="23591"/>
    <cellStyle name="40% - Accent2 2 2 2 3 3" xfId="12107"/>
    <cellStyle name="40% - Accent2 2 2 2 3 4" xfId="20062"/>
    <cellStyle name="40% - Accent2 2 2 2 4" xfId="5902"/>
    <cellStyle name="40% - Accent2 2 2 2 4 2" xfId="13886"/>
    <cellStyle name="40% - Accent2 2 2 2 4 3" xfId="21834"/>
    <cellStyle name="40% - Accent2 2 2 2 5" xfId="9455"/>
    <cellStyle name="40% - Accent2 2 2 2 5 2" xfId="17413"/>
    <cellStyle name="40% - Accent2 2 2 2 5 3" xfId="25357"/>
    <cellStyle name="40% - Accent2 2 2 2 6" xfId="10351"/>
    <cellStyle name="40% - Accent2 2 2 2 7" xfId="18306"/>
    <cellStyle name="40% - Accent2 2 2 2_Exh G" xfId="2851"/>
    <cellStyle name="40% - Accent2 2 2 3" xfId="948"/>
    <cellStyle name="40% - Accent2 2 2 3 2" xfId="1870"/>
    <cellStyle name="40% - Accent2 2 2 3 2 2" xfId="5388"/>
    <cellStyle name="40% - Accent2 2 2 3 2 2 2" xfId="8979"/>
    <cellStyle name="40% - Accent2 2 2 3 2 2 2 2" xfId="16950"/>
    <cellStyle name="40% - Accent2 2 2 3 2 2 2 3" xfId="24896"/>
    <cellStyle name="40% - Accent2 2 2 3 2 2 3" xfId="13412"/>
    <cellStyle name="40% - Accent2 2 2 3 2 2 4" xfId="21367"/>
    <cellStyle name="40% - Accent2 2 2 3 2 3" xfId="7220"/>
    <cellStyle name="40% - Accent2 2 2 3 2 3 2" xfId="15192"/>
    <cellStyle name="40% - Accent2 2 2 3 2 3 3" xfId="23139"/>
    <cellStyle name="40% - Accent2 2 2 3 2 4" xfId="11656"/>
    <cellStyle name="40% - Accent2 2 2 3 2 5" xfId="19611"/>
    <cellStyle name="40% - Accent2 2 2 3 2_Exh G" xfId="2854"/>
    <cellStyle name="40% - Accent2 2 2 3 3" xfId="4509"/>
    <cellStyle name="40% - Accent2 2 2 3 3 2" xfId="8101"/>
    <cellStyle name="40% - Accent2 2 2 3 3 2 2" xfId="16072"/>
    <cellStyle name="40% - Accent2 2 2 3 3 2 3" xfId="24018"/>
    <cellStyle name="40% - Accent2 2 2 3 3 3" xfId="12534"/>
    <cellStyle name="40% - Accent2 2 2 3 3 4" xfId="20489"/>
    <cellStyle name="40% - Accent2 2 2 3 4" xfId="6339"/>
    <cellStyle name="40% - Accent2 2 2 3 4 2" xfId="14314"/>
    <cellStyle name="40% - Accent2 2 2 3 4 3" xfId="22261"/>
    <cellStyle name="40% - Accent2 2 2 3 5" xfId="9882"/>
    <cellStyle name="40% - Accent2 2 2 3 5 2" xfId="17840"/>
    <cellStyle name="40% - Accent2 2 2 3 5 3" xfId="25784"/>
    <cellStyle name="40% - Accent2 2 2 3 6" xfId="10778"/>
    <cellStyle name="40% - Accent2 2 2 3 7" xfId="18733"/>
    <cellStyle name="40% - Accent2 2 2 3_Exh G" xfId="2853"/>
    <cellStyle name="40% - Accent2 2 2 4" xfId="1430"/>
    <cellStyle name="40% - Accent2 2 2 4 2" xfId="4960"/>
    <cellStyle name="40% - Accent2 2 2 4 2 2" xfId="8551"/>
    <cellStyle name="40% - Accent2 2 2 4 2 2 2" xfId="16522"/>
    <cellStyle name="40% - Accent2 2 2 4 2 2 3" xfId="24468"/>
    <cellStyle name="40% - Accent2 2 2 4 2 3" xfId="12984"/>
    <cellStyle name="40% - Accent2 2 2 4 2 4" xfId="20939"/>
    <cellStyle name="40% - Accent2 2 2 4 3" xfId="6792"/>
    <cellStyle name="40% - Accent2 2 2 4 3 2" xfId="14764"/>
    <cellStyle name="40% - Accent2 2 2 4 3 3" xfId="22711"/>
    <cellStyle name="40% - Accent2 2 2 4 4" xfId="11228"/>
    <cellStyle name="40% - Accent2 2 2 4 5" xfId="19183"/>
    <cellStyle name="40% - Accent2 2 2 4_Exh G" xfId="2855"/>
    <cellStyle name="40% - Accent2 2 2 5" xfId="4081"/>
    <cellStyle name="40% - Accent2 2 2 5 2" xfId="7673"/>
    <cellStyle name="40% - Accent2 2 2 5 2 2" xfId="15644"/>
    <cellStyle name="40% - Accent2 2 2 5 2 3" xfId="23590"/>
    <cellStyle name="40% - Accent2 2 2 5 3" xfId="12106"/>
    <cellStyle name="40% - Accent2 2 2 5 4" xfId="20061"/>
    <cellStyle name="40% - Accent2 2 2 6" xfId="5901"/>
    <cellStyle name="40% - Accent2 2 2 6 2" xfId="13885"/>
    <cellStyle name="40% - Accent2 2 2 6 3" xfId="21833"/>
    <cellStyle name="40% - Accent2 2 2 7" xfId="9454"/>
    <cellStyle name="40% - Accent2 2 2 7 2" xfId="17412"/>
    <cellStyle name="40% - Accent2 2 2 7 3" xfId="25356"/>
    <cellStyle name="40% - Accent2 2 2 8" xfId="10350"/>
    <cellStyle name="40% - Accent2 2 2 9" xfId="18305"/>
    <cellStyle name="40% - Accent2 2 2_Exh G" xfId="2850"/>
    <cellStyle name="40% - Accent2 2 3" xfId="404"/>
    <cellStyle name="40% - Accent2 2 3 2" xfId="1432"/>
    <cellStyle name="40% - Accent2 2 3 2 2" xfId="4962"/>
    <cellStyle name="40% - Accent2 2 3 2 2 2" xfId="8553"/>
    <cellStyle name="40% - Accent2 2 3 2 2 2 2" xfId="16524"/>
    <cellStyle name="40% - Accent2 2 3 2 2 2 3" xfId="24470"/>
    <cellStyle name="40% - Accent2 2 3 2 2 3" xfId="12986"/>
    <cellStyle name="40% - Accent2 2 3 2 2 4" xfId="20941"/>
    <cellStyle name="40% - Accent2 2 3 2 3" xfId="6794"/>
    <cellStyle name="40% - Accent2 2 3 2 3 2" xfId="14766"/>
    <cellStyle name="40% - Accent2 2 3 2 3 3" xfId="22713"/>
    <cellStyle name="40% - Accent2 2 3 2 4" xfId="11230"/>
    <cellStyle name="40% - Accent2 2 3 2 5" xfId="19185"/>
    <cellStyle name="40% - Accent2 2 3 2_Exh G" xfId="2857"/>
    <cellStyle name="40% - Accent2 2 3 3" xfId="4083"/>
    <cellStyle name="40% - Accent2 2 3 3 2" xfId="7675"/>
    <cellStyle name="40% - Accent2 2 3 3 2 2" xfId="15646"/>
    <cellStyle name="40% - Accent2 2 3 3 2 3" xfId="23592"/>
    <cellStyle name="40% - Accent2 2 3 3 3" xfId="12108"/>
    <cellStyle name="40% - Accent2 2 3 3 4" xfId="20063"/>
    <cellStyle name="40% - Accent2 2 3 4" xfId="5903"/>
    <cellStyle name="40% - Accent2 2 3 4 2" xfId="13887"/>
    <cellStyle name="40% - Accent2 2 3 4 3" xfId="21835"/>
    <cellStyle name="40% - Accent2 2 3 5" xfId="9456"/>
    <cellStyle name="40% - Accent2 2 3 5 2" xfId="17414"/>
    <cellStyle name="40% - Accent2 2 3 5 3" xfId="25358"/>
    <cellStyle name="40% - Accent2 2 3 6" xfId="10352"/>
    <cellStyle name="40% - Accent2 2 3 7" xfId="18307"/>
    <cellStyle name="40% - Accent2 2 3_Exh G" xfId="2856"/>
    <cellStyle name="40% - Accent2 2 4" xfId="947"/>
    <cellStyle name="40% - Accent2 2 4 2" xfId="1869"/>
    <cellStyle name="40% - Accent2 2 4 2 2" xfId="5387"/>
    <cellStyle name="40% - Accent2 2 4 2 2 2" xfId="8978"/>
    <cellStyle name="40% - Accent2 2 4 2 2 2 2" xfId="16949"/>
    <cellStyle name="40% - Accent2 2 4 2 2 2 3" xfId="24895"/>
    <cellStyle name="40% - Accent2 2 4 2 2 3" xfId="13411"/>
    <cellStyle name="40% - Accent2 2 4 2 2 4" xfId="21366"/>
    <cellStyle name="40% - Accent2 2 4 2 3" xfId="7219"/>
    <cellStyle name="40% - Accent2 2 4 2 3 2" xfId="15191"/>
    <cellStyle name="40% - Accent2 2 4 2 3 3" xfId="23138"/>
    <cellStyle name="40% - Accent2 2 4 2 4" xfId="11655"/>
    <cellStyle name="40% - Accent2 2 4 2 5" xfId="19610"/>
    <cellStyle name="40% - Accent2 2 4 2_Exh G" xfId="2859"/>
    <cellStyle name="40% - Accent2 2 4 3" xfId="4508"/>
    <cellStyle name="40% - Accent2 2 4 3 2" xfId="8100"/>
    <cellStyle name="40% - Accent2 2 4 3 2 2" xfId="16071"/>
    <cellStyle name="40% - Accent2 2 4 3 2 3" xfId="24017"/>
    <cellStyle name="40% - Accent2 2 4 3 3" xfId="12533"/>
    <cellStyle name="40% - Accent2 2 4 3 4" xfId="20488"/>
    <cellStyle name="40% - Accent2 2 4 4" xfId="6338"/>
    <cellStyle name="40% - Accent2 2 4 4 2" xfId="14313"/>
    <cellStyle name="40% - Accent2 2 4 4 3" xfId="22260"/>
    <cellStyle name="40% - Accent2 2 4 5" xfId="9881"/>
    <cellStyle name="40% - Accent2 2 4 5 2" xfId="17839"/>
    <cellStyle name="40% - Accent2 2 4 5 3" xfId="25783"/>
    <cellStyle name="40% - Accent2 2 4 6" xfId="10777"/>
    <cellStyle name="40% - Accent2 2 4 7" xfId="18732"/>
    <cellStyle name="40% - Accent2 2 4_Exh G" xfId="2858"/>
    <cellStyle name="40% - Accent2 2 5" xfId="1429"/>
    <cellStyle name="40% - Accent2 2 5 2" xfId="4959"/>
    <cellStyle name="40% - Accent2 2 5 2 2" xfId="8550"/>
    <cellStyle name="40% - Accent2 2 5 2 2 2" xfId="16521"/>
    <cellStyle name="40% - Accent2 2 5 2 2 3" xfId="24467"/>
    <cellStyle name="40% - Accent2 2 5 2 3" xfId="12983"/>
    <cellStyle name="40% - Accent2 2 5 2 4" xfId="20938"/>
    <cellStyle name="40% - Accent2 2 5 3" xfId="6791"/>
    <cellStyle name="40% - Accent2 2 5 3 2" xfId="14763"/>
    <cellStyle name="40% - Accent2 2 5 3 3" xfId="22710"/>
    <cellStyle name="40% - Accent2 2 5 4" xfId="11227"/>
    <cellStyle name="40% - Accent2 2 5 5" xfId="19182"/>
    <cellStyle name="40% - Accent2 2 5_Exh G" xfId="2860"/>
    <cellStyle name="40% - Accent2 2 6" xfId="4080"/>
    <cellStyle name="40% - Accent2 2 6 2" xfId="7672"/>
    <cellStyle name="40% - Accent2 2 6 2 2" xfId="15643"/>
    <cellStyle name="40% - Accent2 2 6 2 3" xfId="23589"/>
    <cellStyle name="40% - Accent2 2 6 3" xfId="12105"/>
    <cellStyle name="40% - Accent2 2 6 4" xfId="20060"/>
    <cellStyle name="40% - Accent2 2 7" xfId="5900"/>
    <cellStyle name="40% - Accent2 2 7 2" xfId="13884"/>
    <cellStyle name="40% - Accent2 2 7 3" xfId="21832"/>
    <cellStyle name="40% - Accent2 2 8" xfId="9453"/>
    <cellStyle name="40% - Accent2 2 8 2" xfId="17411"/>
    <cellStyle name="40% - Accent2 2 8 3" xfId="25355"/>
    <cellStyle name="40% - Accent2 2 9" xfId="10349"/>
    <cellStyle name="40% - Accent2 2_Exh G" xfId="2849"/>
    <cellStyle name="40% - Accent2 3" xfId="405"/>
    <cellStyle name="40% - Accent2 3 10" xfId="18308"/>
    <cellStyle name="40% - Accent2 3 2" xfId="406"/>
    <cellStyle name="40% - Accent2 3 2 2" xfId="407"/>
    <cellStyle name="40% - Accent2 3 2 2 2" xfId="1435"/>
    <cellStyle name="40% - Accent2 3 2 2 2 2" xfId="4965"/>
    <cellStyle name="40% - Accent2 3 2 2 2 2 2" xfId="8556"/>
    <cellStyle name="40% - Accent2 3 2 2 2 2 2 2" xfId="16527"/>
    <cellStyle name="40% - Accent2 3 2 2 2 2 2 3" xfId="24473"/>
    <cellStyle name="40% - Accent2 3 2 2 2 2 3" xfId="12989"/>
    <cellStyle name="40% - Accent2 3 2 2 2 2 4" xfId="20944"/>
    <cellStyle name="40% - Accent2 3 2 2 2 3" xfId="6797"/>
    <cellStyle name="40% - Accent2 3 2 2 2 3 2" xfId="14769"/>
    <cellStyle name="40% - Accent2 3 2 2 2 3 3" xfId="22716"/>
    <cellStyle name="40% - Accent2 3 2 2 2 4" xfId="11233"/>
    <cellStyle name="40% - Accent2 3 2 2 2 5" xfId="19188"/>
    <cellStyle name="40% - Accent2 3 2 2 2_Exh G" xfId="2864"/>
    <cellStyle name="40% - Accent2 3 2 2 3" xfId="4086"/>
    <cellStyle name="40% - Accent2 3 2 2 3 2" xfId="7678"/>
    <cellStyle name="40% - Accent2 3 2 2 3 2 2" xfId="15649"/>
    <cellStyle name="40% - Accent2 3 2 2 3 2 3" xfId="23595"/>
    <cellStyle name="40% - Accent2 3 2 2 3 3" xfId="12111"/>
    <cellStyle name="40% - Accent2 3 2 2 3 4" xfId="20066"/>
    <cellStyle name="40% - Accent2 3 2 2 4" xfId="5906"/>
    <cellStyle name="40% - Accent2 3 2 2 4 2" xfId="13890"/>
    <cellStyle name="40% - Accent2 3 2 2 4 3" xfId="21838"/>
    <cellStyle name="40% - Accent2 3 2 2 5" xfId="9459"/>
    <cellStyle name="40% - Accent2 3 2 2 5 2" xfId="17417"/>
    <cellStyle name="40% - Accent2 3 2 2 5 3" xfId="25361"/>
    <cellStyle name="40% - Accent2 3 2 2 6" xfId="10355"/>
    <cellStyle name="40% - Accent2 3 2 2 7" xfId="18310"/>
    <cellStyle name="40% - Accent2 3 2 2_Exh G" xfId="2863"/>
    <cellStyle name="40% - Accent2 3 2 3" xfId="950"/>
    <cellStyle name="40% - Accent2 3 2 3 2" xfId="1872"/>
    <cellStyle name="40% - Accent2 3 2 3 2 2" xfId="5390"/>
    <cellStyle name="40% - Accent2 3 2 3 2 2 2" xfId="8981"/>
    <cellStyle name="40% - Accent2 3 2 3 2 2 2 2" xfId="16952"/>
    <cellStyle name="40% - Accent2 3 2 3 2 2 2 3" xfId="24898"/>
    <cellStyle name="40% - Accent2 3 2 3 2 2 3" xfId="13414"/>
    <cellStyle name="40% - Accent2 3 2 3 2 2 4" xfId="21369"/>
    <cellStyle name="40% - Accent2 3 2 3 2 3" xfId="7222"/>
    <cellStyle name="40% - Accent2 3 2 3 2 3 2" xfId="15194"/>
    <cellStyle name="40% - Accent2 3 2 3 2 3 3" xfId="23141"/>
    <cellStyle name="40% - Accent2 3 2 3 2 4" xfId="11658"/>
    <cellStyle name="40% - Accent2 3 2 3 2 5" xfId="19613"/>
    <cellStyle name="40% - Accent2 3 2 3 2_Exh G" xfId="2866"/>
    <cellStyle name="40% - Accent2 3 2 3 3" xfId="4511"/>
    <cellStyle name="40% - Accent2 3 2 3 3 2" xfId="8103"/>
    <cellStyle name="40% - Accent2 3 2 3 3 2 2" xfId="16074"/>
    <cellStyle name="40% - Accent2 3 2 3 3 2 3" xfId="24020"/>
    <cellStyle name="40% - Accent2 3 2 3 3 3" xfId="12536"/>
    <cellStyle name="40% - Accent2 3 2 3 3 4" xfId="20491"/>
    <cellStyle name="40% - Accent2 3 2 3 4" xfId="6341"/>
    <cellStyle name="40% - Accent2 3 2 3 4 2" xfId="14316"/>
    <cellStyle name="40% - Accent2 3 2 3 4 3" xfId="22263"/>
    <cellStyle name="40% - Accent2 3 2 3 5" xfId="9884"/>
    <cellStyle name="40% - Accent2 3 2 3 5 2" xfId="17842"/>
    <cellStyle name="40% - Accent2 3 2 3 5 3" xfId="25786"/>
    <cellStyle name="40% - Accent2 3 2 3 6" xfId="10780"/>
    <cellStyle name="40% - Accent2 3 2 3 7" xfId="18735"/>
    <cellStyle name="40% - Accent2 3 2 3_Exh G" xfId="2865"/>
    <cellStyle name="40% - Accent2 3 2 4" xfId="1434"/>
    <cellStyle name="40% - Accent2 3 2 4 2" xfId="4964"/>
    <cellStyle name="40% - Accent2 3 2 4 2 2" xfId="8555"/>
    <cellStyle name="40% - Accent2 3 2 4 2 2 2" xfId="16526"/>
    <cellStyle name="40% - Accent2 3 2 4 2 2 3" xfId="24472"/>
    <cellStyle name="40% - Accent2 3 2 4 2 3" xfId="12988"/>
    <cellStyle name="40% - Accent2 3 2 4 2 4" xfId="20943"/>
    <cellStyle name="40% - Accent2 3 2 4 3" xfId="6796"/>
    <cellStyle name="40% - Accent2 3 2 4 3 2" xfId="14768"/>
    <cellStyle name="40% - Accent2 3 2 4 3 3" xfId="22715"/>
    <cellStyle name="40% - Accent2 3 2 4 4" xfId="11232"/>
    <cellStyle name="40% - Accent2 3 2 4 5" xfId="19187"/>
    <cellStyle name="40% - Accent2 3 2 4_Exh G" xfId="2867"/>
    <cellStyle name="40% - Accent2 3 2 5" xfId="4085"/>
    <cellStyle name="40% - Accent2 3 2 5 2" xfId="7677"/>
    <cellStyle name="40% - Accent2 3 2 5 2 2" xfId="15648"/>
    <cellStyle name="40% - Accent2 3 2 5 2 3" xfId="23594"/>
    <cellStyle name="40% - Accent2 3 2 5 3" xfId="12110"/>
    <cellStyle name="40% - Accent2 3 2 5 4" xfId="20065"/>
    <cellStyle name="40% - Accent2 3 2 6" xfId="5905"/>
    <cellStyle name="40% - Accent2 3 2 6 2" xfId="13889"/>
    <cellStyle name="40% - Accent2 3 2 6 3" xfId="21837"/>
    <cellStyle name="40% - Accent2 3 2 7" xfId="9458"/>
    <cellStyle name="40% - Accent2 3 2 7 2" xfId="17416"/>
    <cellStyle name="40% - Accent2 3 2 7 3" xfId="25360"/>
    <cellStyle name="40% - Accent2 3 2 8" xfId="10354"/>
    <cellStyle name="40% - Accent2 3 2 9" xfId="18309"/>
    <cellStyle name="40% - Accent2 3 2_Exh G" xfId="2862"/>
    <cellStyle name="40% - Accent2 3 3" xfId="408"/>
    <cellStyle name="40% - Accent2 3 3 2" xfId="1436"/>
    <cellStyle name="40% - Accent2 3 3 2 2" xfId="4966"/>
    <cellStyle name="40% - Accent2 3 3 2 2 2" xfId="8557"/>
    <cellStyle name="40% - Accent2 3 3 2 2 2 2" xfId="16528"/>
    <cellStyle name="40% - Accent2 3 3 2 2 2 3" xfId="24474"/>
    <cellStyle name="40% - Accent2 3 3 2 2 3" xfId="12990"/>
    <cellStyle name="40% - Accent2 3 3 2 2 4" xfId="20945"/>
    <cellStyle name="40% - Accent2 3 3 2 3" xfId="6798"/>
    <cellStyle name="40% - Accent2 3 3 2 3 2" xfId="14770"/>
    <cellStyle name="40% - Accent2 3 3 2 3 3" xfId="22717"/>
    <cellStyle name="40% - Accent2 3 3 2 4" xfId="11234"/>
    <cellStyle name="40% - Accent2 3 3 2 5" xfId="19189"/>
    <cellStyle name="40% - Accent2 3 3 2_Exh G" xfId="2869"/>
    <cellStyle name="40% - Accent2 3 3 3" xfId="4087"/>
    <cellStyle name="40% - Accent2 3 3 3 2" xfId="7679"/>
    <cellStyle name="40% - Accent2 3 3 3 2 2" xfId="15650"/>
    <cellStyle name="40% - Accent2 3 3 3 2 3" xfId="23596"/>
    <cellStyle name="40% - Accent2 3 3 3 3" xfId="12112"/>
    <cellStyle name="40% - Accent2 3 3 3 4" xfId="20067"/>
    <cellStyle name="40% - Accent2 3 3 4" xfId="5907"/>
    <cellStyle name="40% - Accent2 3 3 4 2" xfId="13891"/>
    <cellStyle name="40% - Accent2 3 3 4 3" xfId="21839"/>
    <cellStyle name="40% - Accent2 3 3 5" xfId="9460"/>
    <cellStyle name="40% - Accent2 3 3 5 2" xfId="17418"/>
    <cellStyle name="40% - Accent2 3 3 5 3" xfId="25362"/>
    <cellStyle name="40% - Accent2 3 3 6" xfId="10356"/>
    <cellStyle name="40% - Accent2 3 3 7" xfId="18311"/>
    <cellStyle name="40% - Accent2 3 3_Exh G" xfId="2868"/>
    <cellStyle name="40% - Accent2 3 4" xfId="949"/>
    <cellStyle name="40% - Accent2 3 4 2" xfId="1871"/>
    <cellStyle name="40% - Accent2 3 4 2 2" xfId="5389"/>
    <cellStyle name="40% - Accent2 3 4 2 2 2" xfId="8980"/>
    <cellStyle name="40% - Accent2 3 4 2 2 2 2" xfId="16951"/>
    <cellStyle name="40% - Accent2 3 4 2 2 2 3" xfId="24897"/>
    <cellStyle name="40% - Accent2 3 4 2 2 3" xfId="13413"/>
    <cellStyle name="40% - Accent2 3 4 2 2 4" xfId="21368"/>
    <cellStyle name="40% - Accent2 3 4 2 3" xfId="7221"/>
    <cellStyle name="40% - Accent2 3 4 2 3 2" xfId="15193"/>
    <cellStyle name="40% - Accent2 3 4 2 3 3" xfId="23140"/>
    <cellStyle name="40% - Accent2 3 4 2 4" xfId="11657"/>
    <cellStyle name="40% - Accent2 3 4 2 5" xfId="19612"/>
    <cellStyle name="40% - Accent2 3 4 2_Exh G" xfId="2871"/>
    <cellStyle name="40% - Accent2 3 4 3" xfId="4510"/>
    <cellStyle name="40% - Accent2 3 4 3 2" xfId="8102"/>
    <cellStyle name="40% - Accent2 3 4 3 2 2" xfId="16073"/>
    <cellStyle name="40% - Accent2 3 4 3 2 3" xfId="24019"/>
    <cellStyle name="40% - Accent2 3 4 3 3" xfId="12535"/>
    <cellStyle name="40% - Accent2 3 4 3 4" xfId="20490"/>
    <cellStyle name="40% - Accent2 3 4 4" xfId="6340"/>
    <cellStyle name="40% - Accent2 3 4 4 2" xfId="14315"/>
    <cellStyle name="40% - Accent2 3 4 4 3" xfId="22262"/>
    <cellStyle name="40% - Accent2 3 4 5" xfId="9883"/>
    <cellStyle name="40% - Accent2 3 4 5 2" xfId="17841"/>
    <cellStyle name="40% - Accent2 3 4 5 3" xfId="25785"/>
    <cellStyle name="40% - Accent2 3 4 6" xfId="10779"/>
    <cellStyle name="40% - Accent2 3 4 7" xfId="18734"/>
    <cellStyle name="40% - Accent2 3 4_Exh G" xfId="2870"/>
    <cellStyle name="40% - Accent2 3 5" xfId="1433"/>
    <cellStyle name="40% - Accent2 3 5 2" xfId="4963"/>
    <cellStyle name="40% - Accent2 3 5 2 2" xfId="8554"/>
    <cellStyle name="40% - Accent2 3 5 2 2 2" xfId="16525"/>
    <cellStyle name="40% - Accent2 3 5 2 2 3" xfId="24471"/>
    <cellStyle name="40% - Accent2 3 5 2 3" xfId="12987"/>
    <cellStyle name="40% - Accent2 3 5 2 4" xfId="20942"/>
    <cellStyle name="40% - Accent2 3 5 3" xfId="6795"/>
    <cellStyle name="40% - Accent2 3 5 3 2" xfId="14767"/>
    <cellStyle name="40% - Accent2 3 5 3 3" xfId="22714"/>
    <cellStyle name="40% - Accent2 3 5 4" xfId="11231"/>
    <cellStyle name="40% - Accent2 3 5 5" xfId="19186"/>
    <cellStyle name="40% - Accent2 3 5_Exh G" xfId="2872"/>
    <cellStyle name="40% - Accent2 3 6" xfId="4084"/>
    <cellStyle name="40% - Accent2 3 6 2" xfId="7676"/>
    <cellStyle name="40% - Accent2 3 6 2 2" xfId="15647"/>
    <cellStyle name="40% - Accent2 3 6 2 3" xfId="23593"/>
    <cellStyle name="40% - Accent2 3 6 3" xfId="12109"/>
    <cellStyle name="40% - Accent2 3 6 4" xfId="20064"/>
    <cellStyle name="40% - Accent2 3 7" xfId="5904"/>
    <cellStyle name="40% - Accent2 3 7 2" xfId="13888"/>
    <cellStyle name="40% - Accent2 3 7 3" xfId="21836"/>
    <cellStyle name="40% - Accent2 3 8" xfId="9457"/>
    <cellStyle name="40% - Accent2 3 8 2" xfId="17415"/>
    <cellStyle name="40% - Accent2 3 8 3" xfId="25359"/>
    <cellStyle name="40% - Accent2 3 9" xfId="10353"/>
    <cellStyle name="40% - Accent2 3_Exh G" xfId="2861"/>
    <cellStyle name="40% - Accent2 4" xfId="409"/>
    <cellStyle name="40% - Accent2 4 10" xfId="18312"/>
    <cellStyle name="40% - Accent2 4 2" xfId="410"/>
    <cellStyle name="40% - Accent2 4 2 2" xfId="411"/>
    <cellStyle name="40% - Accent2 4 2 2 2" xfId="1439"/>
    <cellStyle name="40% - Accent2 4 2 2 2 2" xfId="4969"/>
    <cellStyle name="40% - Accent2 4 2 2 2 2 2" xfId="8560"/>
    <cellStyle name="40% - Accent2 4 2 2 2 2 2 2" xfId="16531"/>
    <cellStyle name="40% - Accent2 4 2 2 2 2 2 3" xfId="24477"/>
    <cellStyle name="40% - Accent2 4 2 2 2 2 3" xfId="12993"/>
    <cellStyle name="40% - Accent2 4 2 2 2 2 4" xfId="20948"/>
    <cellStyle name="40% - Accent2 4 2 2 2 3" xfId="6801"/>
    <cellStyle name="40% - Accent2 4 2 2 2 3 2" xfId="14773"/>
    <cellStyle name="40% - Accent2 4 2 2 2 3 3" xfId="22720"/>
    <cellStyle name="40% - Accent2 4 2 2 2 4" xfId="11237"/>
    <cellStyle name="40% - Accent2 4 2 2 2 5" xfId="19192"/>
    <cellStyle name="40% - Accent2 4 2 2 2_Exh G" xfId="2876"/>
    <cellStyle name="40% - Accent2 4 2 2 3" xfId="4090"/>
    <cellStyle name="40% - Accent2 4 2 2 3 2" xfId="7682"/>
    <cellStyle name="40% - Accent2 4 2 2 3 2 2" xfId="15653"/>
    <cellStyle name="40% - Accent2 4 2 2 3 2 3" xfId="23599"/>
    <cellStyle name="40% - Accent2 4 2 2 3 3" xfId="12115"/>
    <cellStyle name="40% - Accent2 4 2 2 3 4" xfId="20070"/>
    <cellStyle name="40% - Accent2 4 2 2 4" xfId="5910"/>
    <cellStyle name="40% - Accent2 4 2 2 4 2" xfId="13894"/>
    <cellStyle name="40% - Accent2 4 2 2 4 3" xfId="21842"/>
    <cellStyle name="40% - Accent2 4 2 2 5" xfId="9463"/>
    <cellStyle name="40% - Accent2 4 2 2 5 2" xfId="17421"/>
    <cellStyle name="40% - Accent2 4 2 2 5 3" xfId="25365"/>
    <cellStyle name="40% - Accent2 4 2 2 6" xfId="10359"/>
    <cellStyle name="40% - Accent2 4 2 2 7" xfId="18314"/>
    <cellStyle name="40% - Accent2 4 2 2_Exh G" xfId="2875"/>
    <cellStyle name="40% - Accent2 4 2 3" xfId="952"/>
    <cellStyle name="40% - Accent2 4 2 3 2" xfId="1874"/>
    <cellStyle name="40% - Accent2 4 2 3 2 2" xfId="5392"/>
    <cellStyle name="40% - Accent2 4 2 3 2 2 2" xfId="8983"/>
    <cellStyle name="40% - Accent2 4 2 3 2 2 2 2" xfId="16954"/>
    <cellStyle name="40% - Accent2 4 2 3 2 2 2 3" xfId="24900"/>
    <cellStyle name="40% - Accent2 4 2 3 2 2 3" xfId="13416"/>
    <cellStyle name="40% - Accent2 4 2 3 2 2 4" xfId="21371"/>
    <cellStyle name="40% - Accent2 4 2 3 2 3" xfId="7224"/>
    <cellStyle name="40% - Accent2 4 2 3 2 3 2" xfId="15196"/>
    <cellStyle name="40% - Accent2 4 2 3 2 3 3" xfId="23143"/>
    <cellStyle name="40% - Accent2 4 2 3 2 4" xfId="11660"/>
    <cellStyle name="40% - Accent2 4 2 3 2 5" xfId="19615"/>
    <cellStyle name="40% - Accent2 4 2 3 2_Exh G" xfId="2878"/>
    <cellStyle name="40% - Accent2 4 2 3 3" xfId="4513"/>
    <cellStyle name="40% - Accent2 4 2 3 3 2" xfId="8105"/>
    <cellStyle name="40% - Accent2 4 2 3 3 2 2" xfId="16076"/>
    <cellStyle name="40% - Accent2 4 2 3 3 2 3" xfId="24022"/>
    <cellStyle name="40% - Accent2 4 2 3 3 3" xfId="12538"/>
    <cellStyle name="40% - Accent2 4 2 3 3 4" xfId="20493"/>
    <cellStyle name="40% - Accent2 4 2 3 4" xfId="6343"/>
    <cellStyle name="40% - Accent2 4 2 3 4 2" xfId="14318"/>
    <cellStyle name="40% - Accent2 4 2 3 4 3" xfId="22265"/>
    <cellStyle name="40% - Accent2 4 2 3 5" xfId="9886"/>
    <cellStyle name="40% - Accent2 4 2 3 5 2" xfId="17844"/>
    <cellStyle name="40% - Accent2 4 2 3 5 3" xfId="25788"/>
    <cellStyle name="40% - Accent2 4 2 3 6" xfId="10782"/>
    <cellStyle name="40% - Accent2 4 2 3 7" xfId="18737"/>
    <cellStyle name="40% - Accent2 4 2 3_Exh G" xfId="2877"/>
    <cellStyle name="40% - Accent2 4 2 4" xfId="1438"/>
    <cellStyle name="40% - Accent2 4 2 4 2" xfId="4968"/>
    <cellStyle name="40% - Accent2 4 2 4 2 2" xfId="8559"/>
    <cellStyle name="40% - Accent2 4 2 4 2 2 2" xfId="16530"/>
    <cellStyle name="40% - Accent2 4 2 4 2 2 3" xfId="24476"/>
    <cellStyle name="40% - Accent2 4 2 4 2 3" xfId="12992"/>
    <cellStyle name="40% - Accent2 4 2 4 2 4" xfId="20947"/>
    <cellStyle name="40% - Accent2 4 2 4 3" xfId="6800"/>
    <cellStyle name="40% - Accent2 4 2 4 3 2" xfId="14772"/>
    <cellStyle name="40% - Accent2 4 2 4 3 3" xfId="22719"/>
    <cellStyle name="40% - Accent2 4 2 4 4" xfId="11236"/>
    <cellStyle name="40% - Accent2 4 2 4 5" xfId="19191"/>
    <cellStyle name="40% - Accent2 4 2 4_Exh G" xfId="2879"/>
    <cellStyle name="40% - Accent2 4 2 5" xfId="4089"/>
    <cellStyle name="40% - Accent2 4 2 5 2" xfId="7681"/>
    <cellStyle name="40% - Accent2 4 2 5 2 2" xfId="15652"/>
    <cellStyle name="40% - Accent2 4 2 5 2 3" xfId="23598"/>
    <cellStyle name="40% - Accent2 4 2 5 3" xfId="12114"/>
    <cellStyle name="40% - Accent2 4 2 5 4" xfId="20069"/>
    <cellStyle name="40% - Accent2 4 2 6" xfId="5909"/>
    <cellStyle name="40% - Accent2 4 2 6 2" xfId="13893"/>
    <cellStyle name="40% - Accent2 4 2 6 3" xfId="21841"/>
    <cellStyle name="40% - Accent2 4 2 7" xfId="9462"/>
    <cellStyle name="40% - Accent2 4 2 7 2" xfId="17420"/>
    <cellStyle name="40% - Accent2 4 2 7 3" xfId="25364"/>
    <cellStyle name="40% - Accent2 4 2 8" xfId="10358"/>
    <cellStyle name="40% - Accent2 4 2 9" xfId="18313"/>
    <cellStyle name="40% - Accent2 4 2_Exh G" xfId="2874"/>
    <cellStyle name="40% - Accent2 4 3" xfId="412"/>
    <cellStyle name="40% - Accent2 4 3 2" xfId="1440"/>
    <cellStyle name="40% - Accent2 4 3 2 2" xfId="4970"/>
    <cellStyle name="40% - Accent2 4 3 2 2 2" xfId="8561"/>
    <cellStyle name="40% - Accent2 4 3 2 2 2 2" xfId="16532"/>
    <cellStyle name="40% - Accent2 4 3 2 2 2 3" xfId="24478"/>
    <cellStyle name="40% - Accent2 4 3 2 2 3" xfId="12994"/>
    <cellStyle name="40% - Accent2 4 3 2 2 4" xfId="20949"/>
    <cellStyle name="40% - Accent2 4 3 2 3" xfId="6802"/>
    <cellStyle name="40% - Accent2 4 3 2 3 2" xfId="14774"/>
    <cellStyle name="40% - Accent2 4 3 2 3 3" xfId="22721"/>
    <cellStyle name="40% - Accent2 4 3 2 4" xfId="11238"/>
    <cellStyle name="40% - Accent2 4 3 2 5" xfId="19193"/>
    <cellStyle name="40% - Accent2 4 3 2_Exh G" xfId="2881"/>
    <cellStyle name="40% - Accent2 4 3 3" xfId="4091"/>
    <cellStyle name="40% - Accent2 4 3 3 2" xfId="7683"/>
    <cellStyle name="40% - Accent2 4 3 3 2 2" xfId="15654"/>
    <cellStyle name="40% - Accent2 4 3 3 2 3" xfId="23600"/>
    <cellStyle name="40% - Accent2 4 3 3 3" xfId="12116"/>
    <cellStyle name="40% - Accent2 4 3 3 4" xfId="20071"/>
    <cellStyle name="40% - Accent2 4 3 4" xfId="5911"/>
    <cellStyle name="40% - Accent2 4 3 4 2" xfId="13895"/>
    <cellStyle name="40% - Accent2 4 3 4 3" xfId="21843"/>
    <cellStyle name="40% - Accent2 4 3 5" xfId="9464"/>
    <cellStyle name="40% - Accent2 4 3 5 2" xfId="17422"/>
    <cellStyle name="40% - Accent2 4 3 5 3" xfId="25366"/>
    <cellStyle name="40% - Accent2 4 3 6" xfId="10360"/>
    <cellStyle name="40% - Accent2 4 3 7" xfId="18315"/>
    <cellStyle name="40% - Accent2 4 3_Exh G" xfId="2880"/>
    <cellStyle name="40% - Accent2 4 4" xfId="951"/>
    <cellStyle name="40% - Accent2 4 4 2" xfId="1873"/>
    <cellStyle name="40% - Accent2 4 4 2 2" xfId="5391"/>
    <cellStyle name="40% - Accent2 4 4 2 2 2" xfId="8982"/>
    <cellStyle name="40% - Accent2 4 4 2 2 2 2" xfId="16953"/>
    <cellStyle name="40% - Accent2 4 4 2 2 2 3" xfId="24899"/>
    <cellStyle name="40% - Accent2 4 4 2 2 3" xfId="13415"/>
    <cellStyle name="40% - Accent2 4 4 2 2 4" xfId="21370"/>
    <cellStyle name="40% - Accent2 4 4 2 3" xfId="7223"/>
    <cellStyle name="40% - Accent2 4 4 2 3 2" xfId="15195"/>
    <cellStyle name="40% - Accent2 4 4 2 3 3" xfId="23142"/>
    <cellStyle name="40% - Accent2 4 4 2 4" xfId="11659"/>
    <cellStyle name="40% - Accent2 4 4 2 5" xfId="19614"/>
    <cellStyle name="40% - Accent2 4 4 2_Exh G" xfId="2883"/>
    <cellStyle name="40% - Accent2 4 4 3" xfId="4512"/>
    <cellStyle name="40% - Accent2 4 4 3 2" xfId="8104"/>
    <cellStyle name="40% - Accent2 4 4 3 2 2" xfId="16075"/>
    <cellStyle name="40% - Accent2 4 4 3 2 3" xfId="24021"/>
    <cellStyle name="40% - Accent2 4 4 3 3" xfId="12537"/>
    <cellStyle name="40% - Accent2 4 4 3 4" xfId="20492"/>
    <cellStyle name="40% - Accent2 4 4 4" xfId="6342"/>
    <cellStyle name="40% - Accent2 4 4 4 2" xfId="14317"/>
    <cellStyle name="40% - Accent2 4 4 4 3" xfId="22264"/>
    <cellStyle name="40% - Accent2 4 4 5" xfId="9885"/>
    <cellStyle name="40% - Accent2 4 4 5 2" xfId="17843"/>
    <cellStyle name="40% - Accent2 4 4 5 3" xfId="25787"/>
    <cellStyle name="40% - Accent2 4 4 6" xfId="10781"/>
    <cellStyle name="40% - Accent2 4 4 7" xfId="18736"/>
    <cellStyle name="40% - Accent2 4 4_Exh G" xfId="2882"/>
    <cellStyle name="40% - Accent2 4 5" xfId="1437"/>
    <cellStyle name="40% - Accent2 4 5 2" xfId="4967"/>
    <cellStyle name="40% - Accent2 4 5 2 2" xfId="8558"/>
    <cellStyle name="40% - Accent2 4 5 2 2 2" xfId="16529"/>
    <cellStyle name="40% - Accent2 4 5 2 2 3" xfId="24475"/>
    <cellStyle name="40% - Accent2 4 5 2 3" xfId="12991"/>
    <cellStyle name="40% - Accent2 4 5 2 4" xfId="20946"/>
    <cellStyle name="40% - Accent2 4 5 3" xfId="6799"/>
    <cellStyle name="40% - Accent2 4 5 3 2" xfId="14771"/>
    <cellStyle name="40% - Accent2 4 5 3 3" xfId="22718"/>
    <cellStyle name="40% - Accent2 4 5 4" xfId="11235"/>
    <cellStyle name="40% - Accent2 4 5 5" xfId="19190"/>
    <cellStyle name="40% - Accent2 4 5_Exh G" xfId="2884"/>
    <cellStyle name="40% - Accent2 4 6" xfId="4088"/>
    <cellStyle name="40% - Accent2 4 6 2" xfId="7680"/>
    <cellStyle name="40% - Accent2 4 6 2 2" xfId="15651"/>
    <cellStyle name="40% - Accent2 4 6 2 3" xfId="23597"/>
    <cellStyle name="40% - Accent2 4 6 3" xfId="12113"/>
    <cellStyle name="40% - Accent2 4 6 4" xfId="20068"/>
    <cellStyle name="40% - Accent2 4 7" xfId="5908"/>
    <cellStyle name="40% - Accent2 4 7 2" xfId="13892"/>
    <cellStyle name="40% - Accent2 4 7 3" xfId="21840"/>
    <cellStyle name="40% - Accent2 4 8" xfId="9461"/>
    <cellStyle name="40% - Accent2 4 8 2" xfId="17419"/>
    <cellStyle name="40% - Accent2 4 8 3" xfId="25363"/>
    <cellStyle name="40% - Accent2 4 9" xfId="10357"/>
    <cellStyle name="40% - Accent2 4_Exh G" xfId="2873"/>
    <cellStyle name="40% - Accent2 5" xfId="413"/>
    <cellStyle name="40% - Accent2 5 10" xfId="18316"/>
    <cellStyle name="40% - Accent2 5 2" xfId="414"/>
    <cellStyle name="40% - Accent2 5 2 2" xfId="415"/>
    <cellStyle name="40% - Accent2 5 2 2 2" xfId="1443"/>
    <cellStyle name="40% - Accent2 5 2 2 2 2" xfId="4973"/>
    <cellStyle name="40% - Accent2 5 2 2 2 2 2" xfId="8564"/>
    <cellStyle name="40% - Accent2 5 2 2 2 2 2 2" xfId="16535"/>
    <cellStyle name="40% - Accent2 5 2 2 2 2 2 3" xfId="24481"/>
    <cellStyle name="40% - Accent2 5 2 2 2 2 3" xfId="12997"/>
    <cellStyle name="40% - Accent2 5 2 2 2 2 4" xfId="20952"/>
    <cellStyle name="40% - Accent2 5 2 2 2 3" xfId="6805"/>
    <cellStyle name="40% - Accent2 5 2 2 2 3 2" xfId="14777"/>
    <cellStyle name="40% - Accent2 5 2 2 2 3 3" xfId="22724"/>
    <cellStyle name="40% - Accent2 5 2 2 2 4" xfId="11241"/>
    <cellStyle name="40% - Accent2 5 2 2 2 5" xfId="19196"/>
    <cellStyle name="40% - Accent2 5 2 2 2_Exh G" xfId="2888"/>
    <cellStyle name="40% - Accent2 5 2 2 3" xfId="4094"/>
    <cellStyle name="40% - Accent2 5 2 2 3 2" xfId="7686"/>
    <cellStyle name="40% - Accent2 5 2 2 3 2 2" xfId="15657"/>
    <cellStyle name="40% - Accent2 5 2 2 3 2 3" xfId="23603"/>
    <cellStyle name="40% - Accent2 5 2 2 3 3" xfId="12119"/>
    <cellStyle name="40% - Accent2 5 2 2 3 4" xfId="20074"/>
    <cellStyle name="40% - Accent2 5 2 2 4" xfId="5914"/>
    <cellStyle name="40% - Accent2 5 2 2 4 2" xfId="13898"/>
    <cellStyle name="40% - Accent2 5 2 2 4 3" xfId="21846"/>
    <cellStyle name="40% - Accent2 5 2 2 5" xfId="9467"/>
    <cellStyle name="40% - Accent2 5 2 2 5 2" xfId="17425"/>
    <cellStyle name="40% - Accent2 5 2 2 5 3" xfId="25369"/>
    <cellStyle name="40% - Accent2 5 2 2 6" xfId="10363"/>
    <cellStyle name="40% - Accent2 5 2 2 7" xfId="18318"/>
    <cellStyle name="40% - Accent2 5 2 2_Exh G" xfId="2887"/>
    <cellStyle name="40% - Accent2 5 2 3" xfId="1442"/>
    <cellStyle name="40% - Accent2 5 2 3 2" xfId="4972"/>
    <cellStyle name="40% - Accent2 5 2 3 2 2" xfId="8563"/>
    <cellStyle name="40% - Accent2 5 2 3 2 2 2" xfId="16534"/>
    <cellStyle name="40% - Accent2 5 2 3 2 2 3" xfId="24480"/>
    <cellStyle name="40% - Accent2 5 2 3 2 3" xfId="12996"/>
    <cellStyle name="40% - Accent2 5 2 3 2 4" xfId="20951"/>
    <cellStyle name="40% - Accent2 5 2 3 3" xfId="6804"/>
    <cellStyle name="40% - Accent2 5 2 3 3 2" xfId="14776"/>
    <cellStyle name="40% - Accent2 5 2 3 3 3" xfId="22723"/>
    <cellStyle name="40% - Accent2 5 2 3 4" xfId="11240"/>
    <cellStyle name="40% - Accent2 5 2 3 5" xfId="19195"/>
    <cellStyle name="40% - Accent2 5 2 3_Exh G" xfId="2889"/>
    <cellStyle name="40% - Accent2 5 2 4" xfId="4093"/>
    <cellStyle name="40% - Accent2 5 2 4 2" xfId="7685"/>
    <cellStyle name="40% - Accent2 5 2 4 2 2" xfId="15656"/>
    <cellStyle name="40% - Accent2 5 2 4 2 3" xfId="23602"/>
    <cellStyle name="40% - Accent2 5 2 4 3" xfId="12118"/>
    <cellStyle name="40% - Accent2 5 2 4 4" xfId="20073"/>
    <cellStyle name="40% - Accent2 5 2 5" xfId="5913"/>
    <cellStyle name="40% - Accent2 5 2 5 2" xfId="13897"/>
    <cellStyle name="40% - Accent2 5 2 5 3" xfId="21845"/>
    <cellStyle name="40% - Accent2 5 2 6" xfId="9466"/>
    <cellStyle name="40% - Accent2 5 2 6 2" xfId="17424"/>
    <cellStyle name="40% - Accent2 5 2 6 3" xfId="25368"/>
    <cellStyle name="40% - Accent2 5 2 7" xfId="10362"/>
    <cellStyle name="40% - Accent2 5 2 8" xfId="18317"/>
    <cellStyle name="40% - Accent2 5 2_Exh G" xfId="2886"/>
    <cellStyle name="40% - Accent2 5 3" xfId="416"/>
    <cellStyle name="40% - Accent2 5 3 2" xfId="1444"/>
    <cellStyle name="40% - Accent2 5 3 2 2" xfId="4974"/>
    <cellStyle name="40% - Accent2 5 3 2 2 2" xfId="8565"/>
    <cellStyle name="40% - Accent2 5 3 2 2 2 2" xfId="16536"/>
    <cellStyle name="40% - Accent2 5 3 2 2 2 3" xfId="24482"/>
    <cellStyle name="40% - Accent2 5 3 2 2 3" xfId="12998"/>
    <cellStyle name="40% - Accent2 5 3 2 2 4" xfId="20953"/>
    <cellStyle name="40% - Accent2 5 3 2 3" xfId="6806"/>
    <cellStyle name="40% - Accent2 5 3 2 3 2" xfId="14778"/>
    <cellStyle name="40% - Accent2 5 3 2 3 3" xfId="22725"/>
    <cellStyle name="40% - Accent2 5 3 2 4" xfId="11242"/>
    <cellStyle name="40% - Accent2 5 3 2 5" xfId="19197"/>
    <cellStyle name="40% - Accent2 5 3 2_Exh G" xfId="2891"/>
    <cellStyle name="40% - Accent2 5 3 3" xfId="4095"/>
    <cellStyle name="40% - Accent2 5 3 3 2" xfId="7687"/>
    <cellStyle name="40% - Accent2 5 3 3 2 2" xfId="15658"/>
    <cellStyle name="40% - Accent2 5 3 3 2 3" xfId="23604"/>
    <cellStyle name="40% - Accent2 5 3 3 3" xfId="12120"/>
    <cellStyle name="40% - Accent2 5 3 3 4" xfId="20075"/>
    <cellStyle name="40% - Accent2 5 3 4" xfId="5915"/>
    <cellStyle name="40% - Accent2 5 3 4 2" xfId="13899"/>
    <cellStyle name="40% - Accent2 5 3 4 3" xfId="21847"/>
    <cellStyle name="40% - Accent2 5 3 5" xfId="9468"/>
    <cellStyle name="40% - Accent2 5 3 5 2" xfId="17426"/>
    <cellStyle name="40% - Accent2 5 3 5 3" xfId="25370"/>
    <cellStyle name="40% - Accent2 5 3 6" xfId="10364"/>
    <cellStyle name="40% - Accent2 5 3 7" xfId="18319"/>
    <cellStyle name="40% - Accent2 5 3_Exh G" xfId="2890"/>
    <cellStyle name="40% - Accent2 5 4" xfId="953"/>
    <cellStyle name="40% - Accent2 5 5" xfId="1441"/>
    <cellStyle name="40% - Accent2 5 5 2" xfId="4971"/>
    <cellStyle name="40% - Accent2 5 5 2 2" xfId="8562"/>
    <cellStyle name="40% - Accent2 5 5 2 2 2" xfId="16533"/>
    <cellStyle name="40% - Accent2 5 5 2 2 3" xfId="24479"/>
    <cellStyle name="40% - Accent2 5 5 2 3" xfId="12995"/>
    <cellStyle name="40% - Accent2 5 5 2 4" xfId="20950"/>
    <cellStyle name="40% - Accent2 5 5 3" xfId="6803"/>
    <cellStyle name="40% - Accent2 5 5 3 2" xfId="14775"/>
    <cellStyle name="40% - Accent2 5 5 3 3" xfId="22722"/>
    <cellStyle name="40% - Accent2 5 5 4" xfId="11239"/>
    <cellStyle name="40% - Accent2 5 5 5" xfId="19194"/>
    <cellStyle name="40% - Accent2 5 5_Exh G" xfId="2892"/>
    <cellStyle name="40% - Accent2 5 6" xfId="4092"/>
    <cellStyle name="40% - Accent2 5 6 2" xfId="7684"/>
    <cellStyle name="40% - Accent2 5 6 2 2" xfId="15655"/>
    <cellStyle name="40% - Accent2 5 6 2 3" xfId="23601"/>
    <cellStyle name="40% - Accent2 5 6 3" xfId="12117"/>
    <cellStyle name="40% - Accent2 5 6 4" xfId="20072"/>
    <cellStyle name="40% - Accent2 5 7" xfId="5912"/>
    <cellStyle name="40% - Accent2 5 7 2" xfId="13896"/>
    <cellStyle name="40% - Accent2 5 7 3" xfId="21844"/>
    <cellStyle name="40% - Accent2 5 8" xfId="9465"/>
    <cellStyle name="40% - Accent2 5 8 2" xfId="17423"/>
    <cellStyle name="40% - Accent2 5 8 3" xfId="25367"/>
    <cellStyle name="40% - Accent2 5 9" xfId="10361"/>
    <cellStyle name="40% - Accent2 5_Exh G" xfId="2885"/>
    <cellStyle name="40% - Accent2 6" xfId="417"/>
    <cellStyle name="40% - Accent2 6 10" xfId="18320"/>
    <cellStyle name="40% - Accent2 6 2" xfId="418"/>
    <cellStyle name="40% - Accent2 6 2 2" xfId="419"/>
    <cellStyle name="40% - Accent2 6 2 2 2" xfId="1447"/>
    <cellStyle name="40% - Accent2 6 2 2 2 2" xfId="4977"/>
    <cellStyle name="40% - Accent2 6 2 2 2 2 2" xfId="8568"/>
    <cellStyle name="40% - Accent2 6 2 2 2 2 2 2" xfId="16539"/>
    <cellStyle name="40% - Accent2 6 2 2 2 2 2 3" xfId="24485"/>
    <cellStyle name="40% - Accent2 6 2 2 2 2 3" xfId="13001"/>
    <cellStyle name="40% - Accent2 6 2 2 2 2 4" xfId="20956"/>
    <cellStyle name="40% - Accent2 6 2 2 2 3" xfId="6809"/>
    <cellStyle name="40% - Accent2 6 2 2 2 3 2" xfId="14781"/>
    <cellStyle name="40% - Accent2 6 2 2 2 3 3" xfId="22728"/>
    <cellStyle name="40% - Accent2 6 2 2 2 4" xfId="11245"/>
    <cellStyle name="40% - Accent2 6 2 2 2 5" xfId="19200"/>
    <cellStyle name="40% - Accent2 6 2 2 2_Exh G" xfId="2896"/>
    <cellStyle name="40% - Accent2 6 2 2 3" xfId="4098"/>
    <cellStyle name="40% - Accent2 6 2 2 3 2" xfId="7690"/>
    <cellStyle name="40% - Accent2 6 2 2 3 2 2" xfId="15661"/>
    <cellStyle name="40% - Accent2 6 2 2 3 2 3" xfId="23607"/>
    <cellStyle name="40% - Accent2 6 2 2 3 3" xfId="12123"/>
    <cellStyle name="40% - Accent2 6 2 2 3 4" xfId="20078"/>
    <cellStyle name="40% - Accent2 6 2 2 4" xfId="5918"/>
    <cellStyle name="40% - Accent2 6 2 2 4 2" xfId="13902"/>
    <cellStyle name="40% - Accent2 6 2 2 4 3" xfId="21850"/>
    <cellStyle name="40% - Accent2 6 2 2 5" xfId="9471"/>
    <cellStyle name="40% - Accent2 6 2 2 5 2" xfId="17429"/>
    <cellStyle name="40% - Accent2 6 2 2 5 3" xfId="25373"/>
    <cellStyle name="40% - Accent2 6 2 2 6" xfId="10367"/>
    <cellStyle name="40% - Accent2 6 2 2 7" xfId="18322"/>
    <cellStyle name="40% - Accent2 6 2 2_Exh G" xfId="2895"/>
    <cellStyle name="40% - Accent2 6 2 3" xfId="1446"/>
    <cellStyle name="40% - Accent2 6 2 3 2" xfId="4976"/>
    <cellStyle name="40% - Accent2 6 2 3 2 2" xfId="8567"/>
    <cellStyle name="40% - Accent2 6 2 3 2 2 2" xfId="16538"/>
    <cellStyle name="40% - Accent2 6 2 3 2 2 3" xfId="24484"/>
    <cellStyle name="40% - Accent2 6 2 3 2 3" xfId="13000"/>
    <cellStyle name="40% - Accent2 6 2 3 2 4" xfId="20955"/>
    <cellStyle name="40% - Accent2 6 2 3 3" xfId="6808"/>
    <cellStyle name="40% - Accent2 6 2 3 3 2" xfId="14780"/>
    <cellStyle name="40% - Accent2 6 2 3 3 3" xfId="22727"/>
    <cellStyle name="40% - Accent2 6 2 3 4" xfId="11244"/>
    <cellStyle name="40% - Accent2 6 2 3 5" xfId="19199"/>
    <cellStyle name="40% - Accent2 6 2 3_Exh G" xfId="2897"/>
    <cellStyle name="40% - Accent2 6 2 4" xfId="4097"/>
    <cellStyle name="40% - Accent2 6 2 4 2" xfId="7689"/>
    <cellStyle name="40% - Accent2 6 2 4 2 2" xfId="15660"/>
    <cellStyle name="40% - Accent2 6 2 4 2 3" xfId="23606"/>
    <cellStyle name="40% - Accent2 6 2 4 3" xfId="12122"/>
    <cellStyle name="40% - Accent2 6 2 4 4" xfId="20077"/>
    <cellStyle name="40% - Accent2 6 2 5" xfId="5917"/>
    <cellStyle name="40% - Accent2 6 2 5 2" xfId="13901"/>
    <cellStyle name="40% - Accent2 6 2 5 3" xfId="21849"/>
    <cellStyle name="40% - Accent2 6 2 6" xfId="9470"/>
    <cellStyle name="40% - Accent2 6 2 6 2" xfId="17428"/>
    <cellStyle name="40% - Accent2 6 2 6 3" xfId="25372"/>
    <cellStyle name="40% - Accent2 6 2 7" xfId="10366"/>
    <cellStyle name="40% - Accent2 6 2 8" xfId="18321"/>
    <cellStyle name="40% - Accent2 6 2_Exh G" xfId="2894"/>
    <cellStyle name="40% - Accent2 6 3" xfId="420"/>
    <cellStyle name="40% - Accent2 6 3 2" xfId="1448"/>
    <cellStyle name="40% - Accent2 6 3 2 2" xfId="4978"/>
    <cellStyle name="40% - Accent2 6 3 2 2 2" xfId="8569"/>
    <cellStyle name="40% - Accent2 6 3 2 2 2 2" xfId="16540"/>
    <cellStyle name="40% - Accent2 6 3 2 2 2 3" xfId="24486"/>
    <cellStyle name="40% - Accent2 6 3 2 2 3" xfId="13002"/>
    <cellStyle name="40% - Accent2 6 3 2 2 4" xfId="20957"/>
    <cellStyle name="40% - Accent2 6 3 2 3" xfId="6810"/>
    <cellStyle name="40% - Accent2 6 3 2 3 2" xfId="14782"/>
    <cellStyle name="40% - Accent2 6 3 2 3 3" xfId="22729"/>
    <cellStyle name="40% - Accent2 6 3 2 4" xfId="11246"/>
    <cellStyle name="40% - Accent2 6 3 2 5" xfId="19201"/>
    <cellStyle name="40% - Accent2 6 3 2_Exh G" xfId="2899"/>
    <cellStyle name="40% - Accent2 6 3 3" xfId="4099"/>
    <cellStyle name="40% - Accent2 6 3 3 2" xfId="7691"/>
    <cellStyle name="40% - Accent2 6 3 3 2 2" xfId="15662"/>
    <cellStyle name="40% - Accent2 6 3 3 2 3" xfId="23608"/>
    <cellStyle name="40% - Accent2 6 3 3 3" xfId="12124"/>
    <cellStyle name="40% - Accent2 6 3 3 4" xfId="20079"/>
    <cellStyle name="40% - Accent2 6 3 4" xfId="5919"/>
    <cellStyle name="40% - Accent2 6 3 4 2" xfId="13903"/>
    <cellStyle name="40% - Accent2 6 3 4 3" xfId="21851"/>
    <cellStyle name="40% - Accent2 6 3 5" xfId="9472"/>
    <cellStyle name="40% - Accent2 6 3 5 2" xfId="17430"/>
    <cellStyle name="40% - Accent2 6 3 5 3" xfId="25374"/>
    <cellStyle name="40% - Accent2 6 3 6" xfId="10368"/>
    <cellStyle name="40% - Accent2 6 3 7" xfId="18323"/>
    <cellStyle name="40% - Accent2 6 3_Exh G" xfId="2898"/>
    <cellStyle name="40% - Accent2 6 4" xfId="954"/>
    <cellStyle name="40% - Accent2 6 4 2" xfId="1875"/>
    <cellStyle name="40% - Accent2 6 4 2 2" xfId="5393"/>
    <cellStyle name="40% - Accent2 6 4 2 2 2" xfId="8984"/>
    <cellStyle name="40% - Accent2 6 4 2 2 2 2" xfId="16955"/>
    <cellStyle name="40% - Accent2 6 4 2 2 2 3" xfId="24901"/>
    <cellStyle name="40% - Accent2 6 4 2 2 3" xfId="13417"/>
    <cellStyle name="40% - Accent2 6 4 2 2 4" xfId="21372"/>
    <cellStyle name="40% - Accent2 6 4 2 3" xfId="7225"/>
    <cellStyle name="40% - Accent2 6 4 2 3 2" xfId="15197"/>
    <cellStyle name="40% - Accent2 6 4 2 3 3" xfId="23144"/>
    <cellStyle name="40% - Accent2 6 4 2 4" xfId="11661"/>
    <cellStyle name="40% - Accent2 6 4 2 5" xfId="19616"/>
    <cellStyle name="40% - Accent2 6 4 2_Exh G" xfId="2901"/>
    <cellStyle name="40% - Accent2 6 4 3" xfId="4514"/>
    <cellStyle name="40% - Accent2 6 4 3 2" xfId="8106"/>
    <cellStyle name="40% - Accent2 6 4 3 2 2" xfId="16077"/>
    <cellStyle name="40% - Accent2 6 4 3 2 3" xfId="24023"/>
    <cellStyle name="40% - Accent2 6 4 3 3" xfId="12539"/>
    <cellStyle name="40% - Accent2 6 4 3 4" xfId="20494"/>
    <cellStyle name="40% - Accent2 6 4 4" xfId="6344"/>
    <cellStyle name="40% - Accent2 6 4 4 2" xfId="14319"/>
    <cellStyle name="40% - Accent2 6 4 4 3" xfId="22266"/>
    <cellStyle name="40% - Accent2 6 4 5" xfId="9887"/>
    <cellStyle name="40% - Accent2 6 4 5 2" xfId="17845"/>
    <cellStyle name="40% - Accent2 6 4 5 3" xfId="25789"/>
    <cellStyle name="40% - Accent2 6 4 6" xfId="10783"/>
    <cellStyle name="40% - Accent2 6 4 7" xfId="18738"/>
    <cellStyle name="40% - Accent2 6 4_Exh G" xfId="2900"/>
    <cellStyle name="40% - Accent2 6 5" xfId="1445"/>
    <cellStyle name="40% - Accent2 6 5 2" xfId="4975"/>
    <cellStyle name="40% - Accent2 6 5 2 2" xfId="8566"/>
    <cellStyle name="40% - Accent2 6 5 2 2 2" xfId="16537"/>
    <cellStyle name="40% - Accent2 6 5 2 2 3" xfId="24483"/>
    <cellStyle name="40% - Accent2 6 5 2 3" xfId="12999"/>
    <cellStyle name="40% - Accent2 6 5 2 4" xfId="20954"/>
    <cellStyle name="40% - Accent2 6 5 3" xfId="6807"/>
    <cellStyle name="40% - Accent2 6 5 3 2" xfId="14779"/>
    <cellStyle name="40% - Accent2 6 5 3 3" xfId="22726"/>
    <cellStyle name="40% - Accent2 6 5 4" xfId="11243"/>
    <cellStyle name="40% - Accent2 6 5 5" xfId="19198"/>
    <cellStyle name="40% - Accent2 6 5_Exh G" xfId="2902"/>
    <cellStyle name="40% - Accent2 6 6" xfId="4096"/>
    <cellStyle name="40% - Accent2 6 6 2" xfId="7688"/>
    <cellStyle name="40% - Accent2 6 6 2 2" xfId="15659"/>
    <cellStyle name="40% - Accent2 6 6 2 3" xfId="23605"/>
    <cellStyle name="40% - Accent2 6 6 3" xfId="12121"/>
    <cellStyle name="40% - Accent2 6 6 4" xfId="20076"/>
    <cellStyle name="40% - Accent2 6 7" xfId="5916"/>
    <cellStyle name="40% - Accent2 6 7 2" xfId="13900"/>
    <cellStyle name="40% - Accent2 6 7 3" xfId="21848"/>
    <cellStyle name="40% - Accent2 6 8" xfId="9469"/>
    <cellStyle name="40% - Accent2 6 8 2" xfId="17427"/>
    <cellStyle name="40% - Accent2 6 8 3" xfId="25371"/>
    <cellStyle name="40% - Accent2 6 9" xfId="10365"/>
    <cellStyle name="40% - Accent2 6_Exh G" xfId="2893"/>
    <cellStyle name="40% - Accent2 7" xfId="421"/>
    <cellStyle name="40% - Accent2 7 10" xfId="18324"/>
    <cellStyle name="40% - Accent2 7 2" xfId="422"/>
    <cellStyle name="40% - Accent2 7 2 2" xfId="423"/>
    <cellStyle name="40% - Accent2 7 2 2 2" xfId="1451"/>
    <cellStyle name="40% - Accent2 7 2 2 2 2" xfId="4981"/>
    <cellStyle name="40% - Accent2 7 2 2 2 2 2" xfId="8572"/>
    <cellStyle name="40% - Accent2 7 2 2 2 2 2 2" xfId="16543"/>
    <cellStyle name="40% - Accent2 7 2 2 2 2 2 3" xfId="24489"/>
    <cellStyle name="40% - Accent2 7 2 2 2 2 3" xfId="13005"/>
    <cellStyle name="40% - Accent2 7 2 2 2 2 4" xfId="20960"/>
    <cellStyle name="40% - Accent2 7 2 2 2 3" xfId="6813"/>
    <cellStyle name="40% - Accent2 7 2 2 2 3 2" xfId="14785"/>
    <cellStyle name="40% - Accent2 7 2 2 2 3 3" xfId="22732"/>
    <cellStyle name="40% - Accent2 7 2 2 2 4" xfId="11249"/>
    <cellStyle name="40% - Accent2 7 2 2 2 5" xfId="19204"/>
    <cellStyle name="40% - Accent2 7 2 2 2_Exh G" xfId="2906"/>
    <cellStyle name="40% - Accent2 7 2 2 3" xfId="4102"/>
    <cellStyle name="40% - Accent2 7 2 2 3 2" xfId="7694"/>
    <cellStyle name="40% - Accent2 7 2 2 3 2 2" xfId="15665"/>
    <cellStyle name="40% - Accent2 7 2 2 3 2 3" xfId="23611"/>
    <cellStyle name="40% - Accent2 7 2 2 3 3" xfId="12127"/>
    <cellStyle name="40% - Accent2 7 2 2 3 4" xfId="20082"/>
    <cellStyle name="40% - Accent2 7 2 2 4" xfId="5922"/>
    <cellStyle name="40% - Accent2 7 2 2 4 2" xfId="13906"/>
    <cellStyle name="40% - Accent2 7 2 2 4 3" xfId="21854"/>
    <cellStyle name="40% - Accent2 7 2 2 5" xfId="9475"/>
    <cellStyle name="40% - Accent2 7 2 2 5 2" xfId="17433"/>
    <cellStyle name="40% - Accent2 7 2 2 5 3" xfId="25377"/>
    <cellStyle name="40% - Accent2 7 2 2 6" xfId="10371"/>
    <cellStyle name="40% - Accent2 7 2 2 7" xfId="18326"/>
    <cellStyle name="40% - Accent2 7 2 2_Exh G" xfId="2905"/>
    <cellStyle name="40% - Accent2 7 2 3" xfId="1450"/>
    <cellStyle name="40% - Accent2 7 2 3 2" xfId="4980"/>
    <cellStyle name="40% - Accent2 7 2 3 2 2" xfId="8571"/>
    <cellStyle name="40% - Accent2 7 2 3 2 2 2" xfId="16542"/>
    <cellStyle name="40% - Accent2 7 2 3 2 2 3" xfId="24488"/>
    <cellStyle name="40% - Accent2 7 2 3 2 3" xfId="13004"/>
    <cellStyle name="40% - Accent2 7 2 3 2 4" xfId="20959"/>
    <cellStyle name="40% - Accent2 7 2 3 3" xfId="6812"/>
    <cellStyle name="40% - Accent2 7 2 3 3 2" xfId="14784"/>
    <cellStyle name="40% - Accent2 7 2 3 3 3" xfId="22731"/>
    <cellStyle name="40% - Accent2 7 2 3 4" xfId="11248"/>
    <cellStyle name="40% - Accent2 7 2 3 5" xfId="19203"/>
    <cellStyle name="40% - Accent2 7 2 3_Exh G" xfId="2907"/>
    <cellStyle name="40% - Accent2 7 2 4" xfId="4101"/>
    <cellStyle name="40% - Accent2 7 2 4 2" xfId="7693"/>
    <cellStyle name="40% - Accent2 7 2 4 2 2" xfId="15664"/>
    <cellStyle name="40% - Accent2 7 2 4 2 3" xfId="23610"/>
    <cellStyle name="40% - Accent2 7 2 4 3" xfId="12126"/>
    <cellStyle name="40% - Accent2 7 2 4 4" xfId="20081"/>
    <cellStyle name="40% - Accent2 7 2 5" xfId="5921"/>
    <cellStyle name="40% - Accent2 7 2 5 2" xfId="13905"/>
    <cellStyle name="40% - Accent2 7 2 5 3" xfId="21853"/>
    <cellStyle name="40% - Accent2 7 2 6" xfId="9474"/>
    <cellStyle name="40% - Accent2 7 2 6 2" xfId="17432"/>
    <cellStyle name="40% - Accent2 7 2 6 3" xfId="25376"/>
    <cellStyle name="40% - Accent2 7 2 7" xfId="10370"/>
    <cellStyle name="40% - Accent2 7 2 8" xfId="18325"/>
    <cellStyle name="40% - Accent2 7 2_Exh G" xfId="2904"/>
    <cellStyle name="40% - Accent2 7 3" xfId="424"/>
    <cellStyle name="40% - Accent2 7 3 2" xfId="1452"/>
    <cellStyle name="40% - Accent2 7 3 2 2" xfId="4982"/>
    <cellStyle name="40% - Accent2 7 3 2 2 2" xfId="8573"/>
    <cellStyle name="40% - Accent2 7 3 2 2 2 2" xfId="16544"/>
    <cellStyle name="40% - Accent2 7 3 2 2 2 3" xfId="24490"/>
    <cellStyle name="40% - Accent2 7 3 2 2 3" xfId="13006"/>
    <cellStyle name="40% - Accent2 7 3 2 2 4" xfId="20961"/>
    <cellStyle name="40% - Accent2 7 3 2 3" xfId="6814"/>
    <cellStyle name="40% - Accent2 7 3 2 3 2" xfId="14786"/>
    <cellStyle name="40% - Accent2 7 3 2 3 3" xfId="22733"/>
    <cellStyle name="40% - Accent2 7 3 2 4" xfId="11250"/>
    <cellStyle name="40% - Accent2 7 3 2 5" xfId="19205"/>
    <cellStyle name="40% - Accent2 7 3 2_Exh G" xfId="2909"/>
    <cellStyle name="40% - Accent2 7 3 3" xfId="4103"/>
    <cellStyle name="40% - Accent2 7 3 3 2" xfId="7695"/>
    <cellStyle name="40% - Accent2 7 3 3 2 2" xfId="15666"/>
    <cellStyle name="40% - Accent2 7 3 3 2 3" xfId="23612"/>
    <cellStyle name="40% - Accent2 7 3 3 3" xfId="12128"/>
    <cellStyle name="40% - Accent2 7 3 3 4" xfId="20083"/>
    <cellStyle name="40% - Accent2 7 3 4" xfId="5923"/>
    <cellStyle name="40% - Accent2 7 3 4 2" xfId="13907"/>
    <cellStyle name="40% - Accent2 7 3 4 3" xfId="21855"/>
    <cellStyle name="40% - Accent2 7 3 5" xfId="9476"/>
    <cellStyle name="40% - Accent2 7 3 5 2" xfId="17434"/>
    <cellStyle name="40% - Accent2 7 3 5 3" xfId="25378"/>
    <cellStyle name="40% - Accent2 7 3 6" xfId="10372"/>
    <cellStyle name="40% - Accent2 7 3 7" xfId="18327"/>
    <cellStyle name="40% - Accent2 7 3_Exh G" xfId="2908"/>
    <cellStyle name="40% - Accent2 7 4" xfId="955"/>
    <cellStyle name="40% - Accent2 7 4 2" xfId="1876"/>
    <cellStyle name="40% - Accent2 7 4 2 2" xfId="5394"/>
    <cellStyle name="40% - Accent2 7 4 2 2 2" xfId="8985"/>
    <cellStyle name="40% - Accent2 7 4 2 2 2 2" xfId="16956"/>
    <cellStyle name="40% - Accent2 7 4 2 2 2 3" xfId="24902"/>
    <cellStyle name="40% - Accent2 7 4 2 2 3" xfId="13418"/>
    <cellStyle name="40% - Accent2 7 4 2 2 4" xfId="21373"/>
    <cellStyle name="40% - Accent2 7 4 2 3" xfId="7226"/>
    <cellStyle name="40% - Accent2 7 4 2 3 2" xfId="15198"/>
    <cellStyle name="40% - Accent2 7 4 2 3 3" xfId="23145"/>
    <cellStyle name="40% - Accent2 7 4 2 4" xfId="11662"/>
    <cellStyle name="40% - Accent2 7 4 2 5" xfId="19617"/>
    <cellStyle name="40% - Accent2 7 4 2_Exh G" xfId="2911"/>
    <cellStyle name="40% - Accent2 7 4 3" xfId="4515"/>
    <cellStyle name="40% - Accent2 7 4 3 2" xfId="8107"/>
    <cellStyle name="40% - Accent2 7 4 3 2 2" xfId="16078"/>
    <cellStyle name="40% - Accent2 7 4 3 2 3" xfId="24024"/>
    <cellStyle name="40% - Accent2 7 4 3 3" xfId="12540"/>
    <cellStyle name="40% - Accent2 7 4 3 4" xfId="20495"/>
    <cellStyle name="40% - Accent2 7 4 4" xfId="6345"/>
    <cellStyle name="40% - Accent2 7 4 4 2" xfId="14320"/>
    <cellStyle name="40% - Accent2 7 4 4 3" xfId="22267"/>
    <cellStyle name="40% - Accent2 7 4 5" xfId="9888"/>
    <cellStyle name="40% - Accent2 7 4 5 2" xfId="17846"/>
    <cellStyle name="40% - Accent2 7 4 5 3" xfId="25790"/>
    <cellStyle name="40% - Accent2 7 4 6" xfId="10784"/>
    <cellStyle name="40% - Accent2 7 4 7" xfId="18739"/>
    <cellStyle name="40% - Accent2 7 4_Exh G" xfId="2910"/>
    <cellStyle name="40% - Accent2 7 5" xfId="1449"/>
    <cellStyle name="40% - Accent2 7 5 2" xfId="4979"/>
    <cellStyle name="40% - Accent2 7 5 2 2" xfId="8570"/>
    <cellStyle name="40% - Accent2 7 5 2 2 2" xfId="16541"/>
    <cellStyle name="40% - Accent2 7 5 2 2 3" xfId="24487"/>
    <cellStyle name="40% - Accent2 7 5 2 3" xfId="13003"/>
    <cellStyle name="40% - Accent2 7 5 2 4" xfId="20958"/>
    <cellStyle name="40% - Accent2 7 5 3" xfId="6811"/>
    <cellStyle name="40% - Accent2 7 5 3 2" xfId="14783"/>
    <cellStyle name="40% - Accent2 7 5 3 3" xfId="22730"/>
    <cellStyle name="40% - Accent2 7 5 4" xfId="11247"/>
    <cellStyle name="40% - Accent2 7 5 5" xfId="19202"/>
    <cellStyle name="40% - Accent2 7 5_Exh G" xfId="2912"/>
    <cellStyle name="40% - Accent2 7 6" xfId="4100"/>
    <cellStyle name="40% - Accent2 7 6 2" xfId="7692"/>
    <cellStyle name="40% - Accent2 7 6 2 2" xfId="15663"/>
    <cellStyle name="40% - Accent2 7 6 2 3" xfId="23609"/>
    <cellStyle name="40% - Accent2 7 6 3" xfId="12125"/>
    <cellStyle name="40% - Accent2 7 6 4" xfId="20080"/>
    <cellStyle name="40% - Accent2 7 7" xfId="5920"/>
    <cellStyle name="40% - Accent2 7 7 2" xfId="13904"/>
    <cellStyle name="40% - Accent2 7 7 3" xfId="21852"/>
    <cellStyle name="40% - Accent2 7 8" xfId="9473"/>
    <cellStyle name="40% - Accent2 7 8 2" xfId="17431"/>
    <cellStyle name="40% - Accent2 7 8 3" xfId="25375"/>
    <cellStyle name="40% - Accent2 7 9" xfId="10369"/>
    <cellStyle name="40% - Accent2 7_Exh G" xfId="2903"/>
    <cellStyle name="40% - Accent2 8" xfId="425"/>
    <cellStyle name="40% - Accent2 8 10" xfId="18328"/>
    <cellStyle name="40% - Accent2 8 2" xfId="426"/>
    <cellStyle name="40% - Accent2 8 2 2" xfId="427"/>
    <cellStyle name="40% - Accent2 8 2 2 2" xfId="1455"/>
    <cellStyle name="40% - Accent2 8 2 2 2 2" xfId="4985"/>
    <cellStyle name="40% - Accent2 8 2 2 2 2 2" xfId="8576"/>
    <cellStyle name="40% - Accent2 8 2 2 2 2 2 2" xfId="16547"/>
    <cellStyle name="40% - Accent2 8 2 2 2 2 2 3" xfId="24493"/>
    <cellStyle name="40% - Accent2 8 2 2 2 2 3" xfId="13009"/>
    <cellStyle name="40% - Accent2 8 2 2 2 2 4" xfId="20964"/>
    <cellStyle name="40% - Accent2 8 2 2 2 3" xfId="6817"/>
    <cellStyle name="40% - Accent2 8 2 2 2 3 2" xfId="14789"/>
    <cellStyle name="40% - Accent2 8 2 2 2 3 3" xfId="22736"/>
    <cellStyle name="40% - Accent2 8 2 2 2 4" xfId="11253"/>
    <cellStyle name="40% - Accent2 8 2 2 2 5" xfId="19208"/>
    <cellStyle name="40% - Accent2 8 2 2 2_Exh G" xfId="2916"/>
    <cellStyle name="40% - Accent2 8 2 2 3" xfId="4106"/>
    <cellStyle name="40% - Accent2 8 2 2 3 2" xfId="7698"/>
    <cellStyle name="40% - Accent2 8 2 2 3 2 2" xfId="15669"/>
    <cellStyle name="40% - Accent2 8 2 2 3 2 3" xfId="23615"/>
    <cellStyle name="40% - Accent2 8 2 2 3 3" xfId="12131"/>
    <cellStyle name="40% - Accent2 8 2 2 3 4" xfId="20086"/>
    <cellStyle name="40% - Accent2 8 2 2 4" xfId="5926"/>
    <cellStyle name="40% - Accent2 8 2 2 4 2" xfId="13910"/>
    <cellStyle name="40% - Accent2 8 2 2 4 3" xfId="21858"/>
    <cellStyle name="40% - Accent2 8 2 2 5" xfId="9479"/>
    <cellStyle name="40% - Accent2 8 2 2 5 2" xfId="17437"/>
    <cellStyle name="40% - Accent2 8 2 2 5 3" xfId="25381"/>
    <cellStyle name="40% - Accent2 8 2 2 6" xfId="10375"/>
    <cellStyle name="40% - Accent2 8 2 2 7" xfId="18330"/>
    <cellStyle name="40% - Accent2 8 2 2_Exh G" xfId="2915"/>
    <cellStyle name="40% - Accent2 8 2 3" xfId="1454"/>
    <cellStyle name="40% - Accent2 8 2 3 2" xfId="4984"/>
    <cellStyle name="40% - Accent2 8 2 3 2 2" xfId="8575"/>
    <cellStyle name="40% - Accent2 8 2 3 2 2 2" xfId="16546"/>
    <cellStyle name="40% - Accent2 8 2 3 2 2 3" xfId="24492"/>
    <cellStyle name="40% - Accent2 8 2 3 2 3" xfId="13008"/>
    <cellStyle name="40% - Accent2 8 2 3 2 4" xfId="20963"/>
    <cellStyle name="40% - Accent2 8 2 3 3" xfId="6816"/>
    <cellStyle name="40% - Accent2 8 2 3 3 2" xfId="14788"/>
    <cellStyle name="40% - Accent2 8 2 3 3 3" xfId="22735"/>
    <cellStyle name="40% - Accent2 8 2 3 4" xfId="11252"/>
    <cellStyle name="40% - Accent2 8 2 3 5" xfId="19207"/>
    <cellStyle name="40% - Accent2 8 2 3_Exh G" xfId="2917"/>
    <cellStyle name="40% - Accent2 8 2 4" xfId="4105"/>
    <cellStyle name="40% - Accent2 8 2 4 2" xfId="7697"/>
    <cellStyle name="40% - Accent2 8 2 4 2 2" xfId="15668"/>
    <cellStyle name="40% - Accent2 8 2 4 2 3" xfId="23614"/>
    <cellStyle name="40% - Accent2 8 2 4 3" xfId="12130"/>
    <cellStyle name="40% - Accent2 8 2 4 4" xfId="20085"/>
    <cellStyle name="40% - Accent2 8 2 5" xfId="5925"/>
    <cellStyle name="40% - Accent2 8 2 5 2" xfId="13909"/>
    <cellStyle name="40% - Accent2 8 2 5 3" xfId="21857"/>
    <cellStyle name="40% - Accent2 8 2 6" xfId="9478"/>
    <cellStyle name="40% - Accent2 8 2 6 2" xfId="17436"/>
    <cellStyle name="40% - Accent2 8 2 6 3" xfId="25380"/>
    <cellStyle name="40% - Accent2 8 2 7" xfId="10374"/>
    <cellStyle name="40% - Accent2 8 2 8" xfId="18329"/>
    <cellStyle name="40% - Accent2 8 2_Exh G" xfId="2914"/>
    <cellStyle name="40% - Accent2 8 3" xfId="428"/>
    <cellStyle name="40% - Accent2 8 3 2" xfId="1456"/>
    <cellStyle name="40% - Accent2 8 3 2 2" xfId="4986"/>
    <cellStyle name="40% - Accent2 8 3 2 2 2" xfId="8577"/>
    <cellStyle name="40% - Accent2 8 3 2 2 2 2" xfId="16548"/>
    <cellStyle name="40% - Accent2 8 3 2 2 2 3" xfId="24494"/>
    <cellStyle name="40% - Accent2 8 3 2 2 3" xfId="13010"/>
    <cellStyle name="40% - Accent2 8 3 2 2 4" xfId="20965"/>
    <cellStyle name="40% - Accent2 8 3 2 3" xfId="6818"/>
    <cellStyle name="40% - Accent2 8 3 2 3 2" xfId="14790"/>
    <cellStyle name="40% - Accent2 8 3 2 3 3" xfId="22737"/>
    <cellStyle name="40% - Accent2 8 3 2 4" xfId="11254"/>
    <cellStyle name="40% - Accent2 8 3 2 5" xfId="19209"/>
    <cellStyle name="40% - Accent2 8 3 2_Exh G" xfId="2919"/>
    <cellStyle name="40% - Accent2 8 3 3" xfId="4107"/>
    <cellStyle name="40% - Accent2 8 3 3 2" xfId="7699"/>
    <cellStyle name="40% - Accent2 8 3 3 2 2" xfId="15670"/>
    <cellStyle name="40% - Accent2 8 3 3 2 3" xfId="23616"/>
    <cellStyle name="40% - Accent2 8 3 3 3" xfId="12132"/>
    <cellStyle name="40% - Accent2 8 3 3 4" xfId="20087"/>
    <cellStyle name="40% - Accent2 8 3 4" xfId="5927"/>
    <cellStyle name="40% - Accent2 8 3 4 2" xfId="13911"/>
    <cellStyle name="40% - Accent2 8 3 4 3" xfId="21859"/>
    <cellStyle name="40% - Accent2 8 3 5" xfId="9480"/>
    <cellStyle name="40% - Accent2 8 3 5 2" xfId="17438"/>
    <cellStyle name="40% - Accent2 8 3 5 3" xfId="25382"/>
    <cellStyle name="40% - Accent2 8 3 6" xfId="10376"/>
    <cellStyle name="40% - Accent2 8 3 7" xfId="18331"/>
    <cellStyle name="40% - Accent2 8 3_Exh G" xfId="2918"/>
    <cellStyle name="40% - Accent2 8 4" xfId="956"/>
    <cellStyle name="40% - Accent2 8 4 2" xfId="1877"/>
    <cellStyle name="40% - Accent2 8 4 2 2" xfId="5395"/>
    <cellStyle name="40% - Accent2 8 4 2 2 2" xfId="8986"/>
    <cellStyle name="40% - Accent2 8 4 2 2 2 2" xfId="16957"/>
    <cellStyle name="40% - Accent2 8 4 2 2 2 3" xfId="24903"/>
    <cellStyle name="40% - Accent2 8 4 2 2 3" xfId="13419"/>
    <cellStyle name="40% - Accent2 8 4 2 2 4" xfId="21374"/>
    <cellStyle name="40% - Accent2 8 4 2 3" xfId="7227"/>
    <cellStyle name="40% - Accent2 8 4 2 3 2" xfId="15199"/>
    <cellStyle name="40% - Accent2 8 4 2 3 3" xfId="23146"/>
    <cellStyle name="40% - Accent2 8 4 2 4" xfId="11663"/>
    <cellStyle name="40% - Accent2 8 4 2 5" xfId="19618"/>
    <cellStyle name="40% - Accent2 8 4 2_Exh G" xfId="2921"/>
    <cellStyle name="40% - Accent2 8 4 3" xfId="4516"/>
    <cellStyle name="40% - Accent2 8 4 3 2" xfId="8108"/>
    <cellStyle name="40% - Accent2 8 4 3 2 2" xfId="16079"/>
    <cellStyle name="40% - Accent2 8 4 3 2 3" xfId="24025"/>
    <cellStyle name="40% - Accent2 8 4 3 3" xfId="12541"/>
    <cellStyle name="40% - Accent2 8 4 3 4" xfId="20496"/>
    <cellStyle name="40% - Accent2 8 4 4" xfId="6346"/>
    <cellStyle name="40% - Accent2 8 4 4 2" xfId="14321"/>
    <cellStyle name="40% - Accent2 8 4 4 3" xfId="22268"/>
    <cellStyle name="40% - Accent2 8 4 5" xfId="9889"/>
    <cellStyle name="40% - Accent2 8 4 5 2" xfId="17847"/>
    <cellStyle name="40% - Accent2 8 4 5 3" xfId="25791"/>
    <cellStyle name="40% - Accent2 8 4 6" xfId="10785"/>
    <cellStyle name="40% - Accent2 8 4 7" xfId="18740"/>
    <cellStyle name="40% - Accent2 8 4_Exh G" xfId="2920"/>
    <cellStyle name="40% - Accent2 8 5" xfId="1453"/>
    <cellStyle name="40% - Accent2 8 5 2" xfId="4983"/>
    <cellStyle name="40% - Accent2 8 5 2 2" xfId="8574"/>
    <cellStyle name="40% - Accent2 8 5 2 2 2" xfId="16545"/>
    <cellStyle name="40% - Accent2 8 5 2 2 3" xfId="24491"/>
    <cellStyle name="40% - Accent2 8 5 2 3" xfId="13007"/>
    <cellStyle name="40% - Accent2 8 5 2 4" xfId="20962"/>
    <cellStyle name="40% - Accent2 8 5 3" xfId="6815"/>
    <cellStyle name="40% - Accent2 8 5 3 2" xfId="14787"/>
    <cellStyle name="40% - Accent2 8 5 3 3" xfId="22734"/>
    <cellStyle name="40% - Accent2 8 5 4" xfId="11251"/>
    <cellStyle name="40% - Accent2 8 5 5" xfId="19206"/>
    <cellStyle name="40% - Accent2 8 5_Exh G" xfId="2922"/>
    <cellStyle name="40% - Accent2 8 6" xfId="4104"/>
    <cellStyle name="40% - Accent2 8 6 2" xfId="7696"/>
    <cellStyle name="40% - Accent2 8 6 2 2" xfId="15667"/>
    <cellStyle name="40% - Accent2 8 6 2 3" xfId="23613"/>
    <cellStyle name="40% - Accent2 8 6 3" xfId="12129"/>
    <cellStyle name="40% - Accent2 8 6 4" xfId="20084"/>
    <cellStyle name="40% - Accent2 8 7" xfId="5924"/>
    <cellStyle name="40% - Accent2 8 7 2" xfId="13908"/>
    <cellStyle name="40% - Accent2 8 7 3" xfId="21856"/>
    <cellStyle name="40% - Accent2 8 8" xfId="9477"/>
    <cellStyle name="40% - Accent2 8 8 2" xfId="17435"/>
    <cellStyle name="40% - Accent2 8 8 3" xfId="25379"/>
    <cellStyle name="40% - Accent2 8 9" xfId="10373"/>
    <cellStyle name="40% - Accent2 8_Exh G" xfId="2913"/>
    <cellStyle name="40% - Accent2 9" xfId="429"/>
    <cellStyle name="40% - Accent2 9 10" xfId="18332"/>
    <cellStyle name="40% - Accent2 9 2" xfId="430"/>
    <cellStyle name="40% - Accent2 9 2 2" xfId="431"/>
    <cellStyle name="40% - Accent2 9 2 2 2" xfId="1459"/>
    <cellStyle name="40% - Accent2 9 2 2 2 2" xfId="4989"/>
    <cellStyle name="40% - Accent2 9 2 2 2 2 2" xfId="8580"/>
    <cellStyle name="40% - Accent2 9 2 2 2 2 2 2" xfId="16551"/>
    <cellStyle name="40% - Accent2 9 2 2 2 2 2 3" xfId="24497"/>
    <cellStyle name="40% - Accent2 9 2 2 2 2 3" xfId="13013"/>
    <cellStyle name="40% - Accent2 9 2 2 2 2 4" xfId="20968"/>
    <cellStyle name="40% - Accent2 9 2 2 2 3" xfId="6821"/>
    <cellStyle name="40% - Accent2 9 2 2 2 3 2" xfId="14793"/>
    <cellStyle name="40% - Accent2 9 2 2 2 3 3" xfId="22740"/>
    <cellStyle name="40% - Accent2 9 2 2 2 4" xfId="11257"/>
    <cellStyle name="40% - Accent2 9 2 2 2 5" xfId="19212"/>
    <cellStyle name="40% - Accent2 9 2 2 2_Exh G" xfId="2926"/>
    <cellStyle name="40% - Accent2 9 2 2 3" xfId="4110"/>
    <cellStyle name="40% - Accent2 9 2 2 3 2" xfId="7702"/>
    <cellStyle name="40% - Accent2 9 2 2 3 2 2" xfId="15673"/>
    <cellStyle name="40% - Accent2 9 2 2 3 2 3" xfId="23619"/>
    <cellStyle name="40% - Accent2 9 2 2 3 3" xfId="12135"/>
    <cellStyle name="40% - Accent2 9 2 2 3 4" xfId="20090"/>
    <cellStyle name="40% - Accent2 9 2 2 4" xfId="5930"/>
    <cellStyle name="40% - Accent2 9 2 2 4 2" xfId="13914"/>
    <cellStyle name="40% - Accent2 9 2 2 4 3" xfId="21862"/>
    <cellStyle name="40% - Accent2 9 2 2 5" xfId="9483"/>
    <cellStyle name="40% - Accent2 9 2 2 5 2" xfId="17441"/>
    <cellStyle name="40% - Accent2 9 2 2 5 3" xfId="25385"/>
    <cellStyle name="40% - Accent2 9 2 2 6" xfId="10379"/>
    <cellStyle name="40% - Accent2 9 2 2 7" xfId="18334"/>
    <cellStyle name="40% - Accent2 9 2 2_Exh G" xfId="2925"/>
    <cellStyle name="40% - Accent2 9 2 3" xfId="1458"/>
    <cellStyle name="40% - Accent2 9 2 3 2" xfId="4988"/>
    <cellStyle name="40% - Accent2 9 2 3 2 2" xfId="8579"/>
    <cellStyle name="40% - Accent2 9 2 3 2 2 2" xfId="16550"/>
    <cellStyle name="40% - Accent2 9 2 3 2 2 3" xfId="24496"/>
    <cellStyle name="40% - Accent2 9 2 3 2 3" xfId="13012"/>
    <cellStyle name="40% - Accent2 9 2 3 2 4" xfId="20967"/>
    <cellStyle name="40% - Accent2 9 2 3 3" xfId="6820"/>
    <cellStyle name="40% - Accent2 9 2 3 3 2" xfId="14792"/>
    <cellStyle name="40% - Accent2 9 2 3 3 3" xfId="22739"/>
    <cellStyle name="40% - Accent2 9 2 3 4" xfId="11256"/>
    <cellStyle name="40% - Accent2 9 2 3 5" xfId="19211"/>
    <cellStyle name="40% - Accent2 9 2 3_Exh G" xfId="2927"/>
    <cellStyle name="40% - Accent2 9 2 4" xfId="4109"/>
    <cellStyle name="40% - Accent2 9 2 4 2" xfId="7701"/>
    <cellStyle name="40% - Accent2 9 2 4 2 2" xfId="15672"/>
    <cellStyle name="40% - Accent2 9 2 4 2 3" xfId="23618"/>
    <cellStyle name="40% - Accent2 9 2 4 3" xfId="12134"/>
    <cellStyle name="40% - Accent2 9 2 4 4" xfId="20089"/>
    <cellStyle name="40% - Accent2 9 2 5" xfId="5929"/>
    <cellStyle name="40% - Accent2 9 2 5 2" xfId="13913"/>
    <cellStyle name="40% - Accent2 9 2 5 3" xfId="21861"/>
    <cellStyle name="40% - Accent2 9 2 6" xfId="9482"/>
    <cellStyle name="40% - Accent2 9 2 6 2" xfId="17440"/>
    <cellStyle name="40% - Accent2 9 2 6 3" xfId="25384"/>
    <cellStyle name="40% - Accent2 9 2 7" xfId="10378"/>
    <cellStyle name="40% - Accent2 9 2 8" xfId="18333"/>
    <cellStyle name="40% - Accent2 9 2_Exh G" xfId="2924"/>
    <cellStyle name="40% - Accent2 9 3" xfId="432"/>
    <cellStyle name="40% - Accent2 9 3 2" xfId="1460"/>
    <cellStyle name="40% - Accent2 9 3 2 2" xfId="4990"/>
    <cellStyle name="40% - Accent2 9 3 2 2 2" xfId="8581"/>
    <cellStyle name="40% - Accent2 9 3 2 2 2 2" xfId="16552"/>
    <cellStyle name="40% - Accent2 9 3 2 2 2 3" xfId="24498"/>
    <cellStyle name="40% - Accent2 9 3 2 2 3" xfId="13014"/>
    <cellStyle name="40% - Accent2 9 3 2 2 4" xfId="20969"/>
    <cellStyle name="40% - Accent2 9 3 2 3" xfId="6822"/>
    <cellStyle name="40% - Accent2 9 3 2 3 2" xfId="14794"/>
    <cellStyle name="40% - Accent2 9 3 2 3 3" xfId="22741"/>
    <cellStyle name="40% - Accent2 9 3 2 4" xfId="11258"/>
    <cellStyle name="40% - Accent2 9 3 2 5" xfId="19213"/>
    <cellStyle name="40% - Accent2 9 3 2_Exh G" xfId="2929"/>
    <cellStyle name="40% - Accent2 9 3 3" xfId="4111"/>
    <cellStyle name="40% - Accent2 9 3 3 2" xfId="7703"/>
    <cellStyle name="40% - Accent2 9 3 3 2 2" xfId="15674"/>
    <cellStyle name="40% - Accent2 9 3 3 2 3" xfId="23620"/>
    <cellStyle name="40% - Accent2 9 3 3 3" xfId="12136"/>
    <cellStyle name="40% - Accent2 9 3 3 4" xfId="20091"/>
    <cellStyle name="40% - Accent2 9 3 4" xfId="5931"/>
    <cellStyle name="40% - Accent2 9 3 4 2" xfId="13915"/>
    <cellStyle name="40% - Accent2 9 3 4 3" xfId="21863"/>
    <cellStyle name="40% - Accent2 9 3 5" xfId="9484"/>
    <cellStyle name="40% - Accent2 9 3 5 2" xfId="17442"/>
    <cellStyle name="40% - Accent2 9 3 5 3" xfId="25386"/>
    <cellStyle name="40% - Accent2 9 3 6" xfId="10380"/>
    <cellStyle name="40% - Accent2 9 3 7" xfId="18335"/>
    <cellStyle name="40% - Accent2 9 3_Exh G" xfId="2928"/>
    <cellStyle name="40% - Accent2 9 4" xfId="957"/>
    <cellStyle name="40% - Accent2 9 4 2" xfId="1878"/>
    <cellStyle name="40% - Accent2 9 4 2 2" xfId="5396"/>
    <cellStyle name="40% - Accent2 9 4 2 2 2" xfId="8987"/>
    <cellStyle name="40% - Accent2 9 4 2 2 2 2" xfId="16958"/>
    <cellStyle name="40% - Accent2 9 4 2 2 2 3" xfId="24904"/>
    <cellStyle name="40% - Accent2 9 4 2 2 3" xfId="13420"/>
    <cellStyle name="40% - Accent2 9 4 2 2 4" xfId="21375"/>
    <cellStyle name="40% - Accent2 9 4 2 3" xfId="7228"/>
    <cellStyle name="40% - Accent2 9 4 2 3 2" xfId="15200"/>
    <cellStyle name="40% - Accent2 9 4 2 3 3" xfId="23147"/>
    <cellStyle name="40% - Accent2 9 4 2 4" xfId="11664"/>
    <cellStyle name="40% - Accent2 9 4 2 5" xfId="19619"/>
    <cellStyle name="40% - Accent2 9 4 2_Exh G" xfId="2931"/>
    <cellStyle name="40% - Accent2 9 4 3" xfId="4517"/>
    <cellStyle name="40% - Accent2 9 4 3 2" xfId="8109"/>
    <cellStyle name="40% - Accent2 9 4 3 2 2" xfId="16080"/>
    <cellStyle name="40% - Accent2 9 4 3 2 3" xfId="24026"/>
    <cellStyle name="40% - Accent2 9 4 3 3" xfId="12542"/>
    <cellStyle name="40% - Accent2 9 4 3 4" xfId="20497"/>
    <cellStyle name="40% - Accent2 9 4 4" xfId="6347"/>
    <cellStyle name="40% - Accent2 9 4 4 2" xfId="14322"/>
    <cellStyle name="40% - Accent2 9 4 4 3" xfId="22269"/>
    <cellStyle name="40% - Accent2 9 4 5" xfId="9890"/>
    <cellStyle name="40% - Accent2 9 4 5 2" xfId="17848"/>
    <cellStyle name="40% - Accent2 9 4 5 3" xfId="25792"/>
    <cellStyle name="40% - Accent2 9 4 6" xfId="10786"/>
    <cellStyle name="40% - Accent2 9 4 7" xfId="18741"/>
    <cellStyle name="40% - Accent2 9 4_Exh G" xfId="2930"/>
    <cellStyle name="40% - Accent2 9 5" xfId="1457"/>
    <cellStyle name="40% - Accent2 9 5 2" xfId="4987"/>
    <cellStyle name="40% - Accent2 9 5 2 2" xfId="8578"/>
    <cellStyle name="40% - Accent2 9 5 2 2 2" xfId="16549"/>
    <cellStyle name="40% - Accent2 9 5 2 2 3" xfId="24495"/>
    <cellStyle name="40% - Accent2 9 5 2 3" xfId="13011"/>
    <cellStyle name="40% - Accent2 9 5 2 4" xfId="20966"/>
    <cellStyle name="40% - Accent2 9 5 3" xfId="6819"/>
    <cellStyle name="40% - Accent2 9 5 3 2" xfId="14791"/>
    <cellStyle name="40% - Accent2 9 5 3 3" xfId="22738"/>
    <cellStyle name="40% - Accent2 9 5 4" xfId="11255"/>
    <cellStyle name="40% - Accent2 9 5 5" xfId="19210"/>
    <cellStyle name="40% - Accent2 9 5_Exh G" xfId="2932"/>
    <cellStyle name="40% - Accent2 9 6" xfId="4108"/>
    <cellStyle name="40% - Accent2 9 6 2" xfId="7700"/>
    <cellStyle name="40% - Accent2 9 6 2 2" xfId="15671"/>
    <cellStyle name="40% - Accent2 9 6 2 3" xfId="23617"/>
    <cellStyle name="40% - Accent2 9 6 3" xfId="12133"/>
    <cellStyle name="40% - Accent2 9 6 4" xfId="20088"/>
    <cellStyle name="40% - Accent2 9 7" xfId="5928"/>
    <cellStyle name="40% - Accent2 9 7 2" xfId="13912"/>
    <cellStyle name="40% - Accent2 9 7 3" xfId="21860"/>
    <cellStyle name="40% - Accent2 9 8" xfId="9481"/>
    <cellStyle name="40% - Accent2 9 8 2" xfId="17439"/>
    <cellStyle name="40% - Accent2 9 8 3" xfId="25383"/>
    <cellStyle name="40% - Accent2 9 9" xfId="10377"/>
    <cellStyle name="40% - Accent2 9_Exh G" xfId="2923"/>
    <cellStyle name="40% - Accent3 10" xfId="433"/>
    <cellStyle name="40% - Accent3 10 10" xfId="18336"/>
    <cellStyle name="40% - Accent3 10 2" xfId="434"/>
    <cellStyle name="40% - Accent3 10 2 2" xfId="435"/>
    <cellStyle name="40% - Accent3 10 2 2 2" xfId="1463"/>
    <cellStyle name="40% - Accent3 10 2 2 2 2" xfId="4993"/>
    <cellStyle name="40% - Accent3 10 2 2 2 2 2" xfId="8584"/>
    <cellStyle name="40% - Accent3 10 2 2 2 2 2 2" xfId="16555"/>
    <cellStyle name="40% - Accent3 10 2 2 2 2 2 3" xfId="24501"/>
    <cellStyle name="40% - Accent3 10 2 2 2 2 3" xfId="13017"/>
    <cellStyle name="40% - Accent3 10 2 2 2 2 4" xfId="20972"/>
    <cellStyle name="40% - Accent3 10 2 2 2 3" xfId="6825"/>
    <cellStyle name="40% - Accent3 10 2 2 2 3 2" xfId="14797"/>
    <cellStyle name="40% - Accent3 10 2 2 2 3 3" xfId="22744"/>
    <cellStyle name="40% - Accent3 10 2 2 2 4" xfId="11261"/>
    <cellStyle name="40% - Accent3 10 2 2 2 5" xfId="19216"/>
    <cellStyle name="40% - Accent3 10 2 2 2_Exh G" xfId="2936"/>
    <cellStyle name="40% - Accent3 10 2 2 3" xfId="4114"/>
    <cellStyle name="40% - Accent3 10 2 2 3 2" xfId="7706"/>
    <cellStyle name="40% - Accent3 10 2 2 3 2 2" xfId="15677"/>
    <cellStyle name="40% - Accent3 10 2 2 3 2 3" xfId="23623"/>
    <cellStyle name="40% - Accent3 10 2 2 3 3" xfId="12139"/>
    <cellStyle name="40% - Accent3 10 2 2 3 4" xfId="20094"/>
    <cellStyle name="40% - Accent3 10 2 2 4" xfId="5934"/>
    <cellStyle name="40% - Accent3 10 2 2 4 2" xfId="13918"/>
    <cellStyle name="40% - Accent3 10 2 2 4 3" xfId="21866"/>
    <cellStyle name="40% - Accent3 10 2 2 5" xfId="9487"/>
    <cellStyle name="40% - Accent3 10 2 2 5 2" xfId="17445"/>
    <cellStyle name="40% - Accent3 10 2 2 5 3" xfId="25389"/>
    <cellStyle name="40% - Accent3 10 2 2 6" xfId="10383"/>
    <cellStyle name="40% - Accent3 10 2 2 7" xfId="18338"/>
    <cellStyle name="40% - Accent3 10 2 2_Exh G" xfId="2935"/>
    <cellStyle name="40% - Accent3 10 2 3" xfId="1462"/>
    <cellStyle name="40% - Accent3 10 2 3 2" xfId="4992"/>
    <cellStyle name="40% - Accent3 10 2 3 2 2" xfId="8583"/>
    <cellStyle name="40% - Accent3 10 2 3 2 2 2" xfId="16554"/>
    <cellStyle name="40% - Accent3 10 2 3 2 2 3" xfId="24500"/>
    <cellStyle name="40% - Accent3 10 2 3 2 3" xfId="13016"/>
    <cellStyle name="40% - Accent3 10 2 3 2 4" xfId="20971"/>
    <cellStyle name="40% - Accent3 10 2 3 3" xfId="6824"/>
    <cellStyle name="40% - Accent3 10 2 3 3 2" xfId="14796"/>
    <cellStyle name="40% - Accent3 10 2 3 3 3" xfId="22743"/>
    <cellStyle name="40% - Accent3 10 2 3 4" xfId="11260"/>
    <cellStyle name="40% - Accent3 10 2 3 5" xfId="19215"/>
    <cellStyle name="40% - Accent3 10 2 3_Exh G" xfId="2937"/>
    <cellStyle name="40% - Accent3 10 2 4" xfId="4113"/>
    <cellStyle name="40% - Accent3 10 2 4 2" xfId="7705"/>
    <cellStyle name="40% - Accent3 10 2 4 2 2" xfId="15676"/>
    <cellStyle name="40% - Accent3 10 2 4 2 3" xfId="23622"/>
    <cellStyle name="40% - Accent3 10 2 4 3" xfId="12138"/>
    <cellStyle name="40% - Accent3 10 2 4 4" xfId="20093"/>
    <cellStyle name="40% - Accent3 10 2 5" xfId="5933"/>
    <cellStyle name="40% - Accent3 10 2 5 2" xfId="13917"/>
    <cellStyle name="40% - Accent3 10 2 5 3" xfId="21865"/>
    <cellStyle name="40% - Accent3 10 2 6" xfId="9486"/>
    <cellStyle name="40% - Accent3 10 2 6 2" xfId="17444"/>
    <cellStyle name="40% - Accent3 10 2 6 3" xfId="25388"/>
    <cellStyle name="40% - Accent3 10 2 7" xfId="10382"/>
    <cellStyle name="40% - Accent3 10 2 8" xfId="18337"/>
    <cellStyle name="40% - Accent3 10 2_Exh G" xfId="2934"/>
    <cellStyle name="40% - Accent3 10 3" xfId="436"/>
    <cellStyle name="40% - Accent3 10 3 2" xfId="1464"/>
    <cellStyle name="40% - Accent3 10 3 2 2" xfId="4994"/>
    <cellStyle name="40% - Accent3 10 3 2 2 2" xfId="8585"/>
    <cellStyle name="40% - Accent3 10 3 2 2 2 2" xfId="16556"/>
    <cellStyle name="40% - Accent3 10 3 2 2 2 3" xfId="24502"/>
    <cellStyle name="40% - Accent3 10 3 2 2 3" xfId="13018"/>
    <cellStyle name="40% - Accent3 10 3 2 2 4" xfId="20973"/>
    <cellStyle name="40% - Accent3 10 3 2 3" xfId="6826"/>
    <cellStyle name="40% - Accent3 10 3 2 3 2" xfId="14798"/>
    <cellStyle name="40% - Accent3 10 3 2 3 3" xfId="22745"/>
    <cellStyle name="40% - Accent3 10 3 2 4" xfId="11262"/>
    <cellStyle name="40% - Accent3 10 3 2 5" xfId="19217"/>
    <cellStyle name="40% - Accent3 10 3 2_Exh G" xfId="2939"/>
    <cellStyle name="40% - Accent3 10 3 3" xfId="4115"/>
    <cellStyle name="40% - Accent3 10 3 3 2" xfId="7707"/>
    <cellStyle name="40% - Accent3 10 3 3 2 2" xfId="15678"/>
    <cellStyle name="40% - Accent3 10 3 3 2 3" xfId="23624"/>
    <cellStyle name="40% - Accent3 10 3 3 3" xfId="12140"/>
    <cellStyle name="40% - Accent3 10 3 3 4" xfId="20095"/>
    <cellStyle name="40% - Accent3 10 3 4" xfId="5935"/>
    <cellStyle name="40% - Accent3 10 3 4 2" xfId="13919"/>
    <cellStyle name="40% - Accent3 10 3 4 3" xfId="21867"/>
    <cellStyle name="40% - Accent3 10 3 5" xfId="9488"/>
    <cellStyle name="40% - Accent3 10 3 5 2" xfId="17446"/>
    <cellStyle name="40% - Accent3 10 3 5 3" xfId="25390"/>
    <cellStyle name="40% - Accent3 10 3 6" xfId="10384"/>
    <cellStyle name="40% - Accent3 10 3 7" xfId="18339"/>
    <cellStyle name="40% - Accent3 10 3_Exh G" xfId="2938"/>
    <cellStyle name="40% - Accent3 10 4" xfId="958"/>
    <cellStyle name="40% - Accent3 10 5" xfId="1461"/>
    <cellStyle name="40% - Accent3 10 5 2" xfId="4991"/>
    <cellStyle name="40% - Accent3 10 5 2 2" xfId="8582"/>
    <cellStyle name="40% - Accent3 10 5 2 2 2" xfId="16553"/>
    <cellStyle name="40% - Accent3 10 5 2 2 3" xfId="24499"/>
    <cellStyle name="40% - Accent3 10 5 2 3" xfId="13015"/>
    <cellStyle name="40% - Accent3 10 5 2 4" xfId="20970"/>
    <cellStyle name="40% - Accent3 10 5 3" xfId="6823"/>
    <cellStyle name="40% - Accent3 10 5 3 2" xfId="14795"/>
    <cellStyle name="40% - Accent3 10 5 3 3" xfId="22742"/>
    <cellStyle name="40% - Accent3 10 5 4" xfId="11259"/>
    <cellStyle name="40% - Accent3 10 5 5" xfId="19214"/>
    <cellStyle name="40% - Accent3 10 5_Exh G" xfId="2940"/>
    <cellStyle name="40% - Accent3 10 6" xfId="4112"/>
    <cellStyle name="40% - Accent3 10 6 2" xfId="7704"/>
    <cellStyle name="40% - Accent3 10 6 2 2" xfId="15675"/>
    <cellStyle name="40% - Accent3 10 6 2 3" xfId="23621"/>
    <cellStyle name="40% - Accent3 10 6 3" xfId="12137"/>
    <cellStyle name="40% - Accent3 10 6 4" xfId="20092"/>
    <cellStyle name="40% - Accent3 10 7" xfId="5932"/>
    <cellStyle name="40% - Accent3 10 7 2" xfId="13916"/>
    <cellStyle name="40% - Accent3 10 7 3" xfId="21864"/>
    <cellStyle name="40% - Accent3 10 8" xfId="9485"/>
    <cellStyle name="40% - Accent3 10 8 2" xfId="17443"/>
    <cellStyle name="40% - Accent3 10 8 3" xfId="25387"/>
    <cellStyle name="40% - Accent3 10 9" xfId="10381"/>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 2 2" xfId="8588"/>
    <cellStyle name="40% - Accent3 11 2 2 2 2 2 2" xfId="16559"/>
    <cellStyle name="40% - Accent3 11 2 2 2 2 2 3" xfId="24505"/>
    <cellStyle name="40% - Accent3 11 2 2 2 2 3" xfId="13021"/>
    <cellStyle name="40% - Accent3 11 2 2 2 2 4" xfId="20976"/>
    <cellStyle name="40% - Accent3 11 2 2 2 3" xfId="6829"/>
    <cellStyle name="40% - Accent3 11 2 2 2 3 2" xfId="14801"/>
    <cellStyle name="40% - Accent3 11 2 2 2 3 3" xfId="22748"/>
    <cellStyle name="40% - Accent3 11 2 2 2 4" xfId="11265"/>
    <cellStyle name="40% - Accent3 11 2 2 2 5" xfId="19220"/>
    <cellStyle name="40% - Accent3 11 2 2 2_Exh G" xfId="2944"/>
    <cellStyle name="40% - Accent3 11 2 2 3" xfId="4118"/>
    <cellStyle name="40% - Accent3 11 2 2 3 2" xfId="7710"/>
    <cellStyle name="40% - Accent3 11 2 2 3 2 2" xfId="15681"/>
    <cellStyle name="40% - Accent3 11 2 2 3 2 3" xfId="23627"/>
    <cellStyle name="40% - Accent3 11 2 2 3 3" xfId="12143"/>
    <cellStyle name="40% - Accent3 11 2 2 3 4" xfId="20098"/>
    <cellStyle name="40% - Accent3 11 2 2 4" xfId="5938"/>
    <cellStyle name="40% - Accent3 11 2 2 4 2" xfId="13922"/>
    <cellStyle name="40% - Accent3 11 2 2 4 3" xfId="21870"/>
    <cellStyle name="40% - Accent3 11 2 2 5" xfId="9491"/>
    <cellStyle name="40% - Accent3 11 2 2 5 2" xfId="17449"/>
    <cellStyle name="40% - Accent3 11 2 2 5 3" xfId="25393"/>
    <cellStyle name="40% - Accent3 11 2 2 6" xfId="10387"/>
    <cellStyle name="40% - Accent3 11 2 2 7" xfId="18342"/>
    <cellStyle name="40% - Accent3 11 2 2_Exh G" xfId="2943"/>
    <cellStyle name="40% - Accent3 11 2 3" xfId="1466"/>
    <cellStyle name="40% - Accent3 11 2 3 2" xfId="4996"/>
    <cellStyle name="40% - Accent3 11 2 3 2 2" xfId="8587"/>
    <cellStyle name="40% - Accent3 11 2 3 2 2 2" xfId="16558"/>
    <cellStyle name="40% - Accent3 11 2 3 2 2 3" xfId="24504"/>
    <cellStyle name="40% - Accent3 11 2 3 2 3" xfId="13020"/>
    <cellStyle name="40% - Accent3 11 2 3 2 4" xfId="20975"/>
    <cellStyle name="40% - Accent3 11 2 3 3" xfId="6828"/>
    <cellStyle name="40% - Accent3 11 2 3 3 2" xfId="14800"/>
    <cellStyle name="40% - Accent3 11 2 3 3 3" xfId="22747"/>
    <cellStyle name="40% - Accent3 11 2 3 4" xfId="11264"/>
    <cellStyle name="40% - Accent3 11 2 3 5" xfId="19219"/>
    <cellStyle name="40% - Accent3 11 2 3_Exh G" xfId="2945"/>
    <cellStyle name="40% - Accent3 11 2 4" xfId="4117"/>
    <cellStyle name="40% - Accent3 11 2 4 2" xfId="7709"/>
    <cellStyle name="40% - Accent3 11 2 4 2 2" xfId="15680"/>
    <cellStyle name="40% - Accent3 11 2 4 2 3" xfId="23626"/>
    <cellStyle name="40% - Accent3 11 2 4 3" xfId="12142"/>
    <cellStyle name="40% - Accent3 11 2 4 4" xfId="20097"/>
    <cellStyle name="40% - Accent3 11 2 5" xfId="5937"/>
    <cellStyle name="40% - Accent3 11 2 5 2" xfId="13921"/>
    <cellStyle name="40% - Accent3 11 2 5 3" xfId="21869"/>
    <cellStyle name="40% - Accent3 11 2 6" xfId="9490"/>
    <cellStyle name="40% - Accent3 11 2 6 2" xfId="17448"/>
    <cellStyle name="40% - Accent3 11 2 6 3" xfId="25392"/>
    <cellStyle name="40% - Accent3 11 2 7" xfId="10386"/>
    <cellStyle name="40% - Accent3 11 2 8" xfId="18341"/>
    <cellStyle name="40% - Accent3 11 2_Exh G" xfId="2942"/>
    <cellStyle name="40% - Accent3 11 3" xfId="440"/>
    <cellStyle name="40% - Accent3 11 3 2" xfId="1468"/>
    <cellStyle name="40% - Accent3 11 3 2 2" xfId="4998"/>
    <cellStyle name="40% - Accent3 11 3 2 2 2" xfId="8589"/>
    <cellStyle name="40% - Accent3 11 3 2 2 2 2" xfId="16560"/>
    <cellStyle name="40% - Accent3 11 3 2 2 2 3" xfId="24506"/>
    <cellStyle name="40% - Accent3 11 3 2 2 3" xfId="13022"/>
    <cellStyle name="40% - Accent3 11 3 2 2 4" xfId="20977"/>
    <cellStyle name="40% - Accent3 11 3 2 3" xfId="6830"/>
    <cellStyle name="40% - Accent3 11 3 2 3 2" xfId="14802"/>
    <cellStyle name="40% - Accent3 11 3 2 3 3" xfId="22749"/>
    <cellStyle name="40% - Accent3 11 3 2 4" xfId="11266"/>
    <cellStyle name="40% - Accent3 11 3 2 5" xfId="19221"/>
    <cellStyle name="40% - Accent3 11 3 2_Exh G" xfId="2947"/>
    <cellStyle name="40% - Accent3 11 3 3" xfId="4119"/>
    <cellStyle name="40% - Accent3 11 3 3 2" xfId="7711"/>
    <cellStyle name="40% - Accent3 11 3 3 2 2" xfId="15682"/>
    <cellStyle name="40% - Accent3 11 3 3 2 3" xfId="23628"/>
    <cellStyle name="40% - Accent3 11 3 3 3" xfId="12144"/>
    <cellStyle name="40% - Accent3 11 3 3 4" xfId="20099"/>
    <cellStyle name="40% - Accent3 11 3 4" xfId="5939"/>
    <cellStyle name="40% - Accent3 11 3 4 2" xfId="13923"/>
    <cellStyle name="40% - Accent3 11 3 4 3" xfId="21871"/>
    <cellStyle name="40% - Accent3 11 3 5" xfId="9492"/>
    <cellStyle name="40% - Accent3 11 3 5 2" xfId="17450"/>
    <cellStyle name="40% - Accent3 11 3 5 3" xfId="25394"/>
    <cellStyle name="40% - Accent3 11 3 6" xfId="10388"/>
    <cellStyle name="40% - Accent3 11 3 7" xfId="18343"/>
    <cellStyle name="40% - Accent3 11 3_Exh G" xfId="2946"/>
    <cellStyle name="40% - Accent3 11 4" xfId="1465"/>
    <cellStyle name="40% - Accent3 11 4 2" xfId="4995"/>
    <cellStyle name="40% - Accent3 11 4 2 2" xfId="8586"/>
    <cellStyle name="40% - Accent3 11 4 2 2 2" xfId="16557"/>
    <cellStyle name="40% - Accent3 11 4 2 2 3" xfId="24503"/>
    <cellStyle name="40% - Accent3 11 4 2 3" xfId="13019"/>
    <cellStyle name="40% - Accent3 11 4 2 4" xfId="20974"/>
    <cellStyle name="40% - Accent3 11 4 3" xfId="6827"/>
    <cellStyle name="40% - Accent3 11 4 3 2" xfId="14799"/>
    <cellStyle name="40% - Accent3 11 4 3 3" xfId="22746"/>
    <cellStyle name="40% - Accent3 11 4 4" xfId="11263"/>
    <cellStyle name="40% - Accent3 11 4 5" xfId="19218"/>
    <cellStyle name="40% - Accent3 11 4_Exh G" xfId="2948"/>
    <cellStyle name="40% - Accent3 11 5" xfId="4116"/>
    <cellStyle name="40% - Accent3 11 5 2" xfId="7708"/>
    <cellStyle name="40% - Accent3 11 5 2 2" xfId="15679"/>
    <cellStyle name="40% - Accent3 11 5 2 3" xfId="23625"/>
    <cellStyle name="40% - Accent3 11 5 3" xfId="12141"/>
    <cellStyle name="40% - Accent3 11 5 4" xfId="20096"/>
    <cellStyle name="40% - Accent3 11 6" xfId="5936"/>
    <cellStyle name="40% - Accent3 11 6 2" xfId="13920"/>
    <cellStyle name="40% - Accent3 11 6 3" xfId="21868"/>
    <cellStyle name="40% - Accent3 11 7" xfId="9489"/>
    <cellStyle name="40% - Accent3 11 7 2" xfId="17447"/>
    <cellStyle name="40% - Accent3 11 7 3" xfId="25391"/>
    <cellStyle name="40% - Accent3 11 8" xfId="10385"/>
    <cellStyle name="40% - Accent3 11 9" xfId="18340"/>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 2 2" xfId="8592"/>
    <cellStyle name="40% - Accent3 12 2 2 2 2 2 2" xfId="16563"/>
    <cellStyle name="40% - Accent3 12 2 2 2 2 2 3" xfId="24509"/>
    <cellStyle name="40% - Accent3 12 2 2 2 2 3" xfId="13025"/>
    <cellStyle name="40% - Accent3 12 2 2 2 2 4" xfId="20980"/>
    <cellStyle name="40% - Accent3 12 2 2 2 3" xfId="6833"/>
    <cellStyle name="40% - Accent3 12 2 2 2 3 2" xfId="14805"/>
    <cellStyle name="40% - Accent3 12 2 2 2 3 3" xfId="22752"/>
    <cellStyle name="40% - Accent3 12 2 2 2 4" xfId="11269"/>
    <cellStyle name="40% - Accent3 12 2 2 2 5" xfId="19224"/>
    <cellStyle name="40% - Accent3 12 2 2 2_Exh G" xfId="2952"/>
    <cellStyle name="40% - Accent3 12 2 2 3" xfId="4122"/>
    <cellStyle name="40% - Accent3 12 2 2 3 2" xfId="7714"/>
    <cellStyle name="40% - Accent3 12 2 2 3 2 2" xfId="15685"/>
    <cellStyle name="40% - Accent3 12 2 2 3 2 3" xfId="23631"/>
    <cellStyle name="40% - Accent3 12 2 2 3 3" xfId="12147"/>
    <cellStyle name="40% - Accent3 12 2 2 3 4" xfId="20102"/>
    <cellStyle name="40% - Accent3 12 2 2 4" xfId="5942"/>
    <cellStyle name="40% - Accent3 12 2 2 4 2" xfId="13926"/>
    <cellStyle name="40% - Accent3 12 2 2 4 3" xfId="21874"/>
    <cellStyle name="40% - Accent3 12 2 2 5" xfId="9495"/>
    <cellStyle name="40% - Accent3 12 2 2 5 2" xfId="17453"/>
    <cellStyle name="40% - Accent3 12 2 2 5 3" xfId="25397"/>
    <cellStyle name="40% - Accent3 12 2 2 6" xfId="10391"/>
    <cellStyle name="40% - Accent3 12 2 2 7" xfId="18346"/>
    <cellStyle name="40% - Accent3 12 2 2_Exh G" xfId="2951"/>
    <cellStyle name="40% - Accent3 12 2 3" xfId="1470"/>
    <cellStyle name="40% - Accent3 12 2 3 2" xfId="5000"/>
    <cellStyle name="40% - Accent3 12 2 3 2 2" xfId="8591"/>
    <cellStyle name="40% - Accent3 12 2 3 2 2 2" xfId="16562"/>
    <cellStyle name="40% - Accent3 12 2 3 2 2 3" xfId="24508"/>
    <cellStyle name="40% - Accent3 12 2 3 2 3" xfId="13024"/>
    <cellStyle name="40% - Accent3 12 2 3 2 4" xfId="20979"/>
    <cellStyle name="40% - Accent3 12 2 3 3" xfId="6832"/>
    <cellStyle name="40% - Accent3 12 2 3 3 2" xfId="14804"/>
    <cellStyle name="40% - Accent3 12 2 3 3 3" xfId="22751"/>
    <cellStyle name="40% - Accent3 12 2 3 4" xfId="11268"/>
    <cellStyle name="40% - Accent3 12 2 3 5" xfId="19223"/>
    <cellStyle name="40% - Accent3 12 2 3_Exh G" xfId="2953"/>
    <cellStyle name="40% - Accent3 12 2 4" xfId="4121"/>
    <cellStyle name="40% - Accent3 12 2 4 2" xfId="7713"/>
    <cellStyle name="40% - Accent3 12 2 4 2 2" xfId="15684"/>
    <cellStyle name="40% - Accent3 12 2 4 2 3" xfId="23630"/>
    <cellStyle name="40% - Accent3 12 2 4 3" xfId="12146"/>
    <cellStyle name="40% - Accent3 12 2 4 4" xfId="20101"/>
    <cellStyle name="40% - Accent3 12 2 5" xfId="5941"/>
    <cellStyle name="40% - Accent3 12 2 5 2" xfId="13925"/>
    <cellStyle name="40% - Accent3 12 2 5 3" xfId="21873"/>
    <cellStyle name="40% - Accent3 12 2 6" xfId="9494"/>
    <cellStyle name="40% - Accent3 12 2 6 2" xfId="17452"/>
    <cellStyle name="40% - Accent3 12 2 6 3" xfId="25396"/>
    <cellStyle name="40% - Accent3 12 2 7" xfId="10390"/>
    <cellStyle name="40% - Accent3 12 2 8" xfId="18345"/>
    <cellStyle name="40% - Accent3 12 2_Exh G" xfId="2950"/>
    <cellStyle name="40% - Accent3 12 3" xfId="444"/>
    <cellStyle name="40% - Accent3 12 3 2" xfId="1472"/>
    <cellStyle name="40% - Accent3 12 3 2 2" xfId="5002"/>
    <cellStyle name="40% - Accent3 12 3 2 2 2" xfId="8593"/>
    <cellStyle name="40% - Accent3 12 3 2 2 2 2" xfId="16564"/>
    <cellStyle name="40% - Accent3 12 3 2 2 2 3" xfId="24510"/>
    <cellStyle name="40% - Accent3 12 3 2 2 3" xfId="13026"/>
    <cellStyle name="40% - Accent3 12 3 2 2 4" xfId="20981"/>
    <cellStyle name="40% - Accent3 12 3 2 3" xfId="6834"/>
    <cellStyle name="40% - Accent3 12 3 2 3 2" xfId="14806"/>
    <cellStyle name="40% - Accent3 12 3 2 3 3" xfId="22753"/>
    <cellStyle name="40% - Accent3 12 3 2 4" xfId="11270"/>
    <cellStyle name="40% - Accent3 12 3 2 5" xfId="19225"/>
    <cellStyle name="40% - Accent3 12 3 2_Exh G" xfId="2955"/>
    <cellStyle name="40% - Accent3 12 3 3" xfId="4123"/>
    <cellStyle name="40% - Accent3 12 3 3 2" xfId="7715"/>
    <cellStyle name="40% - Accent3 12 3 3 2 2" xfId="15686"/>
    <cellStyle name="40% - Accent3 12 3 3 2 3" xfId="23632"/>
    <cellStyle name="40% - Accent3 12 3 3 3" xfId="12148"/>
    <cellStyle name="40% - Accent3 12 3 3 4" xfId="20103"/>
    <cellStyle name="40% - Accent3 12 3 4" xfId="5943"/>
    <cellStyle name="40% - Accent3 12 3 4 2" xfId="13927"/>
    <cellStyle name="40% - Accent3 12 3 4 3" xfId="21875"/>
    <cellStyle name="40% - Accent3 12 3 5" xfId="9496"/>
    <cellStyle name="40% - Accent3 12 3 5 2" xfId="17454"/>
    <cellStyle name="40% - Accent3 12 3 5 3" xfId="25398"/>
    <cellStyle name="40% - Accent3 12 3 6" xfId="10392"/>
    <cellStyle name="40% - Accent3 12 3 7" xfId="18347"/>
    <cellStyle name="40% - Accent3 12 3_Exh G" xfId="2954"/>
    <cellStyle name="40% - Accent3 12 4" xfId="1469"/>
    <cellStyle name="40% - Accent3 12 4 2" xfId="4999"/>
    <cellStyle name="40% - Accent3 12 4 2 2" xfId="8590"/>
    <cellStyle name="40% - Accent3 12 4 2 2 2" xfId="16561"/>
    <cellStyle name="40% - Accent3 12 4 2 2 3" xfId="24507"/>
    <cellStyle name="40% - Accent3 12 4 2 3" xfId="13023"/>
    <cellStyle name="40% - Accent3 12 4 2 4" xfId="20978"/>
    <cellStyle name="40% - Accent3 12 4 3" xfId="6831"/>
    <cellStyle name="40% - Accent3 12 4 3 2" xfId="14803"/>
    <cellStyle name="40% - Accent3 12 4 3 3" xfId="22750"/>
    <cellStyle name="40% - Accent3 12 4 4" xfId="11267"/>
    <cellStyle name="40% - Accent3 12 4 5" xfId="19222"/>
    <cellStyle name="40% - Accent3 12 4_Exh G" xfId="2956"/>
    <cellStyle name="40% - Accent3 12 5" xfId="4120"/>
    <cellStyle name="40% - Accent3 12 5 2" xfId="7712"/>
    <cellStyle name="40% - Accent3 12 5 2 2" xfId="15683"/>
    <cellStyle name="40% - Accent3 12 5 2 3" xfId="23629"/>
    <cellStyle name="40% - Accent3 12 5 3" xfId="12145"/>
    <cellStyle name="40% - Accent3 12 5 4" xfId="20100"/>
    <cellStyle name="40% - Accent3 12 6" xfId="5940"/>
    <cellStyle name="40% - Accent3 12 6 2" xfId="13924"/>
    <cellStyle name="40% - Accent3 12 6 3" xfId="21872"/>
    <cellStyle name="40% - Accent3 12 7" xfId="9493"/>
    <cellStyle name="40% - Accent3 12 7 2" xfId="17451"/>
    <cellStyle name="40% - Accent3 12 7 3" xfId="25395"/>
    <cellStyle name="40% - Accent3 12 8" xfId="10389"/>
    <cellStyle name="40% - Accent3 12 9" xfId="18344"/>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 2 2" xfId="8596"/>
    <cellStyle name="40% - Accent3 13 2 2 2 2 2 2" xfId="16567"/>
    <cellStyle name="40% - Accent3 13 2 2 2 2 2 3" xfId="24513"/>
    <cellStyle name="40% - Accent3 13 2 2 2 2 3" xfId="13029"/>
    <cellStyle name="40% - Accent3 13 2 2 2 2 4" xfId="20984"/>
    <cellStyle name="40% - Accent3 13 2 2 2 3" xfId="6837"/>
    <cellStyle name="40% - Accent3 13 2 2 2 3 2" xfId="14809"/>
    <cellStyle name="40% - Accent3 13 2 2 2 3 3" xfId="22756"/>
    <cellStyle name="40% - Accent3 13 2 2 2 4" xfId="11273"/>
    <cellStyle name="40% - Accent3 13 2 2 2 5" xfId="19228"/>
    <cellStyle name="40% - Accent3 13 2 2 2_Exh G" xfId="2960"/>
    <cellStyle name="40% - Accent3 13 2 2 3" xfId="4126"/>
    <cellStyle name="40% - Accent3 13 2 2 3 2" xfId="7718"/>
    <cellStyle name="40% - Accent3 13 2 2 3 2 2" xfId="15689"/>
    <cellStyle name="40% - Accent3 13 2 2 3 2 3" xfId="23635"/>
    <cellStyle name="40% - Accent3 13 2 2 3 3" xfId="12151"/>
    <cellStyle name="40% - Accent3 13 2 2 3 4" xfId="20106"/>
    <cellStyle name="40% - Accent3 13 2 2 4" xfId="5946"/>
    <cellStyle name="40% - Accent3 13 2 2 4 2" xfId="13930"/>
    <cellStyle name="40% - Accent3 13 2 2 4 3" xfId="21878"/>
    <cellStyle name="40% - Accent3 13 2 2 5" xfId="9499"/>
    <cellStyle name="40% - Accent3 13 2 2 5 2" xfId="17457"/>
    <cellStyle name="40% - Accent3 13 2 2 5 3" xfId="25401"/>
    <cellStyle name="40% - Accent3 13 2 2 6" xfId="10395"/>
    <cellStyle name="40% - Accent3 13 2 2 7" xfId="18350"/>
    <cellStyle name="40% - Accent3 13 2 2_Exh G" xfId="2959"/>
    <cellStyle name="40% - Accent3 13 2 3" xfId="1474"/>
    <cellStyle name="40% - Accent3 13 2 3 2" xfId="5004"/>
    <cellStyle name="40% - Accent3 13 2 3 2 2" xfId="8595"/>
    <cellStyle name="40% - Accent3 13 2 3 2 2 2" xfId="16566"/>
    <cellStyle name="40% - Accent3 13 2 3 2 2 3" xfId="24512"/>
    <cellStyle name="40% - Accent3 13 2 3 2 3" xfId="13028"/>
    <cellStyle name="40% - Accent3 13 2 3 2 4" xfId="20983"/>
    <cellStyle name="40% - Accent3 13 2 3 3" xfId="6836"/>
    <cellStyle name="40% - Accent3 13 2 3 3 2" xfId="14808"/>
    <cellStyle name="40% - Accent3 13 2 3 3 3" xfId="22755"/>
    <cellStyle name="40% - Accent3 13 2 3 4" xfId="11272"/>
    <cellStyle name="40% - Accent3 13 2 3 5" xfId="19227"/>
    <cellStyle name="40% - Accent3 13 2 3_Exh G" xfId="2961"/>
    <cellStyle name="40% - Accent3 13 2 4" xfId="4125"/>
    <cellStyle name="40% - Accent3 13 2 4 2" xfId="7717"/>
    <cellStyle name="40% - Accent3 13 2 4 2 2" xfId="15688"/>
    <cellStyle name="40% - Accent3 13 2 4 2 3" xfId="23634"/>
    <cellStyle name="40% - Accent3 13 2 4 3" xfId="12150"/>
    <cellStyle name="40% - Accent3 13 2 4 4" xfId="20105"/>
    <cellStyle name="40% - Accent3 13 2 5" xfId="5945"/>
    <cellStyle name="40% - Accent3 13 2 5 2" xfId="13929"/>
    <cellStyle name="40% - Accent3 13 2 5 3" xfId="21877"/>
    <cellStyle name="40% - Accent3 13 2 6" xfId="9498"/>
    <cellStyle name="40% - Accent3 13 2 6 2" xfId="17456"/>
    <cellStyle name="40% - Accent3 13 2 6 3" xfId="25400"/>
    <cellStyle name="40% - Accent3 13 2 7" xfId="10394"/>
    <cellStyle name="40% - Accent3 13 2 8" xfId="18349"/>
    <cellStyle name="40% - Accent3 13 2_Exh G" xfId="2958"/>
    <cellStyle name="40% - Accent3 13 3" xfId="448"/>
    <cellStyle name="40% - Accent3 13 3 2" xfId="1476"/>
    <cellStyle name="40% - Accent3 13 3 2 2" xfId="5006"/>
    <cellStyle name="40% - Accent3 13 3 2 2 2" xfId="8597"/>
    <cellStyle name="40% - Accent3 13 3 2 2 2 2" xfId="16568"/>
    <cellStyle name="40% - Accent3 13 3 2 2 2 3" xfId="24514"/>
    <cellStyle name="40% - Accent3 13 3 2 2 3" xfId="13030"/>
    <cellStyle name="40% - Accent3 13 3 2 2 4" xfId="20985"/>
    <cellStyle name="40% - Accent3 13 3 2 3" xfId="6838"/>
    <cellStyle name="40% - Accent3 13 3 2 3 2" xfId="14810"/>
    <cellStyle name="40% - Accent3 13 3 2 3 3" xfId="22757"/>
    <cellStyle name="40% - Accent3 13 3 2 4" xfId="11274"/>
    <cellStyle name="40% - Accent3 13 3 2 5" xfId="19229"/>
    <cellStyle name="40% - Accent3 13 3 2_Exh G" xfId="2963"/>
    <cellStyle name="40% - Accent3 13 3 3" xfId="4127"/>
    <cellStyle name="40% - Accent3 13 3 3 2" xfId="7719"/>
    <cellStyle name="40% - Accent3 13 3 3 2 2" xfId="15690"/>
    <cellStyle name="40% - Accent3 13 3 3 2 3" xfId="23636"/>
    <cellStyle name="40% - Accent3 13 3 3 3" xfId="12152"/>
    <cellStyle name="40% - Accent3 13 3 3 4" xfId="20107"/>
    <cellStyle name="40% - Accent3 13 3 4" xfId="5947"/>
    <cellStyle name="40% - Accent3 13 3 4 2" xfId="13931"/>
    <cellStyle name="40% - Accent3 13 3 4 3" xfId="21879"/>
    <cellStyle name="40% - Accent3 13 3 5" xfId="9500"/>
    <cellStyle name="40% - Accent3 13 3 5 2" xfId="17458"/>
    <cellStyle name="40% - Accent3 13 3 5 3" xfId="25402"/>
    <cellStyle name="40% - Accent3 13 3 6" xfId="10396"/>
    <cellStyle name="40% - Accent3 13 3 7" xfId="18351"/>
    <cellStyle name="40% - Accent3 13 3_Exh G" xfId="2962"/>
    <cellStyle name="40% - Accent3 13 4" xfId="1473"/>
    <cellStyle name="40% - Accent3 13 4 2" xfId="5003"/>
    <cellStyle name="40% - Accent3 13 4 2 2" xfId="8594"/>
    <cellStyle name="40% - Accent3 13 4 2 2 2" xfId="16565"/>
    <cellStyle name="40% - Accent3 13 4 2 2 3" xfId="24511"/>
    <cellStyle name="40% - Accent3 13 4 2 3" xfId="13027"/>
    <cellStyle name="40% - Accent3 13 4 2 4" xfId="20982"/>
    <cellStyle name="40% - Accent3 13 4 3" xfId="6835"/>
    <cellStyle name="40% - Accent3 13 4 3 2" xfId="14807"/>
    <cellStyle name="40% - Accent3 13 4 3 3" xfId="22754"/>
    <cellStyle name="40% - Accent3 13 4 4" xfId="11271"/>
    <cellStyle name="40% - Accent3 13 4 5" xfId="19226"/>
    <cellStyle name="40% - Accent3 13 4_Exh G" xfId="2964"/>
    <cellStyle name="40% - Accent3 13 5" xfId="4124"/>
    <cellStyle name="40% - Accent3 13 5 2" xfId="7716"/>
    <cellStyle name="40% - Accent3 13 5 2 2" xfId="15687"/>
    <cellStyle name="40% - Accent3 13 5 2 3" xfId="23633"/>
    <cellStyle name="40% - Accent3 13 5 3" xfId="12149"/>
    <cellStyle name="40% - Accent3 13 5 4" xfId="20104"/>
    <cellStyle name="40% - Accent3 13 6" xfId="5944"/>
    <cellStyle name="40% - Accent3 13 6 2" xfId="13928"/>
    <cellStyle name="40% - Accent3 13 6 3" xfId="21876"/>
    <cellStyle name="40% - Accent3 13 7" xfId="9497"/>
    <cellStyle name="40% - Accent3 13 7 2" xfId="17455"/>
    <cellStyle name="40% - Accent3 13 7 3" xfId="25399"/>
    <cellStyle name="40% - Accent3 13 8" xfId="10393"/>
    <cellStyle name="40% - Accent3 13 9" xfId="18348"/>
    <cellStyle name="40% - Accent3 13_Exh G" xfId="2957"/>
    <cellStyle name="40% - Accent3 14" xfId="449"/>
    <cellStyle name="40% - Accent3 14 2" xfId="450"/>
    <cellStyle name="40% - Accent3 14 2 2" xfId="1478"/>
    <cellStyle name="40% - Accent3 14 2 2 2" xfId="5008"/>
    <cellStyle name="40% - Accent3 14 2 2 2 2" xfId="8599"/>
    <cellStyle name="40% - Accent3 14 2 2 2 2 2" xfId="16570"/>
    <cellStyle name="40% - Accent3 14 2 2 2 2 3" xfId="24516"/>
    <cellStyle name="40% - Accent3 14 2 2 2 3" xfId="13032"/>
    <cellStyle name="40% - Accent3 14 2 2 2 4" xfId="20987"/>
    <cellStyle name="40% - Accent3 14 2 2 3" xfId="6840"/>
    <cellStyle name="40% - Accent3 14 2 2 3 2" xfId="14812"/>
    <cellStyle name="40% - Accent3 14 2 2 3 3" xfId="22759"/>
    <cellStyle name="40% - Accent3 14 2 2 4" xfId="11276"/>
    <cellStyle name="40% - Accent3 14 2 2 5" xfId="19231"/>
    <cellStyle name="40% - Accent3 14 2 2_Exh G" xfId="2967"/>
    <cellStyle name="40% - Accent3 14 2 3" xfId="4129"/>
    <cellStyle name="40% - Accent3 14 2 3 2" xfId="7721"/>
    <cellStyle name="40% - Accent3 14 2 3 2 2" xfId="15692"/>
    <cellStyle name="40% - Accent3 14 2 3 2 3" xfId="23638"/>
    <cellStyle name="40% - Accent3 14 2 3 3" xfId="12154"/>
    <cellStyle name="40% - Accent3 14 2 3 4" xfId="20109"/>
    <cellStyle name="40% - Accent3 14 2 4" xfId="5949"/>
    <cellStyle name="40% - Accent3 14 2 4 2" xfId="13933"/>
    <cellStyle name="40% - Accent3 14 2 4 3" xfId="21881"/>
    <cellStyle name="40% - Accent3 14 2 5" xfId="9502"/>
    <cellStyle name="40% - Accent3 14 2 5 2" xfId="17460"/>
    <cellStyle name="40% - Accent3 14 2 5 3" xfId="25404"/>
    <cellStyle name="40% - Accent3 14 2 6" xfId="10398"/>
    <cellStyle name="40% - Accent3 14 2 7" xfId="18353"/>
    <cellStyle name="40% - Accent3 14 2_Exh G" xfId="2966"/>
    <cellStyle name="40% - Accent3 14 3" xfId="1477"/>
    <cellStyle name="40% - Accent3 14 3 2" xfId="5007"/>
    <cellStyle name="40% - Accent3 14 3 2 2" xfId="8598"/>
    <cellStyle name="40% - Accent3 14 3 2 2 2" xfId="16569"/>
    <cellStyle name="40% - Accent3 14 3 2 2 3" xfId="24515"/>
    <cellStyle name="40% - Accent3 14 3 2 3" xfId="13031"/>
    <cellStyle name="40% - Accent3 14 3 2 4" xfId="20986"/>
    <cellStyle name="40% - Accent3 14 3 3" xfId="6839"/>
    <cellStyle name="40% - Accent3 14 3 3 2" xfId="14811"/>
    <cellStyle name="40% - Accent3 14 3 3 3" xfId="22758"/>
    <cellStyle name="40% - Accent3 14 3 4" xfId="11275"/>
    <cellStyle name="40% - Accent3 14 3 5" xfId="19230"/>
    <cellStyle name="40% - Accent3 14 3_Exh G" xfId="2968"/>
    <cellStyle name="40% - Accent3 14 4" xfId="4128"/>
    <cellStyle name="40% - Accent3 14 4 2" xfId="7720"/>
    <cellStyle name="40% - Accent3 14 4 2 2" xfId="15691"/>
    <cellStyle name="40% - Accent3 14 4 2 3" xfId="23637"/>
    <cellStyle name="40% - Accent3 14 4 3" xfId="12153"/>
    <cellStyle name="40% - Accent3 14 4 4" xfId="20108"/>
    <cellStyle name="40% - Accent3 14 5" xfId="5948"/>
    <cellStyle name="40% - Accent3 14 5 2" xfId="13932"/>
    <cellStyle name="40% - Accent3 14 5 3" xfId="21880"/>
    <cellStyle name="40% - Accent3 14 6" xfId="9501"/>
    <cellStyle name="40% - Accent3 14 6 2" xfId="17459"/>
    <cellStyle name="40% - Accent3 14 6 3" xfId="25403"/>
    <cellStyle name="40% - Accent3 14 7" xfId="10397"/>
    <cellStyle name="40% - Accent3 14 8" xfId="18352"/>
    <cellStyle name="40% - Accent3 14_Exh G" xfId="2965"/>
    <cellStyle name="40% - Accent3 15" xfId="451"/>
    <cellStyle name="40% - Accent3 15 2" xfId="1479"/>
    <cellStyle name="40% - Accent3 15 2 2" xfId="5009"/>
    <cellStyle name="40% - Accent3 15 2 2 2" xfId="8600"/>
    <cellStyle name="40% - Accent3 15 2 2 2 2" xfId="16571"/>
    <cellStyle name="40% - Accent3 15 2 2 2 3" xfId="24517"/>
    <cellStyle name="40% - Accent3 15 2 2 3" xfId="13033"/>
    <cellStyle name="40% - Accent3 15 2 2 4" xfId="20988"/>
    <cellStyle name="40% - Accent3 15 2 3" xfId="6841"/>
    <cellStyle name="40% - Accent3 15 2 3 2" xfId="14813"/>
    <cellStyle name="40% - Accent3 15 2 3 3" xfId="22760"/>
    <cellStyle name="40% - Accent3 15 2 4" xfId="11277"/>
    <cellStyle name="40% - Accent3 15 2 5" xfId="19232"/>
    <cellStyle name="40% - Accent3 15 2_Exh G" xfId="2970"/>
    <cellStyle name="40% - Accent3 15 3" xfId="4130"/>
    <cellStyle name="40% - Accent3 15 3 2" xfId="7722"/>
    <cellStyle name="40% - Accent3 15 3 2 2" xfId="15693"/>
    <cellStyle name="40% - Accent3 15 3 2 3" xfId="23639"/>
    <cellStyle name="40% - Accent3 15 3 3" xfId="12155"/>
    <cellStyle name="40% - Accent3 15 3 4" xfId="20110"/>
    <cellStyle name="40% - Accent3 15 4" xfId="5950"/>
    <cellStyle name="40% - Accent3 15 4 2" xfId="13934"/>
    <cellStyle name="40% - Accent3 15 4 3" xfId="21882"/>
    <cellStyle name="40% - Accent3 15 5" xfId="9503"/>
    <cellStyle name="40% - Accent3 15 5 2" xfId="17461"/>
    <cellStyle name="40% - Accent3 15 5 3" xfId="25405"/>
    <cellStyle name="40% - Accent3 15 6" xfId="10399"/>
    <cellStyle name="40% - Accent3 15 7" xfId="18354"/>
    <cellStyle name="40% - Accent3 15_Exh G" xfId="2969"/>
    <cellStyle name="40% - Accent3 16" xfId="851"/>
    <cellStyle name="40% - Accent3 16 2" xfId="1790"/>
    <cellStyle name="40% - Accent3 16 2 2" xfId="5311"/>
    <cellStyle name="40% - Accent3 16 2 2 2" xfId="8902"/>
    <cellStyle name="40% - Accent3 16 2 2 2 2" xfId="16873"/>
    <cellStyle name="40% - Accent3 16 2 2 2 3" xfId="24819"/>
    <cellStyle name="40% - Accent3 16 2 2 3" xfId="13335"/>
    <cellStyle name="40% - Accent3 16 2 2 4" xfId="21290"/>
    <cellStyle name="40% - Accent3 16 2 3" xfId="7143"/>
    <cellStyle name="40% - Accent3 16 2 3 2" xfId="15115"/>
    <cellStyle name="40% - Accent3 16 2 3 3" xfId="23062"/>
    <cellStyle name="40% - Accent3 16 2 4" xfId="11579"/>
    <cellStyle name="40% - Accent3 16 2 5" xfId="19534"/>
    <cellStyle name="40% - Accent3 16 2_Exh G" xfId="2972"/>
    <cellStyle name="40% - Accent3 16 3" xfId="4432"/>
    <cellStyle name="40% - Accent3 16 3 2" xfId="8024"/>
    <cellStyle name="40% - Accent3 16 3 2 2" xfId="15995"/>
    <cellStyle name="40% - Accent3 16 3 2 3" xfId="23941"/>
    <cellStyle name="40% - Accent3 16 3 3" xfId="12457"/>
    <cellStyle name="40% - Accent3 16 3 4" xfId="20412"/>
    <cellStyle name="40% - Accent3 16 4" xfId="6262"/>
    <cellStyle name="40% - Accent3 16 4 2" xfId="14237"/>
    <cellStyle name="40% - Accent3 16 4 3" xfId="22184"/>
    <cellStyle name="40% - Accent3 16 5" xfId="9805"/>
    <cellStyle name="40% - Accent3 16 5 2" xfId="17763"/>
    <cellStyle name="40% - Accent3 16 5 3" xfId="25707"/>
    <cellStyle name="40% - Accent3 16 6" xfId="10701"/>
    <cellStyle name="40% - Accent3 16 7" xfId="18656"/>
    <cellStyle name="40% - Accent3 16_Exh G" xfId="2971"/>
    <cellStyle name="40% - Accent3 2" xfId="452"/>
    <cellStyle name="40% - Accent3 2 10" xfId="18355"/>
    <cellStyle name="40% - Accent3 2 2" xfId="453"/>
    <cellStyle name="40% - Accent3 2 2 2" xfId="454"/>
    <cellStyle name="40% - Accent3 2 2 2 2" xfId="1482"/>
    <cellStyle name="40% - Accent3 2 2 2 2 2" xfId="5012"/>
    <cellStyle name="40% - Accent3 2 2 2 2 2 2" xfId="8603"/>
    <cellStyle name="40% - Accent3 2 2 2 2 2 2 2" xfId="16574"/>
    <cellStyle name="40% - Accent3 2 2 2 2 2 2 3" xfId="24520"/>
    <cellStyle name="40% - Accent3 2 2 2 2 2 3" xfId="13036"/>
    <cellStyle name="40% - Accent3 2 2 2 2 2 4" xfId="20991"/>
    <cellStyle name="40% - Accent3 2 2 2 2 3" xfId="6844"/>
    <cellStyle name="40% - Accent3 2 2 2 2 3 2" xfId="14816"/>
    <cellStyle name="40% - Accent3 2 2 2 2 3 3" xfId="22763"/>
    <cellStyle name="40% - Accent3 2 2 2 2 4" xfId="11280"/>
    <cellStyle name="40% - Accent3 2 2 2 2 5" xfId="19235"/>
    <cellStyle name="40% - Accent3 2 2 2 2_Exh G" xfId="2976"/>
    <cellStyle name="40% - Accent3 2 2 2 3" xfId="4133"/>
    <cellStyle name="40% - Accent3 2 2 2 3 2" xfId="7725"/>
    <cellStyle name="40% - Accent3 2 2 2 3 2 2" xfId="15696"/>
    <cellStyle name="40% - Accent3 2 2 2 3 2 3" xfId="23642"/>
    <cellStyle name="40% - Accent3 2 2 2 3 3" xfId="12158"/>
    <cellStyle name="40% - Accent3 2 2 2 3 4" xfId="20113"/>
    <cellStyle name="40% - Accent3 2 2 2 4" xfId="5953"/>
    <cellStyle name="40% - Accent3 2 2 2 4 2" xfId="13937"/>
    <cellStyle name="40% - Accent3 2 2 2 4 3" xfId="21885"/>
    <cellStyle name="40% - Accent3 2 2 2 5" xfId="9506"/>
    <cellStyle name="40% - Accent3 2 2 2 5 2" xfId="17464"/>
    <cellStyle name="40% - Accent3 2 2 2 5 3" xfId="25408"/>
    <cellStyle name="40% - Accent3 2 2 2 6" xfId="10402"/>
    <cellStyle name="40% - Accent3 2 2 2 7" xfId="18357"/>
    <cellStyle name="40% - Accent3 2 2 2_Exh G" xfId="2975"/>
    <cellStyle name="40% - Accent3 2 2 3" xfId="960"/>
    <cellStyle name="40% - Accent3 2 2 3 2" xfId="1880"/>
    <cellStyle name="40% - Accent3 2 2 3 2 2" xfId="5398"/>
    <cellStyle name="40% - Accent3 2 2 3 2 2 2" xfId="8989"/>
    <cellStyle name="40% - Accent3 2 2 3 2 2 2 2" xfId="16960"/>
    <cellStyle name="40% - Accent3 2 2 3 2 2 2 3" xfId="24906"/>
    <cellStyle name="40% - Accent3 2 2 3 2 2 3" xfId="13422"/>
    <cellStyle name="40% - Accent3 2 2 3 2 2 4" xfId="21377"/>
    <cellStyle name="40% - Accent3 2 2 3 2 3" xfId="7230"/>
    <cellStyle name="40% - Accent3 2 2 3 2 3 2" xfId="15202"/>
    <cellStyle name="40% - Accent3 2 2 3 2 3 3" xfId="23149"/>
    <cellStyle name="40% - Accent3 2 2 3 2 4" xfId="11666"/>
    <cellStyle name="40% - Accent3 2 2 3 2 5" xfId="19621"/>
    <cellStyle name="40% - Accent3 2 2 3 2_Exh G" xfId="2978"/>
    <cellStyle name="40% - Accent3 2 2 3 3" xfId="4519"/>
    <cellStyle name="40% - Accent3 2 2 3 3 2" xfId="8111"/>
    <cellStyle name="40% - Accent3 2 2 3 3 2 2" xfId="16082"/>
    <cellStyle name="40% - Accent3 2 2 3 3 2 3" xfId="24028"/>
    <cellStyle name="40% - Accent3 2 2 3 3 3" xfId="12544"/>
    <cellStyle name="40% - Accent3 2 2 3 3 4" xfId="20499"/>
    <cellStyle name="40% - Accent3 2 2 3 4" xfId="6349"/>
    <cellStyle name="40% - Accent3 2 2 3 4 2" xfId="14324"/>
    <cellStyle name="40% - Accent3 2 2 3 4 3" xfId="22271"/>
    <cellStyle name="40% - Accent3 2 2 3 5" xfId="9892"/>
    <cellStyle name="40% - Accent3 2 2 3 5 2" xfId="17850"/>
    <cellStyle name="40% - Accent3 2 2 3 5 3" xfId="25794"/>
    <cellStyle name="40% - Accent3 2 2 3 6" xfId="10788"/>
    <cellStyle name="40% - Accent3 2 2 3 7" xfId="18743"/>
    <cellStyle name="40% - Accent3 2 2 3_Exh G" xfId="2977"/>
    <cellStyle name="40% - Accent3 2 2 4" xfId="1481"/>
    <cellStyle name="40% - Accent3 2 2 4 2" xfId="5011"/>
    <cellStyle name="40% - Accent3 2 2 4 2 2" xfId="8602"/>
    <cellStyle name="40% - Accent3 2 2 4 2 2 2" xfId="16573"/>
    <cellStyle name="40% - Accent3 2 2 4 2 2 3" xfId="24519"/>
    <cellStyle name="40% - Accent3 2 2 4 2 3" xfId="13035"/>
    <cellStyle name="40% - Accent3 2 2 4 2 4" xfId="20990"/>
    <cellStyle name="40% - Accent3 2 2 4 3" xfId="6843"/>
    <cellStyle name="40% - Accent3 2 2 4 3 2" xfId="14815"/>
    <cellStyle name="40% - Accent3 2 2 4 3 3" xfId="22762"/>
    <cellStyle name="40% - Accent3 2 2 4 4" xfId="11279"/>
    <cellStyle name="40% - Accent3 2 2 4 5" xfId="19234"/>
    <cellStyle name="40% - Accent3 2 2 4_Exh G" xfId="2979"/>
    <cellStyle name="40% - Accent3 2 2 5" xfId="4132"/>
    <cellStyle name="40% - Accent3 2 2 5 2" xfId="7724"/>
    <cellStyle name="40% - Accent3 2 2 5 2 2" xfId="15695"/>
    <cellStyle name="40% - Accent3 2 2 5 2 3" xfId="23641"/>
    <cellStyle name="40% - Accent3 2 2 5 3" xfId="12157"/>
    <cellStyle name="40% - Accent3 2 2 5 4" xfId="20112"/>
    <cellStyle name="40% - Accent3 2 2 6" xfId="5952"/>
    <cellStyle name="40% - Accent3 2 2 6 2" xfId="13936"/>
    <cellStyle name="40% - Accent3 2 2 6 3" xfId="21884"/>
    <cellStyle name="40% - Accent3 2 2 7" xfId="9505"/>
    <cellStyle name="40% - Accent3 2 2 7 2" xfId="17463"/>
    <cellStyle name="40% - Accent3 2 2 7 3" xfId="25407"/>
    <cellStyle name="40% - Accent3 2 2 8" xfId="10401"/>
    <cellStyle name="40% - Accent3 2 2 9" xfId="18356"/>
    <cellStyle name="40% - Accent3 2 2_Exh G" xfId="2974"/>
    <cellStyle name="40% - Accent3 2 3" xfId="455"/>
    <cellStyle name="40% - Accent3 2 3 2" xfId="1483"/>
    <cellStyle name="40% - Accent3 2 3 2 2" xfId="5013"/>
    <cellStyle name="40% - Accent3 2 3 2 2 2" xfId="8604"/>
    <cellStyle name="40% - Accent3 2 3 2 2 2 2" xfId="16575"/>
    <cellStyle name="40% - Accent3 2 3 2 2 2 3" xfId="24521"/>
    <cellStyle name="40% - Accent3 2 3 2 2 3" xfId="13037"/>
    <cellStyle name="40% - Accent3 2 3 2 2 4" xfId="20992"/>
    <cellStyle name="40% - Accent3 2 3 2 3" xfId="6845"/>
    <cellStyle name="40% - Accent3 2 3 2 3 2" xfId="14817"/>
    <cellStyle name="40% - Accent3 2 3 2 3 3" xfId="22764"/>
    <cellStyle name="40% - Accent3 2 3 2 4" xfId="11281"/>
    <cellStyle name="40% - Accent3 2 3 2 5" xfId="19236"/>
    <cellStyle name="40% - Accent3 2 3 2_Exh G" xfId="2981"/>
    <cellStyle name="40% - Accent3 2 3 3" xfId="4134"/>
    <cellStyle name="40% - Accent3 2 3 3 2" xfId="7726"/>
    <cellStyle name="40% - Accent3 2 3 3 2 2" xfId="15697"/>
    <cellStyle name="40% - Accent3 2 3 3 2 3" xfId="23643"/>
    <cellStyle name="40% - Accent3 2 3 3 3" xfId="12159"/>
    <cellStyle name="40% - Accent3 2 3 3 4" xfId="20114"/>
    <cellStyle name="40% - Accent3 2 3 4" xfId="5954"/>
    <cellStyle name="40% - Accent3 2 3 4 2" xfId="13938"/>
    <cellStyle name="40% - Accent3 2 3 4 3" xfId="21886"/>
    <cellStyle name="40% - Accent3 2 3 5" xfId="9507"/>
    <cellStyle name="40% - Accent3 2 3 5 2" xfId="17465"/>
    <cellStyle name="40% - Accent3 2 3 5 3" xfId="25409"/>
    <cellStyle name="40% - Accent3 2 3 6" xfId="10403"/>
    <cellStyle name="40% - Accent3 2 3 7" xfId="18358"/>
    <cellStyle name="40% - Accent3 2 3_Exh G" xfId="2980"/>
    <cellStyle name="40% - Accent3 2 4" xfId="959"/>
    <cellStyle name="40% - Accent3 2 4 2" xfId="1879"/>
    <cellStyle name="40% - Accent3 2 4 2 2" xfId="5397"/>
    <cellStyle name="40% - Accent3 2 4 2 2 2" xfId="8988"/>
    <cellStyle name="40% - Accent3 2 4 2 2 2 2" xfId="16959"/>
    <cellStyle name="40% - Accent3 2 4 2 2 2 3" xfId="24905"/>
    <cellStyle name="40% - Accent3 2 4 2 2 3" xfId="13421"/>
    <cellStyle name="40% - Accent3 2 4 2 2 4" xfId="21376"/>
    <cellStyle name="40% - Accent3 2 4 2 3" xfId="7229"/>
    <cellStyle name="40% - Accent3 2 4 2 3 2" xfId="15201"/>
    <cellStyle name="40% - Accent3 2 4 2 3 3" xfId="23148"/>
    <cellStyle name="40% - Accent3 2 4 2 4" xfId="11665"/>
    <cellStyle name="40% - Accent3 2 4 2 5" xfId="19620"/>
    <cellStyle name="40% - Accent3 2 4 2_Exh G" xfId="2983"/>
    <cellStyle name="40% - Accent3 2 4 3" xfId="4518"/>
    <cellStyle name="40% - Accent3 2 4 3 2" xfId="8110"/>
    <cellStyle name="40% - Accent3 2 4 3 2 2" xfId="16081"/>
    <cellStyle name="40% - Accent3 2 4 3 2 3" xfId="24027"/>
    <cellStyle name="40% - Accent3 2 4 3 3" xfId="12543"/>
    <cellStyle name="40% - Accent3 2 4 3 4" xfId="20498"/>
    <cellStyle name="40% - Accent3 2 4 4" xfId="6348"/>
    <cellStyle name="40% - Accent3 2 4 4 2" xfId="14323"/>
    <cellStyle name="40% - Accent3 2 4 4 3" xfId="22270"/>
    <cellStyle name="40% - Accent3 2 4 5" xfId="9891"/>
    <cellStyle name="40% - Accent3 2 4 5 2" xfId="17849"/>
    <cellStyle name="40% - Accent3 2 4 5 3" xfId="25793"/>
    <cellStyle name="40% - Accent3 2 4 6" xfId="10787"/>
    <cellStyle name="40% - Accent3 2 4 7" xfId="18742"/>
    <cellStyle name="40% - Accent3 2 4_Exh G" xfId="2982"/>
    <cellStyle name="40% - Accent3 2 5" xfId="1480"/>
    <cellStyle name="40% - Accent3 2 5 2" xfId="5010"/>
    <cellStyle name="40% - Accent3 2 5 2 2" xfId="8601"/>
    <cellStyle name="40% - Accent3 2 5 2 2 2" xfId="16572"/>
    <cellStyle name="40% - Accent3 2 5 2 2 3" xfId="24518"/>
    <cellStyle name="40% - Accent3 2 5 2 3" xfId="13034"/>
    <cellStyle name="40% - Accent3 2 5 2 4" xfId="20989"/>
    <cellStyle name="40% - Accent3 2 5 3" xfId="6842"/>
    <cellStyle name="40% - Accent3 2 5 3 2" xfId="14814"/>
    <cellStyle name="40% - Accent3 2 5 3 3" xfId="22761"/>
    <cellStyle name="40% - Accent3 2 5 4" xfId="11278"/>
    <cellStyle name="40% - Accent3 2 5 5" xfId="19233"/>
    <cellStyle name="40% - Accent3 2 5_Exh G" xfId="2984"/>
    <cellStyle name="40% - Accent3 2 6" xfId="4131"/>
    <cellStyle name="40% - Accent3 2 6 2" xfId="7723"/>
    <cellStyle name="40% - Accent3 2 6 2 2" xfId="15694"/>
    <cellStyle name="40% - Accent3 2 6 2 3" xfId="23640"/>
    <cellStyle name="40% - Accent3 2 6 3" xfId="12156"/>
    <cellStyle name="40% - Accent3 2 6 4" xfId="20111"/>
    <cellStyle name="40% - Accent3 2 7" xfId="5951"/>
    <cellStyle name="40% - Accent3 2 7 2" xfId="13935"/>
    <cellStyle name="40% - Accent3 2 7 3" xfId="21883"/>
    <cellStyle name="40% - Accent3 2 8" xfId="9504"/>
    <cellStyle name="40% - Accent3 2 8 2" xfId="17462"/>
    <cellStyle name="40% - Accent3 2 8 3" xfId="25406"/>
    <cellStyle name="40% - Accent3 2 9" xfId="10400"/>
    <cellStyle name="40% - Accent3 2_Exh G" xfId="2973"/>
    <cellStyle name="40% - Accent3 3" xfId="456"/>
    <cellStyle name="40% - Accent3 3 10" xfId="18359"/>
    <cellStyle name="40% - Accent3 3 2" xfId="457"/>
    <cellStyle name="40% - Accent3 3 2 2" xfId="458"/>
    <cellStyle name="40% - Accent3 3 2 2 2" xfId="1486"/>
    <cellStyle name="40% - Accent3 3 2 2 2 2" xfId="5016"/>
    <cellStyle name="40% - Accent3 3 2 2 2 2 2" xfId="8607"/>
    <cellStyle name="40% - Accent3 3 2 2 2 2 2 2" xfId="16578"/>
    <cellStyle name="40% - Accent3 3 2 2 2 2 2 3" xfId="24524"/>
    <cellStyle name="40% - Accent3 3 2 2 2 2 3" xfId="13040"/>
    <cellStyle name="40% - Accent3 3 2 2 2 2 4" xfId="20995"/>
    <cellStyle name="40% - Accent3 3 2 2 2 3" xfId="6848"/>
    <cellStyle name="40% - Accent3 3 2 2 2 3 2" xfId="14820"/>
    <cellStyle name="40% - Accent3 3 2 2 2 3 3" xfId="22767"/>
    <cellStyle name="40% - Accent3 3 2 2 2 4" xfId="11284"/>
    <cellStyle name="40% - Accent3 3 2 2 2 5" xfId="19239"/>
    <cellStyle name="40% - Accent3 3 2 2 2_Exh G" xfId="2988"/>
    <cellStyle name="40% - Accent3 3 2 2 3" xfId="4137"/>
    <cellStyle name="40% - Accent3 3 2 2 3 2" xfId="7729"/>
    <cellStyle name="40% - Accent3 3 2 2 3 2 2" xfId="15700"/>
    <cellStyle name="40% - Accent3 3 2 2 3 2 3" xfId="23646"/>
    <cellStyle name="40% - Accent3 3 2 2 3 3" xfId="12162"/>
    <cellStyle name="40% - Accent3 3 2 2 3 4" xfId="20117"/>
    <cellStyle name="40% - Accent3 3 2 2 4" xfId="5957"/>
    <cellStyle name="40% - Accent3 3 2 2 4 2" xfId="13941"/>
    <cellStyle name="40% - Accent3 3 2 2 4 3" xfId="21889"/>
    <cellStyle name="40% - Accent3 3 2 2 5" xfId="9510"/>
    <cellStyle name="40% - Accent3 3 2 2 5 2" xfId="17468"/>
    <cellStyle name="40% - Accent3 3 2 2 5 3" xfId="25412"/>
    <cellStyle name="40% - Accent3 3 2 2 6" xfId="10406"/>
    <cellStyle name="40% - Accent3 3 2 2 7" xfId="18361"/>
    <cellStyle name="40% - Accent3 3 2 2_Exh G" xfId="2987"/>
    <cellStyle name="40% - Accent3 3 2 3" xfId="962"/>
    <cellStyle name="40% - Accent3 3 2 3 2" xfId="1882"/>
    <cellStyle name="40% - Accent3 3 2 3 2 2" xfId="5400"/>
    <cellStyle name="40% - Accent3 3 2 3 2 2 2" xfId="8991"/>
    <cellStyle name="40% - Accent3 3 2 3 2 2 2 2" xfId="16962"/>
    <cellStyle name="40% - Accent3 3 2 3 2 2 2 3" xfId="24908"/>
    <cellStyle name="40% - Accent3 3 2 3 2 2 3" xfId="13424"/>
    <cellStyle name="40% - Accent3 3 2 3 2 2 4" xfId="21379"/>
    <cellStyle name="40% - Accent3 3 2 3 2 3" xfId="7232"/>
    <cellStyle name="40% - Accent3 3 2 3 2 3 2" xfId="15204"/>
    <cellStyle name="40% - Accent3 3 2 3 2 3 3" xfId="23151"/>
    <cellStyle name="40% - Accent3 3 2 3 2 4" xfId="11668"/>
    <cellStyle name="40% - Accent3 3 2 3 2 5" xfId="19623"/>
    <cellStyle name="40% - Accent3 3 2 3 2_Exh G" xfId="2990"/>
    <cellStyle name="40% - Accent3 3 2 3 3" xfId="4521"/>
    <cellStyle name="40% - Accent3 3 2 3 3 2" xfId="8113"/>
    <cellStyle name="40% - Accent3 3 2 3 3 2 2" xfId="16084"/>
    <cellStyle name="40% - Accent3 3 2 3 3 2 3" xfId="24030"/>
    <cellStyle name="40% - Accent3 3 2 3 3 3" xfId="12546"/>
    <cellStyle name="40% - Accent3 3 2 3 3 4" xfId="20501"/>
    <cellStyle name="40% - Accent3 3 2 3 4" xfId="6351"/>
    <cellStyle name="40% - Accent3 3 2 3 4 2" xfId="14326"/>
    <cellStyle name="40% - Accent3 3 2 3 4 3" xfId="22273"/>
    <cellStyle name="40% - Accent3 3 2 3 5" xfId="9894"/>
    <cellStyle name="40% - Accent3 3 2 3 5 2" xfId="17852"/>
    <cellStyle name="40% - Accent3 3 2 3 5 3" xfId="25796"/>
    <cellStyle name="40% - Accent3 3 2 3 6" xfId="10790"/>
    <cellStyle name="40% - Accent3 3 2 3 7" xfId="18745"/>
    <cellStyle name="40% - Accent3 3 2 3_Exh G" xfId="2989"/>
    <cellStyle name="40% - Accent3 3 2 4" xfId="1485"/>
    <cellStyle name="40% - Accent3 3 2 4 2" xfId="5015"/>
    <cellStyle name="40% - Accent3 3 2 4 2 2" xfId="8606"/>
    <cellStyle name="40% - Accent3 3 2 4 2 2 2" xfId="16577"/>
    <cellStyle name="40% - Accent3 3 2 4 2 2 3" xfId="24523"/>
    <cellStyle name="40% - Accent3 3 2 4 2 3" xfId="13039"/>
    <cellStyle name="40% - Accent3 3 2 4 2 4" xfId="20994"/>
    <cellStyle name="40% - Accent3 3 2 4 3" xfId="6847"/>
    <cellStyle name="40% - Accent3 3 2 4 3 2" xfId="14819"/>
    <cellStyle name="40% - Accent3 3 2 4 3 3" xfId="22766"/>
    <cellStyle name="40% - Accent3 3 2 4 4" xfId="11283"/>
    <cellStyle name="40% - Accent3 3 2 4 5" xfId="19238"/>
    <cellStyle name="40% - Accent3 3 2 4_Exh G" xfId="2991"/>
    <cellStyle name="40% - Accent3 3 2 5" xfId="4136"/>
    <cellStyle name="40% - Accent3 3 2 5 2" xfId="7728"/>
    <cellStyle name="40% - Accent3 3 2 5 2 2" xfId="15699"/>
    <cellStyle name="40% - Accent3 3 2 5 2 3" xfId="23645"/>
    <cellStyle name="40% - Accent3 3 2 5 3" xfId="12161"/>
    <cellStyle name="40% - Accent3 3 2 5 4" xfId="20116"/>
    <cellStyle name="40% - Accent3 3 2 6" xfId="5956"/>
    <cellStyle name="40% - Accent3 3 2 6 2" xfId="13940"/>
    <cellStyle name="40% - Accent3 3 2 6 3" xfId="21888"/>
    <cellStyle name="40% - Accent3 3 2 7" xfId="9509"/>
    <cellStyle name="40% - Accent3 3 2 7 2" xfId="17467"/>
    <cellStyle name="40% - Accent3 3 2 7 3" xfId="25411"/>
    <cellStyle name="40% - Accent3 3 2 8" xfId="10405"/>
    <cellStyle name="40% - Accent3 3 2 9" xfId="18360"/>
    <cellStyle name="40% - Accent3 3 2_Exh G" xfId="2986"/>
    <cellStyle name="40% - Accent3 3 3" xfId="459"/>
    <cellStyle name="40% - Accent3 3 3 2" xfId="1487"/>
    <cellStyle name="40% - Accent3 3 3 2 2" xfId="5017"/>
    <cellStyle name="40% - Accent3 3 3 2 2 2" xfId="8608"/>
    <cellStyle name="40% - Accent3 3 3 2 2 2 2" xfId="16579"/>
    <cellStyle name="40% - Accent3 3 3 2 2 2 3" xfId="24525"/>
    <cellStyle name="40% - Accent3 3 3 2 2 3" xfId="13041"/>
    <cellStyle name="40% - Accent3 3 3 2 2 4" xfId="20996"/>
    <cellStyle name="40% - Accent3 3 3 2 3" xfId="6849"/>
    <cellStyle name="40% - Accent3 3 3 2 3 2" xfId="14821"/>
    <cellStyle name="40% - Accent3 3 3 2 3 3" xfId="22768"/>
    <cellStyle name="40% - Accent3 3 3 2 4" xfId="11285"/>
    <cellStyle name="40% - Accent3 3 3 2 5" xfId="19240"/>
    <cellStyle name="40% - Accent3 3 3 2_Exh G" xfId="2993"/>
    <cellStyle name="40% - Accent3 3 3 3" xfId="4138"/>
    <cellStyle name="40% - Accent3 3 3 3 2" xfId="7730"/>
    <cellStyle name="40% - Accent3 3 3 3 2 2" xfId="15701"/>
    <cellStyle name="40% - Accent3 3 3 3 2 3" xfId="23647"/>
    <cellStyle name="40% - Accent3 3 3 3 3" xfId="12163"/>
    <cellStyle name="40% - Accent3 3 3 3 4" xfId="20118"/>
    <cellStyle name="40% - Accent3 3 3 4" xfId="5958"/>
    <cellStyle name="40% - Accent3 3 3 4 2" xfId="13942"/>
    <cellStyle name="40% - Accent3 3 3 4 3" xfId="21890"/>
    <cellStyle name="40% - Accent3 3 3 5" xfId="9511"/>
    <cellStyle name="40% - Accent3 3 3 5 2" xfId="17469"/>
    <cellStyle name="40% - Accent3 3 3 5 3" xfId="25413"/>
    <cellStyle name="40% - Accent3 3 3 6" xfId="10407"/>
    <cellStyle name="40% - Accent3 3 3 7" xfId="18362"/>
    <cellStyle name="40% - Accent3 3 3_Exh G" xfId="2992"/>
    <cellStyle name="40% - Accent3 3 4" xfId="961"/>
    <cellStyle name="40% - Accent3 3 4 2" xfId="1881"/>
    <cellStyle name="40% - Accent3 3 4 2 2" xfId="5399"/>
    <cellStyle name="40% - Accent3 3 4 2 2 2" xfId="8990"/>
    <cellStyle name="40% - Accent3 3 4 2 2 2 2" xfId="16961"/>
    <cellStyle name="40% - Accent3 3 4 2 2 2 3" xfId="24907"/>
    <cellStyle name="40% - Accent3 3 4 2 2 3" xfId="13423"/>
    <cellStyle name="40% - Accent3 3 4 2 2 4" xfId="21378"/>
    <cellStyle name="40% - Accent3 3 4 2 3" xfId="7231"/>
    <cellStyle name="40% - Accent3 3 4 2 3 2" xfId="15203"/>
    <cellStyle name="40% - Accent3 3 4 2 3 3" xfId="23150"/>
    <cellStyle name="40% - Accent3 3 4 2 4" xfId="11667"/>
    <cellStyle name="40% - Accent3 3 4 2 5" xfId="19622"/>
    <cellStyle name="40% - Accent3 3 4 2_Exh G" xfId="2995"/>
    <cellStyle name="40% - Accent3 3 4 3" xfId="4520"/>
    <cellStyle name="40% - Accent3 3 4 3 2" xfId="8112"/>
    <cellStyle name="40% - Accent3 3 4 3 2 2" xfId="16083"/>
    <cellStyle name="40% - Accent3 3 4 3 2 3" xfId="24029"/>
    <cellStyle name="40% - Accent3 3 4 3 3" xfId="12545"/>
    <cellStyle name="40% - Accent3 3 4 3 4" xfId="20500"/>
    <cellStyle name="40% - Accent3 3 4 4" xfId="6350"/>
    <cellStyle name="40% - Accent3 3 4 4 2" xfId="14325"/>
    <cellStyle name="40% - Accent3 3 4 4 3" xfId="22272"/>
    <cellStyle name="40% - Accent3 3 4 5" xfId="9893"/>
    <cellStyle name="40% - Accent3 3 4 5 2" xfId="17851"/>
    <cellStyle name="40% - Accent3 3 4 5 3" xfId="25795"/>
    <cellStyle name="40% - Accent3 3 4 6" xfId="10789"/>
    <cellStyle name="40% - Accent3 3 4 7" xfId="18744"/>
    <cellStyle name="40% - Accent3 3 4_Exh G" xfId="2994"/>
    <cellStyle name="40% - Accent3 3 5" xfId="1484"/>
    <cellStyle name="40% - Accent3 3 5 2" xfId="5014"/>
    <cellStyle name="40% - Accent3 3 5 2 2" xfId="8605"/>
    <cellStyle name="40% - Accent3 3 5 2 2 2" xfId="16576"/>
    <cellStyle name="40% - Accent3 3 5 2 2 3" xfId="24522"/>
    <cellStyle name="40% - Accent3 3 5 2 3" xfId="13038"/>
    <cellStyle name="40% - Accent3 3 5 2 4" xfId="20993"/>
    <cellStyle name="40% - Accent3 3 5 3" xfId="6846"/>
    <cellStyle name="40% - Accent3 3 5 3 2" xfId="14818"/>
    <cellStyle name="40% - Accent3 3 5 3 3" xfId="22765"/>
    <cellStyle name="40% - Accent3 3 5 4" xfId="11282"/>
    <cellStyle name="40% - Accent3 3 5 5" xfId="19237"/>
    <cellStyle name="40% - Accent3 3 5_Exh G" xfId="2996"/>
    <cellStyle name="40% - Accent3 3 6" xfId="4135"/>
    <cellStyle name="40% - Accent3 3 6 2" xfId="7727"/>
    <cellStyle name="40% - Accent3 3 6 2 2" xfId="15698"/>
    <cellStyle name="40% - Accent3 3 6 2 3" xfId="23644"/>
    <cellStyle name="40% - Accent3 3 6 3" xfId="12160"/>
    <cellStyle name="40% - Accent3 3 6 4" xfId="20115"/>
    <cellStyle name="40% - Accent3 3 7" xfId="5955"/>
    <cellStyle name="40% - Accent3 3 7 2" xfId="13939"/>
    <cellStyle name="40% - Accent3 3 7 3" xfId="21887"/>
    <cellStyle name="40% - Accent3 3 8" xfId="9508"/>
    <cellStyle name="40% - Accent3 3 8 2" xfId="17466"/>
    <cellStyle name="40% - Accent3 3 8 3" xfId="25410"/>
    <cellStyle name="40% - Accent3 3 9" xfId="10404"/>
    <cellStyle name="40% - Accent3 3_Exh G" xfId="2985"/>
    <cellStyle name="40% - Accent3 4" xfId="460"/>
    <cellStyle name="40% - Accent3 4 10" xfId="18363"/>
    <cellStyle name="40% - Accent3 4 2" xfId="461"/>
    <cellStyle name="40% - Accent3 4 2 2" xfId="462"/>
    <cellStyle name="40% - Accent3 4 2 2 2" xfId="1490"/>
    <cellStyle name="40% - Accent3 4 2 2 2 2" xfId="5020"/>
    <cellStyle name="40% - Accent3 4 2 2 2 2 2" xfId="8611"/>
    <cellStyle name="40% - Accent3 4 2 2 2 2 2 2" xfId="16582"/>
    <cellStyle name="40% - Accent3 4 2 2 2 2 2 3" xfId="24528"/>
    <cellStyle name="40% - Accent3 4 2 2 2 2 3" xfId="13044"/>
    <cellStyle name="40% - Accent3 4 2 2 2 2 4" xfId="20999"/>
    <cellStyle name="40% - Accent3 4 2 2 2 3" xfId="6852"/>
    <cellStyle name="40% - Accent3 4 2 2 2 3 2" xfId="14824"/>
    <cellStyle name="40% - Accent3 4 2 2 2 3 3" xfId="22771"/>
    <cellStyle name="40% - Accent3 4 2 2 2 4" xfId="11288"/>
    <cellStyle name="40% - Accent3 4 2 2 2 5" xfId="19243"/>
    <cellStyle name="40% - Accent3 4 2 2 2_Exh G" xfId="3000"/>
    <cellStyle name="40% - Accent3 4 2 2 3" xfId="4141"/>
    <cellStyle name="40% - Accent3 4 2 2 3 2" xfId="7733"/>
    <cellStyle name="40% - Accent3 4 2 2 3 2 2" xfId="15704"/>
    <cellStyle name="40% - Accent3 4 2 2 3 2 3" xfId="23650"/>
    <cellStyle name="40% - Accent3 4 2 2 3 3" xfId="12166"/>
    <cellStyle name="40% - Accent3 4 2 2 3 4" xfId="20121"/>
    <cellStyle name="40% - Accent3 4 2 2 4" xfId="5961"/>
    <cellStyle name="40% - Accent3 4 2 2 4 2" xfId="13945"/>
    <cellStyle name="40% - Accent3 4 2 2 4 3" xfId="21893"/>
    <cellStyle name="40% - Accent3 4 2 2 5" xfId="9514"/>
    <cellStyle name="40% - Accent3 4 2 2 5 2" xfId="17472"/>
    <cellStyle name="40% - Accent3 4 2 2 5 3" xfId="25416"/>
    <cellStyle name="40% - Accent3 4 2 2 6" xfId="10410"/>
    <cellStyle name="40% - Accent3 4 2 2 7" xfId="18365"/>
    <cellStyle name="40% - Accent3 4 2 2_Exh G" xfId="2999"/>
    <cellStyle name="40% - Accent3 4 2 3" xfId="964"/>
    <cellStyle name="40% - Accent3 4 2 3 2" xfId="1884"/>
    <cellStyle name="40% - Accent3 4 2 3 2 2" xfId="5402"/>
    <cellStyle name="40% - Accent3 4 2 3 2 2 2" xfId="8993"/>
    <cellStyle name="40% - Accent3 4 2 3 2 2 2 2" xfId="16964"/>
    <cellStyle name="40% - Accent3 4 2 3 2 2 2 3" xfId="24910"/>
    <cellStyle name="40% - Accent3 4 2 3 2 2 3" xfId="13426"/>
    <cellStyle name="40% - Accent3 4 2 3 2 2 4" xfId="21381"/>
    <cellStyle name="40% - Accent3 4 2 3 2 3" xfId="7234"/>
    <cellStyle name="40% - Accent3 4 2 3 2 3 2" xfId="15206"/>
    <cellStyle name="40% - Accent3 4 2 3 2 3 3" xfId="23153"/>
    <cellStyle name="40% - Accent3 4 2 3 2 4" xfId="11670"/>
    <cellStyle name="40% - Accent3 4 2 3 2 5" xfId="19625"/>
    <cellStyle name="40% - Accent3 4 2 3 2_Exh G" xfId="3002"/>
    <cellStyle name="40% - Accent3 4 2 3 3" xfId="4523"/>
    <cellStyle name="40% - Accent3 4 2 3 3 2" xfId="8115"/>
    <cellStyle name="40% - Accent3 4 2 3 3 2 2" xfId="16086"/>
    <cellStyle name="40% - Accent3 4 2 3 3 2 3" xfId="24032"/>
    <cellStyle name="40% - Accent3 4 2 3 3 3" xfId="12548"/>
    <cellStyle name="40% - Accent3 4 2 3 3 4" xfId="20503"/>
    <cellStyle name="40% - Accent3 4 2 3 4" xfId="6353"/>
    <cellStyle name="40% - Accent3 4 2 3 4 2" xfId="14328"/>
    <cellStyle name="40% - Accent3 4 2 3 4 3" xfId="22275"/>
    <cellStyle name="40% - Accent3 4 2 3 5" xfId="9896"/>
    <cellStyle name="40% - Accent3 4 2 3 5 2" xfId="17854"/>
    <cellStyle name="40% - Accent3 4 2 3 5 3" xfId="25798"/>
    <cellStyle name="40% - Accent3 4 2 3 6" xfId="10792"/>
    <cellStyle name="40% - Accent3 4 2 3 7" xfId="18747"/>
    <cellStyle name="40% - Accent3 4 2 3_Exh G" xfId="3001"/>
    <cellStyle name="40% - Accent3 4 2 4" xfId="1489"/>
    <cellStyle name="40% - Accent3 4 2 4 2" xfId="5019"/>
    <cellStyle name="40% - Accent3 4 2 4 2 2" xfId="8610"/>
    <cellStyle name="40% - Accent3 4 2 4 2 2 2" xfId="16581"/>
    <cellStyle name="40% - Accent3 4 2 4 2 2 3" xfId="24527"/>
    <cellStyle name="40% - Accent3 4 2 4 2 3" xfId="13043"/>
    <cellStyle name="40% - Accent3 4 2 4 2 4" xfId="20998"/>
    <cellStyle name="40% - Accent3 4 2 4 3" xfId="6851"/>
    <cellStyle name="40% - Accent3 4 2 4 3 2" xfId="14823"/>
    <cellStyle name="40% - Accent3 4 2 4 3 3" xfId="22770"/>
    <cellStyle name="40% - Accent3 4 2 4 4" xfId="11287"/>
    <cellStyle name="40% - Accent3 4 2 4 5" xfId="19242"/>
    <cellStyle name="40% - Accent3 4 2 4_Exh G" xfId="3003"/>
    <cellStyle name="40% - Accent3 4 2 5" xfId="4140"/>
    <cellStyle name="40% - Accent3 4 2 5 2" xfId="7732"/>
    <cellStyle name="40% - Accent3 4 2 5 2 2" xfId="15703"/>
    <cellStyle name="40% - Accent3 4 2 5 2 3" xfId="23649"/>
    <cellStyle name="40% - Accent3 4 2 5 3" xfId="12165"/>
    <cellStyle name="40% - Accent3 4 2 5 4" xfId="20120"/>
    <cellStyle name="40% - Accent3 4 2 6" xfId="5960"/>
    <cellStyle name="40% - Accent3 4 2 6 2" xfId="13944"/>
    <cellStyle name="40% - Accent3 4 2 6 3" xfId="21892"/>
    <cellStyle name="40% - Accent3 4 2 7" xfId="9513"/>
    <cellStyle name="40% - Accent3 4 2 7 2" xfId="17471"/>
    <cellStyle name="40% - Accent3 4 2 7 3" xfId="25415"/>
    <cellStyle name="40% - Accent3 4 2 8" xfId="10409"/>
    <cellStyle name="40% - Accent3 4 2 9" xfId="18364"/>
    <cellStyle name="40% - Accent3 4 2_Exh G" xfId="2998"/>
    <cellStyle name="40% - Accent3 4 3" xfId="463"/>
    <cellStyle name="40% - Accent3 4 3 2" xfId="1491"/>
    <cellStyle name="40% - Accent3 4 3 2 2" xfId="5021"/>
    <cellStyle name="40% - Accent3 4 3 2 2 2" xfId="8612"/>
    <cellStyle name="40% - Accent3 4 3 2 2 2 2" xfId="16583"/>
    <cellStyle name="40% - Accent3 4 3 2 2 2 3" xfId="24529"/>
    <cellStyle name="40% - Accent3 4 3 2 2 3" xfId="13045"/>
    <cellStyle name="40% - Accent3 4 3 2 2 4" xfId="21000"/>
    <cellStyle name="40% - Accent3 4 3 2 3" xfId="6853"/>
    <cellStyle name="40% - Accent3 4 3 2 3 2" xfId="14825"/>
    <cellStyle name="40% - Accent3 4 3 2 3 3" xfId="22772"/>
    <cellStyle name="40% - Accent3 4 3 2 4" xfId="11289"/>
    <cellStyle name="40% - Accent3 4 3 2 5" xfId="19244"/>
    <cellStyle name="40% - Accent3 4 3 2_Exh G" xfId="3005"/>
    <cellStyle name="40% - Accent3 4 3 3" xfId="4142"/>
    <cellStyle name="40% - Accent3 4 3 3 2" xfId="7734"/>
    <cellStyle name="40% - Accent3 4 3 3 2 2" xfId="15705"/>
    <cellStyle name="40% - Accent3 4 3 3 2 3" xfId="23651"/>
    <cellStyle name="40% - Accent3 4 3 3 3" xfId="12167"/>
    <cellStyle name="40% - Accent3 4 3 3 4" xfId="20122"/>
    <cellStyle name="40% - Accent3 4 3 4" xfId="5962"/>
    <cellStyle name="40% - Accent3 4 3 4 2" xfId="13946"/>
    <cellStyle name="40% - Accent3 4 3 4 3" xfId="21894"/>
    <cellStyle name="40% - Accent3 4 3 5" xfId="9515"/>
    <cellStyle name="40% - Accent3 4 3 5 2" xfId="17473"/>
    <cellStyle name="40% - Accent3 4 3 5 3" xfId="25417"/>
    <cellStyle name="40% - Accent3 4 3 6" xfId="10411"/>
    <cellStyle name="40% - Accent3 4 3 7" xfId="18366"/>
    <cellStyle name="40% - Accent3 4 3_Exh G" xfId="3004"/>
    <cellStyle name="40% - Accent3 4 4" xfId="963"/>
    <cellStyle name="40% - Accent3 4 4 2" xfId="1883"/>
    <cellStyle name="40% - Accent3 4 4 2 2" xfId="5401"/>
    <cellStyle name="40% - Accent3 4 4 2 2 2" xfId="8992"/>
    <cellStyle name="40% - Accent3 4 4 2 2 2 2" xfId="16963"/>
    <cellStyle name="40% - Accent3 4 4 2 2 2 3" xfId="24909"/>
    <cellStyle name="40% - Accent3 4 4 2 2 3" xfId="13425"/>
    <cellStyle name="40% - Accent3 4 4 2 2 4" xfId="21380"/>
    <cellStyle name="40% - Accent3 4 4 2 3" xfId="7233"/>
    <cellStyle name="40% - Accent3 4 4 2 3 2" xfId="15205"/>
    <cellStyle name="40% - Accent3 4 4 2 3 3" xfId="23152"/>
    <cellStyle name="40% - Accent3 4 4 2 4" xfId="11669"/>
    <cellStyle name="40% - Accent3 4 4 2 5" xfId="19624"/>
    <cellStyle name="40% - Accent3 4 4 2_Exh G" xfId="3007"/>
    <cellStyle name="40% - Accent3 4 4 3" xfId="4522"/>
    <cellStyle name="40% - Accent3 4 4 3 2" xfId="8114"/>
    <cellStyle name="40% - Accent3 4 4 3 2 2" xfId="16085"/>
    <cellStyle name="40% - Accent3 4 4 3 2 3" xfId="24031"/>
    <cellStyle name="40% - Accent3 4 4 3 3" xfId="12547"/>
    <cellStyle name="40% - Accent3 4 4 3 4" xfId="20502"/>
    <cellStyle name="40% - Accent3 4 4 4" xfId="6352"/>
    <cellStyle name="40% - Accent3 4 4 4 2" xfId="14327"/>
    <cellStyle name="40% - Accent3 4 4 4 3" xfId="22274"/>
    <cellStyle name="40% - Accent3 4 4 5" xfId="9895"/>
    <cellStyle name="40% - Accent3 4 4 5 2" xfId="17853"/>
    <cellStyle name="40% - Accent3 4 4 5 3" xfId="25797"/>
    <cellStyle name="40% - Accent3 4 4 6" xfId="10791"/>
    <cellStyle name="40% - Accent3 4 4 7" xfId="18746"/>
    <cellStyle name="40% - Accent3 4 4_Exh G" xfId="3006"/>
    <cellStyle name="40% - Accent3 4 5" xfId="1488"/>
    <cellStyle name="40% - Accent3 4 5 2" xfId="5018"/>
    <cellStyle name="40% - Accent3 4 5 2 2" xfId="8609"/>
    <cellStyle name="40% - Accent3 4 5 2 2 2" xfId="16580"/>
    <cellStyle name="40% - Accent3 4 5 2 2 3" xfId="24526"/>
    <cellStyle name="40% - Accent3 4 5 2 3" xfId="13042"/>
    <cellStyle name="40% - Accent3 4 5 2 4" xfId="20997"/>
    <cellStyle name="40% - Accent3 4 5 3" xfId="6850"/>
    <cellStyle name="40% - Accent3 4 5 3 2" xfId="14822"/>
    <cellStyle name="40% - Accent3 4 5 3 3" xfId="22769"/>
    <cellStyle name="40% - Accent3 4 5 4" xfId="11286"/>
    <cellStyle name="40% - Accent3 4 5 5" xfId="19241"/>
    <cellStyle name="40% - Accent3 4 5_Exh G" xfId="3008"/>
    <cellStyle name="40% - Accent3 4 6" xfId="4139"/>
    <cellStyle name="40% - Accent3 4 6 2" xfId="7731"/>
    <cellStyle name="40% - Accent3 4 6 2 2" xfId="15702"/>
    <cellStyle name="40% - Accent3 4 6 2 3" xfId="23648"/>
    <cellStyle name="40% - Accent3 4 6 3" xfId="12164"/>
    <cellStyle name="40% - Accent3 4 6 4" xfId="20119"/>
    <cellStyle name="40% - Accent3 4 7" xfId="5959"/>
    <cellStyle name="40% - Accent3 4 7 2" xfId="13943"/>
    <cellStyle name="40% - Accent3 4 7 3" xfId="21891"/>
    <cellStyle name="40% - Accent3 4 8" xfId="9512"/>
    <cellStyle name="40% - Accent3 4 8 2" xfId="17470"/>
    <cellStyle name="40% - Accent3 4 8 3" xfId="25414"/>
    <cellStyle name="40% - Accent3 4 9" xfId="10408"/>
    <cellStyle name="40% - Accent3 4_Exh G" xfId="2997"/>
    <cellStyle name="40% - Accent3 5" xfId="464"/>
    <cellStyle name="40% - Accent3 5 10" xfId="18367"/>
    <cellStyle name="40% - Accent3 5 2" xfId="465"/>
    <cellStyle name="40% - Accent3 5 2 2" xfId="466"/>
    <cellStyle name="40% - Accent3 5 2 2 2" xfId="1494"/>
    <cellStyle name="40% - Accent3 5 2 2 2 2" xfId="5024"/>
    <cellStyle name="40% - Accent3 5 2 2 2 2 2" xfId="8615"/>
    <cellStyle name="40% - Accent3 5 2 2 2 2 2 2" xfId="16586"/>
    <cellStyle name="40% - Accent3 5 2 2 2 2 2 3" xfId="24532"/>
    <cellStyle name="40% - Accent3 5 2 2 2 2 3" xfId="13048"/>
    <cellStyle name="40% - Accent3 5 2 2 2 2 4" xfId="21003"/>
    <cellStyle name="40% - Accent3 5 2 2 2 3" xfId="6856"/>
    <cellStyle name="40% - Accent3 5 2 2 2 3 2" xfId="14828"/>
    <cellStyle name="40% - Accent3 5 2 2 2 3 3" xfId="22775"/>
    <cellStyle name="40% - Accent3 5 2 2 2 4" xfId="11292"/>
    <cellStyle name="40% - Accent3 5 2 2 2 5" xfId="19247"/>
    <cellStyle name="40% - Accent3 5 2 2 2_Exh G" xfId="3012"/>
    <cellStyle name="40% - Accent3 5 2 2 3" xfId="4145"/>
    <cellStyle name="40% - Accent3 5 2 2 3 2" xfId="7737"/>
    <cellStyle name="40% - Accent3 5 2 2 3 2 2" xfId="15708"/>
    <cellStyle name="40% - Accent3 5 2 2 3 2 3" xfId="23654"/>
    <cellStyle name="40% - Accent3 5 2 2 3 3" xfId="12170"/>
    <cellStyle name="40% - Accent3 5 2 2 3 4" xfId="20125"/>
    <cellStyle name="40% - Accent3 5 2 2 4" xfId="5965"/>
    <cellStyle name="40% - Accent3 5 2 2 4 2" xfId="13949"/>
    <cellStyle name="40% - Accent3 5 2 2 4 3" xfId="21897"/>
    <cellStyle name="40% - Accent3 5 2 2 5" xfId="9518"/>
    <cellStyle name="40% - Accent3 5 2 2 5 2" xfId="17476"/>
    <cellStyle name="40% - Accent3 5 2 2 5 3" xfId="25420"/>
    <cellStyle name="40% - Accent3 5 2 2 6" xfId="10414"/>
    <cellStyle name="40% - Accent3 5 2 2 7" xfId="18369"/>
    <cellStyle name="40% - Accent3 5 2 2_Exh G" xfId="3011"/>
    <cellStyle name="40% - Accent3 5 2 3" xfId="1493"/>
    <cellStyle name="40% - Accent3 5 2 3 2" xfId="5023"/>
    <cellStyle name="40% - Accent3 5 2 3 2 2" xfId="8614"/>
    <cellStyle name="40% - Accent3 5 2 3 2 2 2" xfId="16585"/>
    <cellStyle name="40% - Accent3 5 2 3 2 2 3" xfId="24531"/>
    <cellStyle name="40% - Accent3 5 2 3 2 3" xfId="13047"/>
    <cellStyle name="40% - Accent3 5 2 3 2 4" xfId="21002"/>
    <cellStyle name="40% - Accent3 5 2 3 3" xfId="6855"/>
    <cellStyle name="40% - Accent3 5 2 3 3 2" xfId="14827"/>
    <cellStyle name="40% - Accent3 5 2 3 3 3" xfId="22774"/>
    <cellStyle name="40% - Accent3 5 2 3 4" xfId="11291"/>
    <cellStyle name="40% - Accent3 5 2 3 5" xfId="19246"/>
    <cellStyle name="40% - Accent3 5 2 3_Exh G" xfId="3013"/>
    <cellStyle name="40% - Accent3 5 2 4" xfId="4144"/>
    <cellStyle name="40% - Accent3 5 2 4 2" xfId="7736"/>
    <cellStyle name="40% - Accent3 5 2 4 2 2" xfId="15707"/>
    <cellStyle name="40% - Accent3 5 2 4 2 3" xfId="23653"/>
    <cellStyle name="40% - Accent3 5 2 4 3" xfId="12169"/>
    <cellStyle name="40% - Accent3 5 2 4 4" xfId="20124"/>
    <cellStyle name="40% - Accent3 5 2 5" xfId="5964"/>
    <cellStyle name="40% - Accent3 5 2 5 2" xfId="13948"/>
    <cellStyle name="40% - Accent3 5 2 5 3" xfId="21896"/>
    <cellStyle name="40% - Accent3 5 2 6" xfId="9517"/>
    <cellStyle name="40% - Accent3 5 2 6 2" xfId="17475"/>
    <cellStyle name="40% - Accent3 5 2 6 3" xfId="25419"/>
    <cellStyle name="40% - Accent3 5 2 7" xfId="10413"/>
    <cellStyle name="40% - Accent3 5 2 8" xfId="18368"/>
    <cellStyle name="40% - Accent3 5 2_Exh G" xfId="3010"/>
    <cellStyle name="40% - Accent3 5 3" xfId="467"/>
    <cellStyle name="40% - Accent3 5 3 2" xfId="1495"/>
    <cellStyle name="40% - Accent3 5 3 2 2" xfId="5025"/>
    <cellStyle name="40% - Accent3 5 3 2 2 2" xfId="8616"/>
    <cellStyle name="40% - Accent3 5 3 2 2 2 2" xfId="16587"/>
    <cellStyle name="40% - Accent3 5 3 2 2 2 3" xfId="24533"/>
    <cellStyle name="40% - Accent3 5 3 2 2 3" xfId="13049"/>
    <cellStyle name="40% - Accent3 5 3 2 2 4" xfId="21004"/>
    <cellStyle name="40% - Accent3 5 3 2 3" xfId="6857"/>
    <cellStyle name="40% - Accent3 5 3 2 3 2" xfId="14829"/>
    <cellStyle name="40% - Accent3 5 3 2 3 3" xfId="22776"/>
    <cellStyle name="40% - Accent3 5 3 2 4" xfId="11293"/>
    <cellStyle name="40% - Accent3 5 3 2 5" xfId="19248"/>
    <cellStyle name="40% - Accent3 5 3 2_Exh G" xfId="3015"/>
    <cellStyle name="40% - Accent3 5 3 3" xfId="4146"/>
    <cellStyle name="40% - Accent3 5 3 3 2" xfId="7738"/>
    <cellStyle name="40% - Accent3 5 3 3 2 2" xfId="15709"/>
    <cellStyle name="40% - Accent3 5 3 3 2 3" xfId="23655"/>
    <cellStyle name="40% - Accent3 5 3 3 3" xfId="12171"/>
    <cellStyle name="40% - Accent3 5 3 3 4" xfId="20126"/>
    <cellStyle name="40% - Accent3 5 3 4" xfId="5966"/>
    <cellStyle name="40% - Accent3 5 3 4 2" xfId="13950"/>
    <cellStyle name="40% - Accent3 5 3 4 3" xfId="21898"/>
    <cellStyle name="40% - Accent3 5 3 5" xfId="9519"/>
    <cellStyle name="40% - Accent3 5 3 5 2" xfId="17477"/>
    <cellStyle name="40% - Accent3 5 3 5 3" xfId="25421"/>
    <cellStyle name="40% - Accent3 5 3 6" xfId="10415"/>
    <cellStyle name="40% - Accent3 5 3 7" xfId="18370"/>
    <cellStyle name="40% - Accent3 5 3_Exh G" xfId="3014"/>
    <cellStyle name="40% - Accent3 5 4" xfId="965"/>
    <cellStyle name="40% - Accent3 5 5" xfId="1492"/>
    <cellStyle name="40% - Accent3 5 5 2" xfId="5022"/>
    <cellStyle name="40% - Accent3 5 5 2 2" xfId="8613"/>
    <cellStyle name="40% - Accent3 5 5 2 2 2" xfId="16584"/>
    <cellStyle name="40% - Accent3 5 5 2 2 3" xfId="24530"/>
    <cellStyle name="40% - Accent3 5 5 2 3" xfId="13046"/>
    <cellStyle name="40% - Accent3 5 5 2 4" xfId="21001"/>
    <cellStyle name="40% - Accent3 5 5 3" xfId="6854"/>
    <cellStyle name="40% - Accent3 5 5 3 2" xfId="14826"/>
    <cellStyle name="40% - Accent3 5 5 3 3" xfId="22773"/>
    <cellStyle name="40% - Accent3 5 5 4" xfId="11290"/>
    <cellStyle name="40% - Accent3 5 5 5" xfId="19245"/>
    <cellStyle name="40% - Accent3 5 5_Exh G" xfId="3016"/>
    <cellStyle name="40% - Accent3 5 6" xfId="4143"/>
    <cellStyle name="40% - Accent3 5 6 2" xfId="7735"/>
    <cellStyle name="40% - Accent3 5 6 2 2" xfId="15706"/>
    <cellStyle name="40% - Accent3 5 6 2 3" xfId="23652"/>
    <cellStyle name="40% - Accent3 5 6 3" xfId="12168"/>
    <cellStyle name="40% - Accent3 5 6 4" xfId="20123"/>
    <cellStyle name="40% - Accent3 5 7" xfId="5963"/>
    <cellStyle name="40% - Accent3 5 7 2" xfId="13947"/>
    <cellStyle name="40% - Accent3 5 7 3" xfId="21895"/>
    <cellStyle name="40% - Accent3 5 8" xfId="9516"/>
    <cellStyle name="40% - Accent3 5 8 2" xfId="17474"/>
    <cellStyle name="40% - Accent3 5 8 3" xfId="25418"/>
    <cellStyle name="40% - Accent3 5 9" xfId="10412"/>
    <cellStyle name="40% - Accent3 5_Exh G" xfId="3009"/>
    <cellStyle name="40% - Accent3 6" xfId="468"/>
    <cellStyle name="40% - Accent3 6 10" xfId="18371"/>
    <cellStyle name="40% - Accent3 6 2" xfId="469"/>
    <cellStyle name="40% - Accent3 6 2 2" xfId="470"/>
    <cellStyle name="40% - Accent3 6 2 2 2" xfId="1498"/>
    <cellStyle name="40% - Accent3 6 2 2 2 2" xfId="5028"/>
    <cellStyle name="40% - Accent3 6 2 2 2 2 2" xfId="8619"/>
    <cellStyle name="40% - Accent3 6 2 2 2 2 2 2" xfId="16590"/>
    <cellStyle name="40% - Accent3 6 2 2 2 2 2 3" xfId="24536"/>
    <cellStyle name="40% - Accent3 6 2 2 2 2 3" xfId="13052"/>
    <cellStyle name="40% - Accent3 6 2 2 2 2 4" xfId="21007"/>
    <cellStyle name="40% - Accent3 6 2 2 2 3" xfId="6860"/>
    <cellStyle name="40% - Accent3 6 2 2 2 3 2" xfId="14832"/>
    <cellStyle name="40% - Accent3 6 2 2 2 3 3" xfId="22779"/>
    <cellStyle name="40% - Accent3 6 2 2 2 4" xfId="11296"/>
    <cellStyle name="40% - Accent3 6 2 2 2 5" xfId="19251"/>
    <cellStyle name="40% - Accent3 6 2 2 2_Exh G" xfId="3020"/>
    <cellStyle name="40% - Accent3 6 2 2 3" xfId="4149"/>
    <cellStyle name="40% - Accent3 6 2 2 3 2" xfId="7741"/>
    <cellStyle name="40% - Accent3 6 2 2 3 2 2" xfId="15712"/>
    <cellStyle name="40% - Accent3 6 2 2 3 2 3" xfId="23658"/>
    <cellStyle name="40% - Accent3 6 2 2 3 3" xfId="12174"/>
    <cellStyle name="40% - Accent3 6 2 2 3 4" xfId="20129"/>
    <cellStyle name="40% - Accent3 6 2 2 4" xfId="5969"/>
    <cellStyle name="40% - Accent3 6 2 2 4 2" xfId="13953"/>
    <cellStyle name="40% - Accent3 6 2 2 4 3" xfId="21901"/>
    <cellStyle name="40% - Accent3 6 2 2 5" xfId="9522"/>
    <cellStyle name="40% - Accent3 6 2 2 5 2" xfId="17480"/>
    <cellStyle name="40% - Accent3 6 2 2 5 3" xfId="25424"/>
    <cellStyle name="40% - Accent3 6 2 2 6" xfId="10418"/>
    <cellStyle name="40% - Accent3 6 2 2 7" xfId="18373"/>
    <cellStyle name="40% - Accent3 6 2 2_Exh G" xfId="3019"/>
    <cellStyle name="40% - Accent3 6 2 3" xfId="1497"/>
    <cellStyle name="40% - Accent3 6 2 3 2" xfId="5027"/>
    <cellStyle name="40% - Accent3 6 2 3 2 2" xfId="8618"/>
    <cellStyle name="40% - Accent3 6 2 3 2 2 2" xfId="16589"/>
    <cellStyle name="40% - Accent3 6 2 3 2 2 3" xfId="24535"/>
    <cellStyle name="40% - Accent3 6 2 3 2 3" xfId="13051"/>
    <cellStyle name="40% - Accent3 6 2 3 2 4" xfId="21006"/>
    <cellStyle name="40% - Accent3 6 2 3 3" xfId="6859"/>
    <cellStyle name="40% - Accent3 6 2 3 3 2" xfId="14831"/>
    <cellStyle name="40% - Accent3 6 2 3 3 3" xfId="22778"/>
    <cellStyle name="40% - Accent3 6 2 3 4" xfId="11295"/>
    <cellStyle name="40% - Accent3 6 2 3 5" xfId="19250"/>
    <cellStyle name="40% - Accent3 6 2 3_Exh G" xfId="3021"/>
    <cellStyle name="40% - Accent3 6 2 4" xfId="4148"/>
    <cellStyle name="40% - Accent3 6 2 4 2" xfId="7740"/>
    <cellStyle name="40% - Accent3 6 2 4 2 2" xfId="15711"/>
    <cellStyle name="40% - Accent3 6 2 4 2 3" xfId="23657"/>
    <cellStyle name="40% - Accent3 6 2 4 3" xfId="12173"/>
    <cellStyle name="40% - Accent3 6 2 4 4" xfId="20128"/>
    <cellStyle name="40% - Accent3 6 2 5" xfId="5968"/>
    <cellStyle name="40% - Accent3 6 2 5 2" xfId="13952"/>
    <cellStyle name="40% - Accent3 6 2 5 3" xfId="21900"/>
    <cellStyle name="40% - Accent3 6 2 6" xfId="9521"/>
    <cellStyle name="40% - Accent3 6 2 6 2" xfId="17479"/>
    <cellStyle name="40% - Accent3 6 2 6 3" xfId="25423"/>
    <cellStyle name="40% - Accent3 6 2 7" xfId="10417"/>
    <cellStyle name="40% - Accent3 6 2 8" xfId="18372"/>
    <cellStyle name="40% - Accent3 6 2_Exh G" xfId="3018"/>
    <cellStyle name="40% - Accent3 6 3" xfId="471"/>
    <cellStyle name="40% - Accent3 6 3 2" xfId="1499"/>
    <cellStyle name="40% - Accent3 6 3 2 2" xfId="5029"/>
    <cellStyle name="40% - Accent3 6 3 2 2 2" xfId="8620"/>
    <cellStyle name="40% - Accent3 6 3 2 2 2 2" xfId="16591"/>
    <cellStyle name="40% - Accent3 6 3 2 2 2 3" xfId="24537"/>
    <cellStyle name="40% - Accent3 6 3 2 2 3" xfId="13053"/>
    <cellStyle name="40% - Accent3 6 3 2 2 4" xfId="21008"/>
    <cellStyle name="40% - Accent3 6 3 2 3" xfId="6861"/>
    <cellStyle name="40% - Accent3 6 3 2 3 2" xfId="14833"/>
    <cellStyle name="40% - Accent3 6 3 2 3 3" xfId="22780"/>
    <cellStyle name="40% - Accent3 6 3 2 4" xfId="11297"/>
    <cellStyle name="40% - Accent3 6 3 2 5" xfId="19252"/>
    <cellStyle name="40% - Accent3 6 3 2_Exh G" xfId="3023"/>
    <cellStyle name="40% - Accent3 6 3 3" xfId="4150"/>
    <cellStyle name="40% - Accent3 6 3 3 2" xfId="7742"/>
    <cellStyle name="40% - Accent3 6 3 3 2 2" xfId="15713"/>
    <cellStyle name="40% - Accent3 6 3 3 2 3" xfId="23659"/>
    <cellStyle name="40% - Accent3 6 3 3 3" xfId="12175"/>
    <cellStyle name="40% - Accent3 6 3 3 4" xfId="20130"/>
    <cellStyle name="40% - Accent3 6 3 4" xfId="5970"/>
    <cellStyle name="40% - Accent3 6 3 4 2" xfId="13954"/>
    <cellStyle name="40% - Accent3 6 3 4 3" xfId="21902"/>
    <cellStyle name="40% - Accent3 6 3 5" xfId="9523"/>
    <cellStyle name="40% - Accent3 6 3 5 2" xfId="17481"/>
    <cellStyle name="40% - Accent3 6 3 5 3" xfId="25425"/>
    <cellStyle name="40% - Accent3 6 3 6" xfId="10419"/>
    <cellStyle name="40% - Accent3 6 3 7" xfId="18374"/>
    <cellStyle name="40% - Accent3 6 3_Exh G" xfId="3022"/>
    <cellStyle name="40% - Accent3 6 4" xfId="966"/>
    <cellStyle name="40% - Accent3 6 4 2" xfId="1885"/>
    <cellStyle name="40% - Accent3 6 4 2 2" xfId="5403"/>
    <cellStyle name="40% - Accent3 6 4 2 2 2" xfId="8994"/>
    <cellStyle name="40% - Accent3 6 4 2 2 2 2" xfId="16965"/>
    <cellStyle name="40% - Accent3 6 4 2 2 2 3" xfId="24911"/>
    <cellStyle name="40% - Accent3 6 4 2 2 3" xfId="13427"/>
    <cellStyle name="40% - Accent3 6 4 2 2 4" xfId="21382"/>
    <cellStyle name="40% - Accent3 6 4 2 3" xfId="7235"/>
    <cellStyle name="40% - Accent3 6 4 2 3 2" xfId="15207"/>
    <cellStyle name="40% - Accent3 6 4 2 3 3" xfId="23154"/>
    <cellStyle name="40% - Accent3 6 4 2 4" xfId="11671"/>
    <cellStyle name="40% - Accent3 6 4 2 5" xfId="19626"/>
    <cellStyle name="40% - Accent3 6 4 2_Exh G" xfId="3025"/>
    <cellStyle name="40% - Accent3 6 4 3" xfId="4524"/>
    <cellStyle name="40% - Accent3 6 4 3 2" xfId="8116"/>
    <cellStyle name="40% - Accent3 6 4 3 2 2" xfId="16087"/>
    <cellStyle name="40% - Accent3 6 4 3 2 3" xfId="24033"/>
    <cellStyle name="40% - Accent3 6 4 3 3" xfId="12549"/>
    <cellStyle name="40% - Accent3 6 4 3 4" xfId="20504"/>
    <cellStyle name="40% - Accent3 6 4 4" xfId="6354"/>
    <cellStyle name="40% - Accent3 6 4 4 2" xfId="14329"/>
    <cellStyle name="40% - Accent3 6 4 4 3" xfId="22276"/>
    <cellStyle name="40% - Accent3 6 4 5" xfId="9897"/>
    <cellStyle name="40% - Accent3 6 4 5 2" xfId="17855"/>
    <cellStyle name="40% - Accent3 6 4 5 3" xfId="25799"/>
    <cellStyle name="40% - Accent3 6 4 6" xfId="10793"/>
    <cellStyle name="40% - Accent3 6 4 7" xfId="18748"/>
    <cellStyle name="40% - Accent3 6 4_Exh G" xfId="3024"/>
    <cellStyle name="40% - Accent3 6 5" xfId="1496"/>
    <cellStyle name="40% - Accent3 6 5 2" xfId="5026"/>
    <cellStyle name="40% - Accent3 6 5 2 2" xfId="8617"/>
    <cellStyle name="40% - Accent3 6 5 2 2 2" xfId="16588"/>
    <cellStyle name="40% - Accent3 6 5 2 2 3" xfId="24534"/>
    <cellStyle name="40% - Accent3 6 5 2 3" xfId="13050"/>
    <cellStyle name="40% - Accent3 6 5 2 4" xfId="21005"/>
    <cellStyle name="40% - Accent3 6 5 3" xfId="6858"/>
    <cellStyle name="40% - Accent3 6 5 3 2" xfId="14830"/>
    <cellStyle name="40% - Accent3 6 5 3 3" xfId="22777"/>
    <cellStyle name="40% - Accent3 6 5 4" xfId="11294"/>
    <cellStyle name="40% - Accent3 6 5 5" xfId="19249"/>
    <cellStyle name="40% - Accent3 6 5_Exh G" xfId="3026"/>
    <cellStyle name="40% - Accent3 6 6" xfId="4147"/>
    <cellStyle name="40% - Accent3 6 6 2" xfId="7739"/>
    <cellStyle name="40% - Accent3 6 6 2 2" xfId="15710"/>
    <cellStyle name="40% - Accent3 6 6 2 3" xfId="23656"/>
    <cellStyle name="40% - Accent3 6 6 3" xfId="12172"/>
    <cellStyle name="40% - Accent3 6 6 4" xfId="20127"/>
    <cellStyle name="40% - Accent3 6 7" xfId="5967"/>
    <cellStyle name="40% - Accent3 6 7 2" xfId="13951"/>
    <cellStyle name="40% - Accent3 6 7 3" xfId="21899"/>
    <cellStyle name="40% - Accent3 6 8" xfId="9520"/>
    <cellStyle name="40% - Accent3 6 8 2" xfId="17478"/>
    <cellStyle name="40% - Accent3 6 8 3" xfId="25422"/>
    <cellStyle name="40% - Accent3 6 9" xfId="10416"/>
    <cellStyle name="40% - Accent3 6_Exh G" xfId="3017"/>
    <cellStyle name="40% - Accent3 7" xfId="472"/>
    <cellStyle name="40% - Accent3 7 10" xfId="18375"/>
    <cellStyle name="40% - Accent3 7 2" xfId="473"/>
    <cellStyle name="40% - Accent3 7 2 2" xfId="474"/>
    <cellStyle name="40% - Accent3 7 2 2 2" xfId="1502"/>
    <cellStyle name="40% - Accent3 7 2 2 2 2" xfId="5032"/>
    <cellStyle name="40% - Accent3 7 2 2 2 2 2" xfId="8623"/>
    <cellStyle name="40% - Accent3 7 2 2 2 2 2 2" xfId="16594"/>
    <cellStyle name="40% - Accent3 7 2 2 2 2 2 3" xfId="24540"/>
    <cellStyle name="40% - Accent3 7 2 2 2 2 3" xfId="13056"/>
    <cellStyle name="40% - Accent3 7 2 2 2 2 4" xfId="21011"/>
    <cellStyle name="40% - Accent3 7 2 2 2 3" xfId="6864"/>
    <cellStyle name="40% - Accent3 7 2 2 2 3 2" xfId="14836"/>
    <cellStyle name="40% - Accent3 7 2 2 2 3 3" xfId="22783"/>
    <cellStyle name="40% - Accent3 7 2 2 2 4" xfId="11300"/>
    <cellStyle name="40% - Accent3 7 2 2 2 5" xfId="19255"/>
    <cellStyle name="40% - Accent3 7 2 2 2_Exh G" xfId="3030"/>
    <cellStyle name="40% - Accent3 7 2 2 3" xfId="4153"/>
    <cellStyle name="40% - Accent3 7 2 2 3 2" xfId="7745"/>
    <cellStyle name="40% - Accent3 7 2 2 3 2 2" xfId="15716"/>
    <cellStyle name="40% - Accent3 7 2 2 3 2 3" xfId="23662"/>
    <cellStyle name="40% - Accent3 7 2 2 3 3" xfId="12178"/>
    <cellStyle name="40% - Accent3 7 2 2 3 4" xfId="20133"/>
    <cellStyle name="40% - Accent3 7 2 2 4" xfId="5973"/>
    <cellStyle name="40% - Accent3 7 2 2 4 2" xfId="13957"/>
    <cellStyle name="40% - Accent3 7 2 2 4 3" xfId="21905"/>
    <cellStyle name="40% - Accent3 7 2 2 5" xfId="9526"/>
    <cellStyle name="40% - Accent3 7 2 2 5 2" xfId="17484"/>
    <cellStyle name="40% - Accent3 7 2 2 5 3" xfId="25428"/>
    <cellStyle name="40% - Accent3 7 2 2 6" xfId="10422"/>
    <cellStyle name="40% - Accent3 7 2 2 7" xfId="18377"/>
    <cellStyle name="40% - Accent3 7 2 2_Exh G" xfId="3029"/>
    <cellStyle name="40% - Accent3 7 2 3" xfId="1501"/>
    <cellStyle name="40% - Accent3 7 2 3 2" xfId="5031"/>
    <cellStyle name="40% - Accent3 7 2 3 2 2" xfId="8622"/>
    <cellStyle name="40% - Accent3 7 2 3 2 2 2" xfId="16593"/>
    <cellStyle name="40% - Accent3 7 2 3 2 2 3" xfId="24539"/>
    <cellStyle name="40% - Accent3 7 2 3 2 3" xfId="13055"/>
    <cellStyle name="40% - Accent3 7 2 3 2 4" xfId="21010"/>
    <cellStyle name="40% - Accent3 7 2 3 3" xfId="6863"/>
    <cellStyle name="40% - Accent3 7 2 3 3 2" xfId="14835"/>
    <cellStyle name="40% - Accent3 7 2 3 3 3" xfId="22782"/>
    <cellStyle name="40% - Accent3 7 2 3 4" xfId="11299"/>
    <cellStyle name="40% - Accent3 7 2 3 5" xfId="19254"/>
    <cellStyle name="40% - Accent3 7 2 3_Exh G" xfId="3031"/>
    <cellStyle name="40% - Accent3 7 2 4" xfId="4152"/>
    <cellStyle name="40% - Accent3 7 2 4 2" xfId="7744"/>
    <cellStyle name="40% - Accent3 7 2 4 2 2" xfId="15715"/>
    <cellStyle name="40% - Accent3 7 2 4 2 3" xfId="23661"/>
    <cellStyle name="40% - Accent3 7 2 4 3" xfId="12177"/>
    <cellStyle name="40% - Accent3 7 2 4 4" xfId="20132"/>
    <cellStyle name="40% - Accent3 7 2 5" xfId="5972"/>
    <cellStyle name="40% - Accent3 7 2 5 2" xfId="13956"/>
    <cellStyle name="40% - Accent3 7 2 5 3" xfId="21904"/>
    <cellStyle name="40% - Accent3 7 2 6" xfId="9525"/>
    <cellStyle name="40% - Accent3 7 2 6 2" xfId="17483"/>
    <cellStyle name="40% - Accent3 7 2 6 3" xfId="25427"/>
    <cellStyle name="40% - Accent3 7 2 7" xfId="10421"/>
    <cellStyle name="40% - Accent3 7 2 8" xfId="18376"/>
    <cellStyle name="40% - Accent3 7 2_Exh G" xfId="3028"/>
    <cellStyle name="40% - Accent3 7 3" xfId="475"/>
    <cellStyle name="40% - Accent3 7 3 2" xfId="1503"/>
    <cellStyle name="40% - Accent3 7 3 2 2" xfId="5033"/>
    <cellStyle name="40% - Accent3 7 3 2 2 2" xfId="8624"/>
    <cellStyle name="40% - Accent3 7 3 2 2 2 2" xfId="16595"/>
    <cellStyle name="40% - Accent3 7 3 2 2 2 3" xfId="24541"/>
    <cellStyle name="40% - Accent3 7 3 2 2 3" xfId="13057"/>
    <cellStyle name="40% - Accent3 7 3 2 2 4" xfId="21012"/>
    <cellStyle name="40% - Accent3 7 3 2 3" xfId="6865"/>
    <cellStyle name="40% - Accent3 7 3 2 3 2" xfId="14837"/>
    <cellStyle name="40% - Accent3 7 3 2 3 3" xfId="22784"/>
    <cellStyle name="40% - Accent3 7 3 2 4" xfId="11301"/>
    <cellStyle name="40% - Accent3 7 3 2 5" xfId="19256"/>
    <cellStyle name="40% - Accent3 7 3 2_Exh G" xfId="3033"/>
    <cellStyle name="40% - Accent3 7 3 3" xfId="4154"/>
    <cellStyle name="40% - Accent3 7 3 3 2" xfId="7746"/>
    <cellStyle name="40% - Accent3 7 3 3 2 2" xfId="15717"/>
    <cellStyle name="40% - Accent3 7 3 3 2 3" xfId="23663"/>
    <cellStyle name="40% - Accent3 7 3 3 3" xfId="12179"/>
    <cellStyle name="40% - Accent3 7 3 3 4" xfId="20134"/>
    <cellStyle name="40% - Accent3 7 3 4" xfId="5974"/>
    <cellStyle name="40% - Accent3 7 3 4 2" xfId="13958"/>
    <cellStyle name="40% - Accent3 7 3 4 3" xfId="21906"/>
    <cellStyle name="40% - Accent3 7 3 5" xfId="9527"/>
    <cellStyle name="40% - Accent3 7 3 5 2" xfId="17485"/>
    <cellStyle name="40% - Accent3 7 3 5 3" xfId="25429"/>
    <cellStyle name="40% - Accent3 7 3 6" xfId="10423"/>
    <cellStyle name="40% - Accent3 7 3 7" xfId="18378"/>
    <cellStyle name="40% - Accent3 7 3_Exh G" xfId="3032"/>
    <cellStyle name="40% - Accent3 7 4" xfId="967"/>
    <cellStyle name="40% - Accent3 7 4 2" xfId="1886"/>
    <cellStyle name="40% - Accent3 7 4 2 2" xfId="5404"/>
    <cellStyle name="40% - Accent3 7 4 2 2 2" xfId="8995"/>
    <cellStyle name="40% - Accent3 7 4 2 2 2 2" xfId="16966"/>
    <cellStyle name="40% - Accent3 7 4 2 2 2 3" xfId="24912"/>
    <cellStyle name="40% - Accent3 7 4 2 2 3" xfId="13428"/>
    <cellStyle name="40% - Accent3 7 4 2 2 4" xfId="21383"/>
    <cellStyle name="40% - Accent3 7 4 2 3" xfId="7236"/>
    <cellStyle name="40% - Accent3 7 4 2 3 2" xfId="15208"/>
    <cellStyle name="40% - Accent3 7 4 2 3 3" xfId="23155"/>
    <cellStyle name="40% - Accent3 7 4 2 4" xfId="11672"/>
    <cellStyle name="40% - Accent3 7 4 2 5" xfId="19627"/>
    <cellStyle name="40% - Accent3 7 4 2_Exh G" xfId="3035"/>
    <cellStyle name="40% - Accent3 7 4 3" xfId="4525"/>
    <cellStyle name="40% - Accent3 7 4 3 2" xfId="8117"/>
    <cellStyle name="40% - Accent3 7 4 3 2 2" xfId="16088"/>
    <cellStyle name="40% - Accent3 7 4 3 2 3" xfId="24034"/>
    <cellStyle name="40% - Accent3 7 4 3 3" xfId="12550"/>
    <cellStyle name="40% - Accent3 7 4 3 4" xfId="20505"/>
    <cellStyle name="40% - Accent3 7 4 4" xfId="6355"/>
    <cellStyle name="40% - Accent3 7 4 4 2" xfId="14330"/>
    <cellStyle name="40% - Accent3 7 4 4 3" xfId="22277"/>
    <cellStyle name="40% - Accent3 7 4 5" xfId="9898"/>
    <cellStyle name="40% - Accent3 7 4 5 2" xfId="17856"/>
    <cellStyle name="40% - Accent3 7 4 5 3" xfId="25800"/>
    <cellStyle name="40% - Accent3 7 4 6" xfId="10794"/>
    <cellStyle name="40% - Accent3 7 4 7" xfId="18749"/>
    <cellStyle name="40% - Accent3 7 4_Exh G" xfId="3034"/>
    <cellStyle name="40% - Accent3 7 5" xfId="1500"/>
    <cellStyle name="40% - Accent3 7 5 2" xfId="5030"/>
    <cellStyle name="40% - Accent3 7 5 2 2" xfId="8621"/>
    <cellStyle name="40% - Accent3 7 5 2 2 2" xfId="16592"/>
    <cellStyle name="40% - Accent3 7 5 2 2 3" xfId="24538"/>
    <cellStyle name="40% - Accent3 7 5 2 3" xfId="13054"/>
    <cellStyle name="40% - Accent3 7 5 2 4" xfId="21009"/>
    <cellStyle name="40% - Accent3 7 5 3" xfId="6862"/>
    <cellStyle name="40% - Accent3 7 5 3 2" xfId="14834"/>
    <cellStyle name="40% - Accent3 7 5 3 3" xfId="22781"/>
    <cellStyle name="40% - Accent3 7 5 4" xfId="11298"/>
    <cellStyle name="40% - Accent3 7 5 5" xfId="19253"/>
    <cellStyle name="40% - Accent3 7 5_Exh G" xfId="3036"/>
    <cellStyle name="40% - Accent3 7 6" xfId="4151"/>
    <cellStyle name="40% - Accent3 7 6 2" xfId="7743"/>
    <cellStyle name="40% - Accent3 7 6 2 2" xfId="15714"/>
    <cellStyle name="40% - Accent3 7 6 2 3" xfId="23660"/>
    <cellStyle name="40% - Accent3 7 6 3" xfId="12176"/>
    <cellStyle name="40% - Accent3 7 6 4" xfId="20131"/>
    <cellStyle name="40% - Accent3 7 7" xfId="5971"/>
    <cellStyle name="40% - Accent3 7 7 2" xfId="13955"/>
    <cellStyle name="40% - Accent3 7 7 3" xfId="21903"/>
    <cellStyle name="40% - Accent3 7 8" xfId="9524"/>
    <cellStyle name="40% - Accent3 7 8 2" xfId="17482"/>
    <cellStyle name="40% - Accent3 7 8 3" xfId="25426"/>
    <cellStyle name="40% - Accent3 7 9" xfId="10420"/>
    <cellStyle name="40% - Accent3 7_Exh G" xfId="3027"/>
    <cellStyle name="40% - Accent3 8" xfId="476"/>
    <cellStyle name="40% - Accent3 8 10" xfId="18379"/>
    <cellStyle name="40% - Accent3 8 2" xfId="477"/>
    <cellStyle name="40% - Accent3 8 2 2" xfId="478"/>
    <cellStyle name="40% - Accent3 8 2 2 2" xfId="1506"/>
    <cellStyle name="40% - Accent3 8 2 2 2 2" xfId="5036"/>
    <cellStyle name="40% - Accent3 8 2 2 2 2 2" xfId="8627"/>
    <cellStyle name="40% - Accent3 8 2 2 2 2 2 2" xfId="16598"/>
    <cellStyle name="40% - Accent3 8 2 2 2 2 2 3" xfId="24544"/>
    <cellStyle name="40% - Accent3 8 2 2 2 2 3" xfId="13060"/>
    <cellStyle name="40% - Accent3 8 2 2 2 2 4" xfId="21015"/>
    <cellStyle name="40% - Accent3 8 2 2 2 3" xfId="6868"/>
    <cellStyle name="40% - Accent3 8 2 2 2 3 2" xfId="14840"/>
    <cellStyle name="40% - Accent3 8 2 2 2 3 3" xfId="22787"/>
    <cellStyle name="40% - Accent3 8 2 2 2 4" xfId="11304"/>
    <cellStyle name="40% - Accent3 8 2 2 2 5" xfId="19259"/>
    <cellStyle name="40% - Accent3 8 2 2 2_Exh G" xfId="3040"/>
    <cellStyle name="40% - Accent3 8 2 2 3" xfId="4157"/>
    <cellStyle name="40% - Accent3 8 2 2 3 2" xfId="7749"/>
    <cellStyle name="40% - Accent3 8 2 2 3 2 2" xfId="15720"/>
    <cellStyle name="40% - Accent3 8 2 2 3 2 3" xfId="23666"/>
    <cellStyle name="40% - Accent3 8 2 2 3 3" xfId="12182"/>
    <cellStyle name="40% - Accent3 8 2 2 3 4" xfId="20137"/>
    <cellStyle name="40% - Accent3 8 2 2 4" xfId="5977"/>
    <cellStyle name="40% - Accent3 8 2 2 4 2" xfId="13961"/>
    <cellStyle name="40% - Accent3 8 2 2 4 3" xfId="21909"/>
    <cellStyle name="40% - Accent3 8 2 2 5" xfId="9530"/>
    <cellStyle name="40% - Accent3 8 2 2 5 2" xfId="17488"/>
    <cellStyle name="40% - Accent3 8 2 2 5 3" xfId="25432"/>
    <cellStyle name="40% - Accent3 8 2 2 6" xfId="10426"/>
    <cellStyle name="40% - Accent3 8 2 2 7" xfId="18381"/>
    <cellStyle name="40% - Accent3 8 2 2_Exh G" xfId="3039"/>
    <cellStyle name="40% - Accent3 8 2 3" xfId="1505"/>
    <cellStyle name="40% - Accent3 8 2 3 2" xfId="5035"/>
    <cellStyle name="40% - Accent3 8 2 3 2 2" xfId="8626"/>
    <cellStyle name="40% - Accent3 8 2 3 2 2 2" xfId="16597"/>
    <cellStyle name="40% - Accent3 8 2 3 2 2 3" xfId="24543"/>
    <cellStyle name="40% - Accent3 8 2 3 2 3" xfId="13059"/>
    <cellStyle name="40% - Accent3 8 2 3 2 4" xfId="21014"/>
    <cellStyle name="40% - Accent3 8 2 3 3" xfId="6867"/>
    <cellStyle name="40% - Accent3 8 2 3 3 2" xfId="14839"/>
    <cellStyle name="40% - Accent3 8 2 3 3 3" xfId="22786"/>
    <cellStyle name="40% - Accent3 8 2 3 4" xfId="11303"/>
    <cellStyle name="40% - Accent3 8 2 3 5" xfId="19258"/>
    <cellStyle name="40% - Accent3 8 2 3_Exh G" xfId="3041"/>
    <cellStyle name="40% - Accent3 8 2 4" xfId="4156"/>
    <cellStyle name="40% - Accent3 8 2 4 2" xfId="7748"/>
    <cellStyle name="40% - Accent3 8 2 4 2 2" xfId="15719"/>
    <cellStyle name="40% - Accent3 8 2 4 2 3" xfId="23665"/>
    <cellStyle name="40% - Accent3 8 2 4 3" xfId="12181"/>
    <cellStyle name="40% - Accent3 8 2 4 4" xfId="20136"/>
    <cellStyle name="40% - Accent3 8 2 5" xfId="5976"/>
    <cellStyle name="40% - Accent3 8 2 5 2" xfId="13960"/>
    <cellStyle name="40% - Accent3 8 2 5 3" xfId="21908"/>
    <cellStyle name="40% - Accent3 8 2 6" xfId="9529"/>
    <cellStyle name="40% - Accent3 8 2 6 2" xfId="17487"/>
    <cellStyle name="40% - Accent3 8 2 6 3" xfId="25431"/>
    <cellStyle name="40% - Accent3 8 2 7" xfId="10425"/>
    <cellStyle name="40% - Accent3 8 2 8" xfId="18380"/>
    <cellStyle name="40% - Accent3 8 2_Exh G" xfId="3038"/>
    <cellStyle name="40% - Accent3 8 3" xfId="479"/>
    <cellStyle name="40% - Accent3 8 3 2" xfId="1507"/>
    <cellStyle name="40% - Accent3 8 3 2 2" xfId="5037"/>
    <cellStyle name="40% - Accent3 8 3 2 2 2" xfId="8628"/>
    <cellStyle name="40% - Accent3 8 3 2 2 2 2" xfId="16599"/>
    <cellStyle name="40% - Accent3 8 3 2 2 2 3" xfId="24545"/>
    <cellStyle name="40% - Accent3 8 3 2 2 3" xfId="13061"/>
    <cellStyle name="40% - Accent3 8 3 2 2 4" xfId="21016"/>
    <cellStyle name="40% - Accent3 8 3 2 3" xfId="6869"/>
    <cellStyle name="40% - Accent3 8 3 2 3 2" xfId="14841"/>
    <cellStyle name="40% - Accent3 8 3 2 3 3" xfId="22788"/>
    <cellStyle name="40% - Accent3 8 3 2 4" xfId="11305"/>
    <cellStyle name="40% - Accent3 8 3 2 5" xfId="19260"/>
    <cellStyle name="40% - Accent3 8 3 2_Exh G" xfId="3043"/>
    <cellStyle name="40% - Accent3 8 3 3" xfId="4158"/>
    <cellStyle name="40% - Accent3 8 3 3 2" xfId="7750"/>
    <cellStyle name="40% - Accent3 8 3 3 2 2" xfId="15721"/>
    <cellStyle name="40% - Accent3 8 3 3 2 3" xfId="23667"/>
    <cellStyle name="40% - Accent3 8 3 3 3" xfId="12183"/>
    <cellStyle name="40% - Accent3 8 3 3 4" xfId="20138"/>
    <cellStyle name="40% - Accent3 8 3 4" xfId="5978"/>
    <cellStyle name="40% - Accent3 8 3 4 2" xfId="13962"/>
    <cellStyle name="40% - Accent3 8 3 4 3" xfId="21910"/>
    <cellStyle name="40% - Accent3 8 3 5" xfId="9531"/>
    <cellStyle name="40% - Accent3 8 3 5 2" xfId="17489"/>
    <cellStyle name="40% - Accent3 8 3 5 3" xfId="25433"/>
    <cellStyle name="40% - Accent3 8 3 6" xfId="10427"/>
    <cellStyle name="40% - Accent3 8 3 7" xfId="18382"/>
    <cellStyle name="40% - Accent3 8 3_Exh G" xfId="3042"/>
    <cellStyle name="40% - Accent3 8 4" xfId="968"/>
    <cellStyle name="40% - Accent3 8 4 2" xfId="1887"/>
    <cellStyle name="40% - Accent3 8 4 2 2" xfId="5405"/>
    <cellStyle name="40% - Accent3 8 4 2 2 2" xfId="8996"/>
    <cellStyle name="40% - Accent3 8 4 2 2 2 2" xfId="16967"/>
    <cellStyle name="40% - Accent3 8 4 2 2 2 3" xfId="24913"/>
    <cellStyle name="40% - Accent3 8 4 2 2 3" xfId="13429"/>
    <cellStyle name="40% - Accent3 8 4 2 2 4" xfId="21384"/>
    <cellStyle name="40% - Accent3 8 4 2 3" xfId="7237"/>
    <cellStyle name="40% - Accent3 8 4 2 3 2" xfId="15209"/>
    <cellStyle name="40% - Accent3 8 4 2 3 3" xfId="23156"/>
    <cellStyle name="40% - Accent3 8 4 2 4" xfId="11673"/>
    <cellStyle name="40% - Accent3 8 4 2 5" xfId="19628"/>
    <cellStyle name="40% - Accent3 8 4 2_Exh G" xfId="3045"/>
    <cellStyle name="40% - Accent3 8 4 3" xfId="4526"/>
    <cellStyle name="40% - Accent3 8 4 3 2" xfId="8118"/>
    <cellStyle name="40% - Accent3 8 4 3 2 2" xfId="16089"/>
    <cellStyle name="40% - Accent3 8 4 3 2 3" xfId="24035"/>
    <cellStyle name="40% - Accent3 8 4 3 3" xfId="12551"/>
    <cellStyle name="40% - Accent3 8 4 3 4" xfId="20506"/>
    <cellStyle name="40% - Accent3 8 4 4" xfId="6356"/>
    <cellStyle name="40% - Accent3 8 4 4 2" xfId="14331"/>
    <cellStyle name="40% - Accent3 8 4 4 3" xfId="22278"/>
    <cellStyle name="40% - Accent3 8 4 5" xfId="9899"/>
    <cellStyle name="40% - Accent3 8 4 5 2" xfId="17857"/>
    <cellStyle name="40% - Accent3 8 4 5 3" xfId="25801"/>
    <cellStyle name="40% - Accent3 8 4 6" xfId="10795"/>
    <cellStyle name="40% - Accent3 8 4 7" xfId="18750"/>
    <cellStyle name="40% - Accent3 8 4_Exh G" xfId="3044"/>
    <cellStyle name="40% - Accent3 8 5" xfId="1504"/>
    <cellStyle name="40% - Accent3 8 5 2" xfId="5034"/>
    <cellStyle name="40% - Accent3 8 5 2 2" xfId="8625"/>
    <cellStyle name="40% - Accent3 8 5 2 2 2" xfId="16596"/>
    <cellStyle name="40% - Accent3 8 5 2 2 3" xfId="24542"/>
    <cellStyle name="40% - Accent3 8 5 2 3" xfId="13058"/>
    <cellStyle name="40% - Accent3 8 5 2 4" xfId="21013"/>
    <cellStyle name="40% - Accent3 8 5 3" xfId="6866"/>
    <cellStyle name="40% - Accent3 8 5 3 2" xfId="14838"/>
    <cellStyle name="40% - Accent3 8 5 3 3" xfId="22785"/>
    <cellStyle name="40% - Accent3 8 5 4" xfId="11302"/>
    <cellStyle name="40% - Accent3 8 5 5" xfId="19257"/>
    <cellStyle name="40% - Accent3 8 5_Exh G" xfId="3046"/>
    <cellStyle name="40% - Accent3 8 6" xfId="4155"/>
    <cellStyle name="40% - Accent3 8 6 2" xfId="7747"/>
    <cellStyle name="40% - Accent3 8 6 2 2" xfId="15718"/>
    <cellStyle name="40% - Accent3 8 6 2 3" xfId="23664"/>
    <cellStyle name="40% - Accent3 8 6 3" xfId="12180"/>
    <cellStyle name="40% - Accent3 8 6 4" xfId="20135"/>
    <cellStyle name="40% - Accent3 8 7" xfId="5975"/>
    <cellStyle name="40% - Accent3 8 7 2" xfId="13959"/>
    <cellStyle name="40% - Accent3 8 7 3" xfId="21907"/>
    <cellStyle name="40% - Accent3 8 8" xfId="9528"/>
    <cellStyle name="40% - Accent3 8 8 2" xfId="17486"/>
    <cellStyle name="40% - Accent3 8 8 3" xfId="25430"/>
    <cellStyle name="40% - Accent3 8 9" xfId="10424"/>
    <cellStyle name="40% - Accent3 8_Exh G" xfId="3037"/>
    <cellStyle name="40% - Accent3 9" xfId="480"/>
    <cellStyle name="40% - Accent3 9 10" xfId="18383"/>
    <cellStyle name="40% - Accent3 9 2" xfId="481"/>
    <cellStyle name="40% - Accent3 9 2 2" xfId="482"/>
    <cellStyle name="40% - Accent3 9 2 2 2" xfId="1510"/>
    <cellStyle name="40% - Accent3 9 2 2 2 2" xfId="5040"/>
    <cellStyle name="40% - Accent3 9 2 2 2 2 2" xfId="8631"/>
    <cellStyle name="40% - Accent3 9 2 2 2 2 2 2" xfId="16602"/>
    <cellStyle name="40% - Accent3 9 2 2 2 2 2 3" xfId="24548"/>
    <cellStyle name="40% - Accent3 9 2 2 2 2 3" xfId="13064"/>
    <cellStyle name="40% - Accent3 9 2 2 2 2 4" xfId="21019"/>
    <cellStyle name="40% - Accent3 9 2 2 2 3" xfId="6872"/>
    <cellStyle name="40% - Accent3 9 2 2 2 3 2" xfId="14844"/>
    <cellStyle name="40% - Accent3 9 2 2 2 3 3" xfId="22791"/>
    <cellStyle name="40% - Accent3 9 2 2 2 4" xfId="11308"/>
    <cellStyle name="40% - Accent3 9 2 2 2 5" xfId="19263"/>
    <cellStyle name="40% - Accent3 9 2 2 2_Exh G" xfId="3050"/>
    <cellStyle name="40% - Accent3 9 2 2 3" xfId="4161"/>
    <cellStyle name="40% - Accent3 9 2 2 3 2" xfId="7753"/>
    <cellStyle name="40% - Accent3 9 2 2 3 2 2" xfId="15724"/>
    <cellStyle name="40% - Accent3 9 2 2 3 2 3" xfId="23670"/>
    <cellStyle name="40% - Accent3 9 2 2 3 3" xfId="12186"/>
    <cellStyle name="40% - Accent3 9 2 2 3 4" xfId="20141"/>
    <cellStyle name="40% - Accent3 9 2 2 4" xfId="5981"/>
    <cellStyle name="40% - Accent3 9 2 2 4 2" xfId="13965"/>
    <cellStyle name="40% - Accent3 9 2 2 4 3" xfId="21913"/>
    <cellStyle name="40% - Accent3 9 2 2 5" xfId="9534"/>
    <cellStyle name="40% - Accent3 9 2 2 5 2" xfId="17492"/>
    <cellStyle name="40% - Accent3 9 2 2 5 3" xfId="25436"/>
    <cellStyle name="40% - Accent3 9 2 2 6" xfId="10430"/>
    <cellStyle name="40% - Accent3 9 2 2 7" xfId="18385"/>
    <cellStyle name="40% - Accent3 9 2 2_Exh G" xfId="3049"/>
    <cellStyle name="40% - Accent3 9 2 3" xfId="1509"/>
    <cellStyle name="40% - Accent3 9 2 3 2" xfId="5039"/>
    <cellStyle name="40% - Accent3 9 2 3 2 2" xfId="8630"/>
    <cellStyle name="40% - Accent3 9 2 3 2 2 2" xfId="16601"/>
    <cellStyle name="40% - Accent3 9 2 3 2 2 3" xfId="24547"/>
    <cellStyle name="40% - Accent3 9 2 3 2 3" xfId="13063"/>
    <cellStyle name="40% - Accent3 9 2 3 2 4" xfId="21018"/>
    <cellStyle name="40% - Accent3 9 2 3 3" xfId="6871"/>
    <cellStyle name="40% - Accent3 9 2 3 3 2" xfId="14843"/>
    <cellStyle name="40% - Accent3 9 2 3 3 3" xfId="22790"/>
    <cellStyle name="40% - Accent3 9 2 3 4" xfId="11307"/>
    <cellStyle name="40% - Accent3 9 2 3 5" xfId="19262"/>
    <cellStyle name="40% - Accent3 9 2 3_Exh G" xfId="3051"/>
    <cellStyle name="40% - Accent3 9 2 4" xfId="4160"/>
    <cellStyle name="40% - Accent3 9 2 4 2" xfId="7752"/>
    <cellStyle name="40% - Accent3 9 2 4 2 2" xfId="15723"/>
    <cellStyle name="40% - Accent3 9 2 4 2 3" xfId="23669"/>
    <cellStyle name="40% - Accent3 9 2 4 3" xfId="12185"/>
    <cellStyle name="40% - Accent3 9 2 4 4" xfId="20140"/>
    <cellStyle name="40% - Accent3 9 2 5" xfId="5980"/>
    <cellStyle name="40% - Accent3 9 2 5 2" xfId="13964"/>
    <cellStyle name="40% - Accent3 9 2 5 3" xfId="21912"/>
    <cellStyle name="40% - Accent3 9 2 6" xfId="9533"/>
    <cellStyle name="40% - Accent3 9 2 6 2" xfId="17491"/>
    <cellStyle name="40% - Accent3 9 2 6 3" xfId="25435"/>
    <cellStyle name="40% - Accent3 9 2 7" xfId="10429"/>
    <cellStyle name="40% - Accent3 9 2 8" xfId="18384"/>
    <cellStyle name="40% - Accent3 9 2_Exh G" xfId="3048"/>
    <cellStyle name="40% - Accent3 9 3" xfId="483"/>
    <cellStyle name="40% - Accent3 9 3 2" xfId="1511"/>
    <cellStyle name="40% - Accent3 9 3 2 2" xfId="5041"/>
    <cellStyle name="40% - Accent3 9 3 2 2 2" xfId="8632"/>
    <cellStyle name="40% - Accent3 9 3 2 2 2 2" xfId="16603"/>
    <cellStyle name="40% - Accent3 9 3 2 2 2 3" xfId="24549"/>
    <cellStyle name="40% - Accent3 9 3 2 2 3" xfId="13065"/>
    <cellStyle name="40% - Accent3 9 3 2 2 4" xfId="21020"/>
    <cellStyle name="40% - Accent3 9 3 2 3" xfId="6873"/>
    <cellStyle name="40% - Accent3 9 3 2 3 2" xfId="14845"/>
    <cellStyle name="40% - Accent3 9 3 2 3 3" xfId="22792"/>
    <cellStyle name="40% - Accent3 9 3 2 4" xfId="11309"/>
    <cellStyle name="40% - Accent3 9 3 2 5" xfId="19264"/>
    <cellStyle name="40% - Accent3 9 3 2_Exh G" xfId="3053"/>
    <cellStyle name="40% - Accent3 9 3 3" xfId="4162"/>
    <cellStyle name="40% - Accent3 9 3 3 2" xfId="7754"/>
    <cellStyle name="40% - Accent3 9 3 3 2 2" xfId="15725"/>
    <cellStyle name="40% - Accent3 9 3 3 2 3" xfId="23671"/>
    <cellStyle name="40% - Accent3 9 3 3 3" xfId="12187"/>
    <cellStyle name="40% - Accent3 9 3 3 4" xfId="20142"/>
    <cellStyle name="40% - Accent3 9 3 4" xfId="5982"/>
    <cellStyle name="40% - Accent3 9 3 4 2" xfId="13966"/>
    <cellStyle name="40% - Accent3 9 3 4 3" xfId="21914"/>
    <cellStyle name="40% - Accent3 9 3 5" xfId="9535"/>
    <cellStyle name="40% - Accent3 9 3 5 2" xfId="17493"/>
    <cellStyle name="40% - Accent3 9 3 5 3" xfId="25437"/>
    <cellStyle name="40% - Accent3 9 3 6" xfId="10431"/>
    <cellStyle name="40% - Accent3 9 3 7" xfId="18386"/>
    <cellStyle name="40% - Accent3 9 3_Exh G" xfId="3052"/>
    <cellStyle name="40% - Accent3 9 4" xfId="969"/>
    <cellStyle name="40% - Accent3 9 4 2" xfId="1888"/>
    <cellStyle name="40% - Accent3 9 4 2 2" xfId="5406"/>
    <cellStyle name="40% - Accent3 9 4 2 2 2" xfId="8997"/>
    <cellStyle name="40% - Accent3 9 4 2 2 2 2" xfId="16968"/>
    <cellStyle name="40% - Accent3 9 4 2 2 2 3" xfId="24914"/>
    <cellStyle name="40% - Accent3 9 4 2 2 3" xfId="13430"/>
    <cellStyle name="40% - Accent3 9 4 2 2 4" xfId="21385"/>
    <cellStyle name="40% - Accent3 9 4 2 3" xfId="7238"/>
    <cellStyle name="40% - Accent3 9 4 2 3 2" xfId="15210"/>
    <cellStyle name="40% - Accent3 9 4 2 3 3" xfId="23157"/>
    <cellStyle name="40% - Accent3 9 4 2 4" xfId="11674"/>
    <cellStyle name="40% - Accent3 9 4 2 5" xfId="19629"/>
    <cellStyle name="40% - Accent3 9 4 2_Exh G" xfId="3055"/>
    <cellStyle name="40% - Accent3 9 4 3" xfId="4527"/>
    <cellStyle name="40% - Accent3 9 4 3 2" xfId="8119"/>
    <cellStyle name="40% - Accent3 9 4 3 2 2" xfId="16090"/>
    <cellStyle name="40% - Accent3 9 4 3 2 3" xfId="24036"/>
    <cellStyle name="40% - Accent3 9 4 3 3" xfId="12552"/>
    <cellStyle name="40% - Accent3 9 4 3 4" xfId="20507"/>
    <cellStyle name="40% - Accent3 9 4 4" xfId="6357"/>
    <cellStyle name="40% - Accent3 9 4 4 2" xfId="14332"/>
    <cellStyle name="40% - Accent3 9 4 4 3" xfId="22279"/>
    <cellStyle name="40% - Accent3 9 4 5" xfId="9900"/>
    <cellStyle name="40% - Accent3 9 4 5 2" xfId="17858"/>
    <cellStyle name="40% - Accent3 9 4 5 3" xfId="25802"/>
    <cellStyle name="40% - Accent3 9 4 6" xfId="10796"/>
    <cellStyle name="40% - Accent3 9 4 7" xfId="18751"/>
    <cellStyle name="40% - Accent3 9 4_Exh G" xfId="3054"/>
    <cellStyle name="40% - Accent3 9 5" xfId="1508"/>
    <cellStyle name="40% - Accent3 9 5 2" xfId="5038"/>
    <cellStyle name="40% - Accent3 9 5 2 2" xfId="8629"/>
    <cellStyle name="40% - Accent3 9 5 2 2 2" xfId="16600"/>
    <cellStyle name="40% - Accent3 9 5 2 2 3" xfId="24546"/>
    <cellStyle name="40% - Accent3 9 5 2 3" xfId="13062"/>
    <cellStyle name="40% - Accent3 9 5 2 4" xfId="21017"/>
    <cellStyle name="40% - Accent3 9 5 3" xfId="6870"/>
    <cellStyle name="40% - Accent3 9 5 3 2" xfId="14842"/>
    <cellStyle name="40% - Accent3 9 5 3 3" xfId="22789"/>
    <cellStyle name="40% - Accent3 9 5 4" xfId="11306"/>
    <cellStyle name="40% - Accent3 9 5 5" xfId="19261"/>
    <cellStyle name="40% - Accent3 9 5_Exh G" xfId="3056"/>
    <cellStyle name="40% - Accent3 9 6" xfId="4159"/>
    <cellStyle name="40% - Accent3 9 6 2" xfId="7751"/>
    <cellStyle name="40% - Accent3 9 6 2 2" xfId="15722"/>
    <cellStyle name="40% - Accent3 9 6 2 3" xfId="23668"/>
    <cellStyle name="40% - Accent3 9 6 3" xfId="12184"/>
    <cellStyle name="40% - Accent3 9 6 4" xfId="20139"/>
    <cellStyle name="40% - Accent3 9 7" xfId="5979"/>
    <cellStyle name="40% - Accent3 9 7 2" xfId="13963"/>
    <cellStyle name="40% - Accent3 9 7 3" xfId="21911"/>
    <cellStyle name="40% - Accent3 9 8" xfId="9532"/>
    <cellStyle name="40% - Accent3 9 8 2" xfId="17490"/>
    <cellStyle name="40% - Accent3 9 8 3" xfId="25434"/>
    <cellStyle name="40% - Accent3 9 9" xfId="10428"/>
    <cellStyle name="40% - Accent3 9_Exh G" xfId="3047"/>
    <cellStyle name="40% - Accent4 10" xfId="484"/>
    <cellStyle name="40% - Accent4 10 10" xfId="18387"/>
    <cellStyle name="40% - Accent4 10 2" xfId="485"/>
    <cellStyle name="40% - Accent4 10 2 2" xfId="486"/>
    <cellStyle name="40% - Accent4 10 2 2 2" xfId="1514"/>
    <cellStyle name="40% - Accent4 10 2 2 2 2" xfId="5044"/>
    <cellStyle name="40% - Accent4 10 2 2 2 2 2" xfId="8635"/>
    <cellStyle name="40% - Accent4 10 2 2 2 2 2 2" xfId="16606"/>
    <cellStyle name="40% - Accent4 10 2 2 2 2 2 3" xfId="24552"/>
    <cellStyle name="40% - Accent4 10 2 2 2 2 3" xfId="13068"/>
    <cellStyle name="40% - Accent4 10 2 2 2 2 4" xfId="21023"/>
    <cellStyle name="40% - Accent4 10 2 2 2 3" xfId="6876"/>
    <cellStyle name="40% - Accent4 10 2 2 2 3 2" xfId="14848"/>
    <cellStyle name="40% - Accent4 10 2 2 2 3 3" xfId="22795"/>
    <cellStyle name="40% - Accent4 10 2 2 2 4" xfId="11312"/>
    <cellStyle name="40% - Accent4 10 2 2 2 5" xfId="19267"/>
    <cellStyle name="40% - Accent4 10 2 2 2_Exh G" xfId="3060"/>
    <cellStyle name="40% - Accent4 10 2 2 3" xfId="4165"/>
    <cellStyle name="40% - Accent4 10 2 2 3 2" xfId="7757"/>
    <cellStyle name="40% - Accent4 10 2 2 3 2 2" xfId="15728"/>
    <cellStyle name="40% - Accent4 10 2 2 3 2 3" xfId="23674"/>
    <cellStyle name="40% - Accent4 10 2 2 3 3" xfId="12190"/>
    <cellStyle name="40% - Accent4 10 2 2 3 4" xfId="20145"/>
    <cellStyle name="40% - Accent4 10 2 2 4" xfId="5985"/>
    <cellStyle name="40% - Accent4 10 2 2 4 2" xfId="13969"/>
    <cellStyle name="40% - Accent4 10 2 2 4 3" xfId="21917"/>
    <cellStyle name="40% - Accent4 10 2 2 5" xfId="9538"/>
    <cellStyle name="40% - Accent4 10 2 2 5 2" xfId="17496"/>
    <cellStyle name="40% - Accent4 10 2 2 5 3" xfId="25440"/>
    <cellStyle name="40% - Accent4 10 2 2 6" xfId="10434"/>
    <cellStyle name="40% - Accent4 10 2 2 7" xfId="18389"/>
    <cellStyle name="40% - Accent4 10 2 2_Exh G" xfId="3059"/>
    <cellStyle name="40% - Accent4 10 2 3" xfId="1513"/>
    <cellStyle name="40% - Accent4 10 2 3 2" xfId="5043"/>
    <cellStyle name="40% - Accent4 10 2 3 2 2" xfId="8634"/>
    <cellStyle name="40% - Accent4 10 2 3 2 2 2" xfId="16605"/>
    <cellStyle name="40% - Accent4 10 2 3 2 2 3" xfId="24551"/>
    <cellStyle name="40% - Accent4 10 2 3 2 3" xfId="13067"/>
    <cellStyle name="40% - Accent4 10 2 3 2 4" xfId="21022"/>
    <cellStyle name="40% - Accent4 10 2 3 3" xfId="6875"/>
    <cellStyle name="40% - Accent4 10 2 3 3 2" xfId="14847"/>
    <cellStyle name="40% - Accent4 10 2 3 3 3" xfId="22794"/>
    <cellStyle name="40% - Accent4 10 2 3 4" xfId="11311"/>
    <cellStyle name="40% - Accent4 10 2 3 5" xfId="19266"/>
    <cellStyle name="40% - Accent4 10 2 3_Exh G" xfId="3061"/>
    <cellStyle name="40% - Accent4 10 2 4" xfId="4164"/>
    <cellStyle name="40% - Accent4 10 2 4 2" xfId="7756"/>
    <cellStyle name="40% - Accent4 10 2 4 2 2" xfId="15727"/>
    <cellStyle name="40% - Accent4 10 2 4 2 3" xfId="23673"/>
    <cellStyle name="40% - Accent4 10 2 4 3" xfId="12189"/>
    <cellStyle name="40% - Accent4 10 2 4 4" xfId="20144"/>
    <cellStyle name="40% - Accent4 10 2 5" xfId="5984"/>
    <cellStyle name="40% - Accent4 10 2 5 2" xfId="13968"/>
    <cellStyle name="40% - Accent4 10 2 5 3" xfId="21916"/>
    <cellStyle name="40% - Accent4 10 2 6" xfId="9537"/>
    <cellStyle name="40% - Accent4 10 2 6 2" xfId="17495"/>
    <cellStyle name="40% - Accent4 10 2 6 3" xfId="25439"/>
    <cellStyle name="40% - Accent4 10 2 7" xfId="10433"/>
    <cellStyle name="40% - Accent4 10 2 8" xfId="18388"/>
    <cellStyle name="40% - Accent4 10 2_Exh G" xfId="3058"/>
    <cellStyle name="40% - Accent4 10 3" xfId="487"/>
    <cellStyle name="40% - Accent4 10 3 2" xfId="1515"/>
    <cellStyle name="40% - Accent4 10 3 2 2" xfId="5045"/>
    <cellStyle name="40% - Accent4 10 3 2 2 2" xfId="8636"/>
    <cellStyle name="40% - Accent4 10 3 2 2 2 2" xfId="16607"/>
    <cellStyle name="40% - Accent4 10 3 2 2 2 3" xfId="24553"/>
    <cellStyle name="40% - Accent4 10 3 2 2 3" xfId="13069"/>
    <cellStyle name="40% - Accent4 10 3 2 2 4" xfId="21024"/>
    <cellStyle name="40% - Accent4 10 3 2 3" xfId="6877"/>
    <cellStyle name="40% - Accent4 10 3 2 3 2" xfId="14849"/>
    <cellStyle name="40% - Accent4 10 3 2 3 3" xfId="22796"/>
    <cellStyle name="40% - Accent4 10 3 2 4" xfId="11313"/>
    <cellStyle name="40% - Accent4 10 3 2 5" xfId="19268"/>
    <cellStyle name="40% - Accent4 10 3 2_Exh G" xfId="3063"/>
    <cellStyle name="40% - Accent4 10 3 3" xfId="4166"/>
    <cellStyle name="40% - Accent4 10 3 3 2" xfId="7758"/>
    <cellStyle name="40% - Accent4 10 3 3 2 2" xfId="15729"/>
    <cellStyle name="40% - Accent4 10 3 3 2 3" xfId="23675"/>
    <cellStyle name="40% - Accent4 10 3 3 3" xfId="12191"/>
    <cellStyle name="40% - Accent4 10 3 3 4" xfId="20146"/>
    <cellStyle name="40% - Accent4 10 3 4" xfId="5986"/>
    <cellStyle name="40% - Accent4 10 3 4 2" xfId="13970"/>
    <cellStyle name="40% - Accent4 10 3 4 3" xfId="21918"/>
    <cellStyle name="40% - Accent4 10 3 5" xfId="9539"/>
    <cellStyle name="40% - Accent4 10 3 5 2" xfId="17497"/>
    <cellStyle name="40% - Accent4 10 3 5 3" xfId="25441"/>
    <cellStyle name="40% - Accent4 10 3 6" xfId="10435"/>
    <cellStyle name="40% - Accent4 10 3 7" xfId="18390"/>
    <cellStyle name="40% - Accent4 10 3_Exh G" xfId="3062"/>
    <cellStyle name="40% - Accent4 10 4" xfId="970"/>
    <cellStyle name="40% - Accent4 10 5" xfId="1512"/>
    <cellStyle name="40% - Accent4 10 5 2" xfId="5042"/>
    <cellStyle name="40% - Accent4 10 5 2 2" xfId="8633"/>
    <cellStyle name="40% - Accent4 10 5 2 2 2" xfId="16604"/>
    <cellStyle name="40% - Accent4 10 5 2 2 3" xfId="24550"/>
    <cellStyle name="40% - Accent4 10 5 2 3" xfId="13066"/>
    <cellStyle name="40% - Accent4 10 5 2 4" xfId="21021"/>
    <cellStyle name="40% - Accent4 10 5 3" xfId="6874"/>
    <cellStyle name="40% - Accent4 10 5 3 2" xfId="14846"/>
    <cellStyle name="40% - Accent4 10 5 3 3" xfId="22793"/>
    <cellStyle name="40% - Accent4 10 5 4" xfId="11310"/>
    <cellStyle name="40% - Accent4 10 5 5" xfId="19265"/>
    <cellStyle name="40% - Accent4 10 5_Exh G" xfId="3064"/>
    <cellStyle name="40% - Accent4 10 6" xfId="4163"/>
    <cellStyle name="40% - Accent4 10 6 2" xfId="7755"/>
    <cellStyle name="40% - Accent4 10 6 2 2" xfId="15726"/>
    <cellStyle name="40% - Accent4 10 6 2 3" xfId="23672"/>
    <cellStyle name="40% - Accent4 10 6 3" xfId="12188"/>
    <cellStyle name="40% - Accent4 10 6 4" xfId="20143"/>
    <cellStyle name="40% - Accent4 10 7" xfId="5983"/>
    <cellStyle name="40% - Accent4 10 7 2" xfId="13967"/>
    <cellStyle name="40% - Accent4 10 7 3" xfId="21915"/>
    <cellStyle name="40% - Accent4 10 8" xfId="9536"/>
    <cellStyle name="40% - Accent4 10 8 2" xfId="17494"/>
    <cellStyle name="40% - Accent4 10 8 3" xfId="25438"/>
    <cellStyle name="40% - Accent4 10 9" xfId="10432"/>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 2 2" xfId="8639"/>
    <cellStyle name="40% - Accent4 11 2 2 2 2 2 2" xfId="16610"/>
    <cellStyle name="40% - Accent4 11 2 2 2 2 2 3" xfId="24556"/>
    <cellStyle name="40% - Accent4 11 2 2 2 2 3" xfId="13072"/>
    <cellStyle name="40% - Accent4 11 2 2 2 2 4" xfId="21027"/>
    <cellStyle name="40% - Accent4 11 2 2 2 3" xfId="6880"/>
    <cellStyle name="40% - Accent4 11 2 2 2 3 2" xfId="14852"/>
    <cellStyle name="40% - Accent4 11 2 2 2 3 3" xfId="22799"/>
    <cellStyle name="40% - Accent4 11 2 2 2 4" xfId="11316"/>
    <cellStyle name="40% - Accent4 11 2 2 2 5" xfId="19271"/>
    <cellStyle name="40% - Accent4 11 2 2 2_Exh G" xfId="3068"/>
    <cellStyle name="40% - Accent4 11 2 2 3" xfId="4169"/>
    <cellStyle name="40% - Accent4 11 2 2 3 2" xfId="7761"/>
    <cellStyle name="40% - Accent4 11 2 2 3 2 2" xfId="15732"/>
    <cellStyle name="40% - Accent4 11 2 2 3 2 3" xfId="23678"/>
    <cellStyle name="40% - Accent4 11 2 2 3 3" xfId="12194"/>
    <cellStyle name="40% - Accent4 11 2 2 3 4" xfId="20149"/>
    <cellStyle name="40% - Accent4 11 2 2 4" xfId="5989"/>
    <cellStyle name="40% - Accent4 11 2 2 4 2" xfId="13973"/>
    <cellStyle name="40% - Accent4 11 2 2 4 3" xfId="21921"/>
    <cellStyle name="40% - Accent4 11 2 2 5" xfId="9542"/>
    <cellStyle name="40% - Accent4 11 2 2 5 2" xfId="17500"/>
    <cellStyle name="40% - Accent4 11 2 2 5 3" xfId="25444"/>
    <cellStyle name="40% - Accent4 11 2 2 6" xfId="10438"/>
    <cellStyle name="40% - Accent4 11 2 2 7" xfId="18393"/>
    <cellStyle name="40% - Accent4 11 2 2_Exh G" xfId="3067"/>
    <cellStyle name="40% - Accent4 11 2 3" xfId="1517"/>
    <cellStyle name="40% - Accent4 11 2 3 2" xfId="5047"/>
    <cellStyle name="40% - Accent4 11 2 3 2 2" xfId="8638"/>
    <cellStyle name="40% - Accent4 11 2 3 2 2 2" xfId="16609"/>
    <cellStyle name="40% - Accent4 11 2 3 2 2 3" xfId="24555"/>
    <cellStyle name="40% - Accent4 11 2 3 2 3" xfId="13071"/>
    <cellStyle name="40% - Accent4 11 2 3 2 4" xfId="21026"/>
    <cellStyle name="40% - Accent4 11 2 3 3" xfId="6879"/>
    <cellStyle name="40% - Accent4 11 2 3 3 2" xfId="14851"/>
    <cellStyle name="40% - Accent4 11 2 3 3 3" xfId="22798"/>
    <cellStyle name="40% - Accent4 11 2 3 4" xfId="11315"/>
    <cellStyle name="40% - Accent4 11 2 3 5" xfId="19270"/>
    <cellStyle name="40% - Accent4 11 2 3_Exh G" xfId="3069"/>
    <cellStyle name="40% - Accent4 11 2 4" xfId="4168"/>
    <cellStyle name="40% - Accent4 11 2 4 2" xfId="7760"/>
    <cellStyle name="40% - Accent4 11 2 4 2 2" xfId="15731"/>
    <cellStyle name="40% - Accent4 11 2 4 2 3" xfId="23677"/>
    <cellStyle name="40% - Accent4 11 2 4 3" xfId="12193"/>
    <cellStyle name="40% - Accent4 11 2 4 4" xfId="20148"/>
    <cellStyle name="40% - Accent4 11 2 5" xfId="5988"/>
    <cellStyle name="40% - Accent4 11 2 5 2" xfId="13972"/>
    <cellStyle name="40% - Accent4 11 2 5 3" xfId="21920"/>
    <cellStyle name="40% - Accent4 11 2 6" xfId="9541"/>
    <cellStyle name="40% - Accent4 11 2 6 2" xfId="17499"/>
    <cellStyle name="40% - Accent4 11 2 6 3" xfId="25443"/>
    <cellStyle name="40% - Accent4 11 2 7" xfId="10437"/>
    <cellStyle name="40% - Accent4 11 2 8" xfId="18392"/>
    <cellStyle name="40% - Accent4 11 2_Exh G" xfId="3066"/>
    <cellStyle name="40% - Accent4 11 3" xfId="491"/>
    <cellStyle name="40% - Accent4 11 3 2" xfId="1519"/>
    <cellStyle name="40% - Accent4 11 3 2 2" xfId="5049"/>
    <cellStyle name="40% - Accent4 11 3 2 2 2" xfId="8640"/>
    <cellStyle name="40% - Accent4 11 3 2 2 2 2" xfId="16611"/>
    <cellStyle name="40% - Accent4 11 3 2 2 2 3" xfId="24557"/>
    <cellStyle name="40% - Accent4 11 3 2 2 3" xfId="13073"/>
    <cellStyle name="40% - Accent4 11 3 2 2 4" xfId="21028"/>
    <cellStyle name="40% - Accent4 11 3 2 3" xfId="6881"/>
    <cellStyle name="40% - Accent4 11 3 2 3 2" xfId="14853"/>
    <cellStyle name="40% - Accent4 11 3 2 3 3" xfId="22800"/>
    <cellStyle name="40% - Accent4 11 3 2 4" xfId="11317"/>
    <cellStyle name="40% - Accent4 11 3 2 5" xfId="19272"/>
    <cellStyle name="40% - Accent4 11 3 2_Exh G" xfId="3071"/>
    <cellStyle name="40% - Accent4 11 3 3" xfId="4170"/>
    <cellStyle name="40% - Accent4 11 3 3 2" xfId="7762"/>
    <cellStyle name="40% - Accent4 11 3 3 2 2" xfId="15733"/>
    <cellStyle name="40% - Accent4 11 3 3 2 3" xfId="23679"/>
    <cellStyle name="40% - Accent4 11 3 3 3" xfId="12195"/>
    <cellStyle name="40% - Accent4 11 3 3 4" xfId="20150"/>
    <cellStyle name="40% - Accent4 11 3 4" xfId="5990"/>
    <cellStyle name="40% - Accent4 11 3 4 2" xfId="13974"/>
    <cellStyle name="40% - Accent4 11 3 4 3" xfId="21922"/>
    <cellStyle name="40% - Accent4 11 3 5" xfId="9543"/>
    <cellStyle name="40% - Accent4 11 3 5 2" xfId="17501"/>
    <cellStyle name="40% - Accent4 11 3 5 3" xfId="25445"/>
    <cellStyle name="40% - Accent4 11 3 6" xfId="10439"/>
    <cellStyle name="40% - Accent4 11 3 7" xfId="18394"/>
    <cellStyle name="40% - Accent4 11 3_Exh G" xfId="3070"/>
    <cellStyle name="40% - Accent4 11 4" xfId="1516"/>
    <cellStyle name="40% - Accent4 11 4 2" xfId="5046"/>
    <cellStyle name="40% - Accent4 11 4 2 2" xfId="8637"/>
    <cellStyle name="40% - Accent4 11 4 2 2 2" xfId="16608"/>
    <cellStyle name="40% - Accent4 11 4 2 2 3" xfId="24554"/>
    <cellStyle name="40% - Accent4 11 4 2 3" xfId="13070"/>
    <cellStyle name="40% - Accent4 11 4 2 4" xfId="21025"/>
    <cellStyle name="40% - Accent4 11 4 3" xfId="6878"/>
    <cellStyle name="40% - Accent4 11 4 3 2" xfId="14850"/>
    <cellStyle name="40% - Accent4 11 4 3 3" xfId="22797"/>
    <cellStyle name="40% - Accent4 11 4 4" xfId="11314"/>
    <cellStyle name="40% - Accent4 11 4 5" xfId="19269"/>
    <cellStyle name="40% - Accent4 11 4_Exh G" xfId="3072"/>
    <cellStyle name="40% - Accent4 11 5" xfId="4167"/>
    <cellStyle name="40% - Accent4 11 5 2" xfId="7759"/>
    <cellStyle name="40% - Accent4 11 5 2 2" xfId="15730"/>
    <cellStyle name="40% - Accent4 11 5 2 3" xfId="23676"/>
    <cellStyle name="40% - Accent4 11 5 3" xfId="12192"/>
    <cellStyle name="40% - Accent4 11 5 4" xfId="20147"/>
    <cellStyle name="40% - Accent4 11 6" xfId="5987"/>
    <cellStyle name="40% - Accent4 11 6 2" xfId="13971"/>
    <cellStyle name="40% - Accent4 11 6 3" xfId="21919"/>
    <cellStyle name="40% - Accent4 11 7" xfId="9540"/>
    <cellStyle name="40% - Accent4 11 7 2" xfId="17498"/>
    <cellStyle name="40% - Accent4 11 7 3" xfId="25442"/>
    <cellStyle name="40% - Accent4 11 8" xfId="10436"/>
    <cellStyle name="40% - Accent4 11 9" xfId="18391"/>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 2 2" xfId="8643"/>
    <cellStyle name="40% - Accent4 12 2 2 2 2 2 2" xfId="16614"/>
    <cellStyle name="40% - Accent4 12 2 2 2 2 2 3" xfId="24560"/>
    <cellStyle name="40% - Accent4 12 2 2 2 2 3" xfId="13076"/>
    <cellStyle name="40% - Accent4 12 2 2 2 2 4" xfId="21031"/>
    <cellStyle name="40% - Accent4 12 2 2 2 3" xfId="6884"/>
    <cellStyle name="40% - Accent4 12 2 2 2 3 2" xfId="14856"/>
    <cellStyle name="40% - Accent4 12 2 2 2 3 3" xfId="22803"/>
    <cellStyle name="40% - Accent4 12 2 2 2 4" xfId="11320"/>
    <cellStyle name="40% - Accent4 12 2 2 2 5" xfId="19275"/>
    <cellStyle name="40% - Accent4 12 2 2 2_Exh G" xfId="3076"/>
    <cellStyle name="40% - Accent4 12 2 2 3" xfId="4173"/>
    <cellStyle name="40% - Accent4 12 2 2 3 2" xfId="7765"/>
    <cellStyle name="40% - Accent4 12 2 2 3 2 2" xfId="15736"/>
    <cellStyle name="40% - Accent4 12 2 2 3 2 3" xfId="23682"/>
    <cellStyle name="40% - Accent4 12 2 2 3 3" xfId="12198"/>
    <cellStyle name="40% - Accent4 12 2 2 3 4" xfId="20153"/>
    <cellStyle name="40% - Accent4 12 2 2 4" xfId="5993"/>
    <cellStyle name="40% - Accent4 12 2 2 4 2" xfId="13977"/>
    <cellStyle name="40% - Accent4 12 2 2 4 3" xfId="21925"/>
    <cellStyle name="40% - Accent4 12 2 2 5" xfId="9546"/>
    <cellStyle name="40% - Accent4 12 2 2 5 2" xfId="17504"/>
    <cellStyle name="40% - Accent4 12 2 2 5 3" xfId="25448"/>
    <cellStyle name="40% - Accent4 12 2 2 6" xfId="10442"/>
    <cellStyle name="40% - Accent4 12 2 2 7" xfId="18397"/>
    <cellStyle name="40% - Accent4 12 2 2_Exh G" xfId="3075"/>
    <cellStyle name="40% - Accent4 12 2 3" xfId="1521"/>
    <cellStyle name="40% - Accent4 12 2 3 2" xfId="5051"/>
    <cellStyle name="40% - Accent4 12 2 3 2 2" xfId="8642"/>
    <cellStyle name="40% - Accent4 12 2 3 2 2 2" xfId="16613"/>
    <cellStyle name="40% - Accent4 12 2 3 2 2 3" xfId="24559"/>
    <cellStyle name="40% - Accent4 12 2 3 2 3" xfId="13075"/>
    <cellStyle name="40% - Accent4 12 2 3 2 4" xfId="21030"/>
    <cellStyle name="40% - Accent4 12 2 3 3" xfId="6883"/>
    <cellStyle name="40% - Accent4 12 2 3 3 2" xfId="14855"/>
    <cellStyle name="40% - Accent4 12 2 3 3 3" xfId="22802"/>
    <cellStyle name="40% - Accent4 12 2 3 4" xfId="11319"/>
    <cellStyle name="40% - Accent4 12 2 3 5" xfId="19274"/>
    <cellStyle name="40% - Accent4 12 2 3_Exh G" xfId="3077"/>
    <cellStyle name="40% - Accent4 12 2 4" xfId="4172"/>
    <cellStyle name="40% - Accent4 12 2 4 2" xfId="7764"/>
    <cellStyle name="40% - Accent4 12 2 4 2 2" xfId="15735"/>
    <cellStyle name="40% - Accent4 12 2 4 2 3" xfId="23681"/>
    <cellStyle name="40% - Accent4 12 2 4 3" xfId="12197"/>
    <cellStyle name="40% - Accent4 12 2 4 4" xfId="20152"/>
    <cellStyle name="40% - Accent4 12 2 5" xfId="5992"/>
    <cellStyle name="40% - Accent4 12 2 5 2" xfId="13976"/>
    <cellStyle name="40% - Accent4 12 2 5 3" xfId="21924"/>
    <cellStyle name="40% - Accent4 12 2 6" xfId="9545"/>
    <cellStyle name="40% - Accent4 12 2 6 2" xfId="17503"/>
    <cellStyle name="40% - Accent4 12 2 6 3" xfId="25447"/>
    <cellStyle name="40% - Accent4 12 2 7" xfId="10441"/>
    <cellStyle name="40% - Accent4 12 2 8" xfId="18396"/>
    <cellStyle name="40% - Accent4 12 2_Exh G" xfId="3074"/>
    <cellStyle name="40% - Accent4 12 3" xfId="495"/>
    <cellStyle name="40% - Accent4 12 3 2" xfId="1523"/>
    <cellStyle name="40% - Accent4 12 3 2 2" xfId="5053"/>
    <cellStyle name="40% - Accent4 12 3 2 2 2" xfId="8644"/>
    <cellStyle name="40% - Accent4 12 3 2 2 2 2" xfId="16615"/>
    <cellStyle name="40% - Accent4 12 3 2 2 2 3" xfId="24561"/>
    <cellStyle name="40% - Accent4 12 3 2 2 3" xfId="13077"/>
    <cellStyle name="40% - Accent4 12 3 2 2 4" xfId="21032"/>
    <cellStyle name="40% - Accent4 12 3 2 3" xfId="6885"/>
    <cellStyle name="40% - Accent4 12 3 2 3 2" xfId="14857"/>
    <cellStyle name="40% - Accent4 12 3 2 3 3" xfId="22804"/>
    <cellStyle name="40% - Accent4 12 3 2 4" xfId="11321"/>
    <cellStyle name="40% - Accent4 12 3 2 5" xfId="19276"/>
    <cellStyle name="40% - Accent4 12 3 2_Exh G" xfId="3079"/>
    <cellStyle name="40% - Accent4 12 3 3" xfId="4174"/>
    <cellStyle name="40% - Accent4 12 3 3 2" xfId="7766"/>
    <cellStyle name="40% - Accent4 12 3 3 2 2" xfId="15737"/>
    <cellStyle name="40% - Accent4 12 3 3 2 3" xfId="23683"/>
    <cellStyle name="40% - Accent4 12 3 3 3" xfId="12199"/>
    <cellStyle name="40% - Accent4 12 3 3 4" xfId="20154"/>
    <cellStyle name="40% - Accent4 12 3 4" xfId="5994"/>
    <cellStyle name="40% - Accent4 12 3 4 2" xfId="13978"/>
    <cellStyle name="40% - Accent4 12 3 4 3" xfId="21926"/>
    <cellStyle name="40% - Accent4 12 3 5" xfId="9547"/>
    <cellStyle name="40% - Accent4 12 3 5 2" xfId="17505"/>
    <cellStyle name="40% - Accent4 12 3 5 3" xfId="25449"/>
    <cellStyle name="40% - Accent4 12 3 6" xfId="10443"/>
    <cellStyle name="40% - Accent4 12 3 7" xfId="18398"/>
    <cellStyle name="40% - Accent4 12 3_Exh G" xfId="3078"/>
    <cellStyle name="40% - Accent4 12 4" xfId="1520"/>
    <cellStyle name="40% - Accent4 12 4 2" xfId="5050"/>
    <cellStyle name="40% - Accent4 12 4 2 2" xfId="8641"/>
    <cellStyle name="40% - Accent4 12 4 2 2 2" xfId="16612"/>
    <cellStyle name="40% - Accent4 12 4 2 2 3" xfId="24558"/>
    <cellStyle name="40% - Accent4 12 4 2 3" xfId="13074"/>
    <cellStyle name="40% - Accent4 12 4 2 4" xfId="21029"/>
    <cellStyle name="40% - Accent4 12 4 3" xfId="6882"/>
    <cellStyle name="40% - Accent4 12 4 3 2" xfId="14854"/>
    <cellStyle name="40% - Accent4 12 4 3 3" xfId="22801"/>
    <cellStyle name="40% - Accent4 12 4 4" xfId="11318"/>
    <cellStyle name="40% - Accent4 12 4 5" xfId="19273"/>
    <cellStyle name="40% - Accent4 12 4_Exh G" xfId="3080"/>
    <cellStyle name="40% - Accent4 12 5" xfId="4171"/>
    <cellStyle name="40% - Accent4 12 5 2" xfId="7763"/>
    <cellStyle name="40% - Accent4 12 5 2 2" xfId="15734"/>
    <cellStyle name="40% - Accent4 12 5 2 3" xfId="23680"/>
    <cellStyle name="40% - Accent4 12 5 3" xfId="12196"/>
    <cellStyle name="40% - Accent4 12 5 4" xfId="20151"/>
    <cellStyle name="40% - Accent4 12 6" xfId="5991"/>
    <cellStyle name="40% - Accent4 12 6 2" xfId="13975"/>
    <cellStyle name="40% - Accent4 12 6 3" xfId="21923"/>
    <cellStyle name="40% - Accent4 12 7" xfId="9544"/>
    <cellStyle name="40% - Accent4 12 7 2" xfId="17502"/>
    <cellStyle name="40% - Accent4 12 7 3" xfId="25446"/>
    <cellStyle name="40% - Accent4 12 8" xfId="10440"/>
    <cellStyle name="40% - Accent4 12 9" xfId="18395"/>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 2 2" xfId="8647"/>
    <cellStyle name="40% - Accent4 13 2 2 2 2 2 2" xfId="16618"/>
    <cellStyle name="40% - Accent4 13 2 2 2 2 2 3" xfId="24564"/>
    <cellStyle name="40% - Accent4 13 2 2 2 2 3" xfId="13080"/>
    <cellStyle name="40% - Accent4 13 2 2 2 2 4" xfId="21035"/>
    <cellStyle name="40% - Accent4 13 2 2 2 3" xfId="6888"/>
    <cellStyle name="40% - Accent4 13 2 2 2 3 2" xfId="14860"/>
    <cellStyle name="40% - Accent4 13 2 2 2 3 3" xfId="22807"/>
    <cellStyle name="40% - Accent4 13 2 2 2 4" xfId="11324"/>
    <cellStyle name="40% - Accent4 13 2 2 2 5" xfId="19279"/>
    <cellStyle name="40% - Accent4 13 2 2 2_Exh G" xfId="3084"/>
    <cellStyle name="40% - Accent4 13 2 2 3" xfId="4177"/>
    <cellStyle name="40% - Accent4 13 2 2 3 2" xfId="7769"/>
    <cellStyle name="40% - Accent4 13 2 2 3 2 2" xfId="15740"/>
    <cellStyle name="40% - Accent4 13 2 2 3 2 3" xfId="23686"/>
    <cellStyle name="40% - Accent4 13 2 2 3 3" xfId="12202"/>
    <cellStyle name="40% - Accent4 13 2 2 3 4" xfId="20157"/>
    <cellStyle name="40% - Accent4 13 2 2 4" xfId="5997"/>
    <cellStyle name="40% - Accent4 13 2 2 4 2" xfId="13981"/>
    <cellStyle name="40% - Accent4 13 2 2 4 3" xfId="21929"/>
    <cellStyle name="40% - Accent4 13 2 2 5" xfId="9550"/>
    <cellStyle name="40% - Accent4 13 2 2 5 2" xfId="17508"/>
    <cellStyle name="40% - Accent4 13 2 2 5 3" xfId="25452"/>
    <cellStyle name="40% - Accent4 13 2 2 6" xfId="10446"/>
    <cellStyle name="40% - Accent4 13 2 2 7" xfId="18401"/>
    <cellStyle name="40% - Accent4 13 2 2_Exh G" xfId="3083"/>
    <cellStyle name="40% - Accent4 13 2 3" xfId="1525"/>
    <cellStyle name="40% - Accent4 13 2 3 2" xfId="5055"/>
    <cellStyle name="40% - Accent4 13 2 3 2 2" xfId="8646"/>
    <cellStyle name="40% - Accent4 13 2 3 2 2 2" xfId="16617"/>
    <cellStyle name="40% - Accent4 13 2 3 2 2 3" xfId="24563"/>
    <cellStyle name="40% - Accent4 13 2 3 2 3" xfId="13079"/>
    <cellStyle name="40% - Accent4 13 2 3 2 4" xfId="21034"/>
    <cellStyle name="40% - Accent4 13 2 3 3" xfId="6887"/>
    <cellStyle name="40% - Accent4 13 2 3 3 2" xfId="14859"/>
    <cellStyle name="40% - Accent4 13 2 3 3 3" xfId="22806"/>
    <cellStyle name="40% - Accent4 13 2 3 4" xfId="11323"/>
    <cellStyle name="40% - Accent4 13 2 3 5" xfId="19278"/>
    <cellStyle name="40% - Accent4 13 2 3_Exh G" xfId="3085"/>
    <cellStyle name="40% - Accent4 13 2 4" xfId="4176"/>
    <cellStyle name="40% - Accent4 13 2 4 2" xfId="7768"/>
    <cellStyle name="40% - Accent4 13 2 4 2 2" xfId="15739"/>
    <cellStyle name="40% - Accent4 13 2 4 2 3" xfId="23685"/>
    <cellStyle name="40% - Accent4 13 2 4 3" xfId="12201"/>
    <cellStyle name="40% - Accent4 13 2 4 4" xfId="20156"/>
    <cellStyle name="40% - Accent4 13 2 5" xfId="5996"/>
    <cellStyle name="40% - Accent4 13 2 5 2" xfId="13980"/>
    <cellStyle name="40% - Accent4 13 2 5 3" xfId="21928"/>
    <cellStyle name="40% - Accent4 13 2 6" xfId="9549"/>
    <cellStyle name="40% - Accent4 13 2 6 2" xfId="17507"/>
    <cellStyle name="40% - Accent4 13 2 6 3" xfId="25451"/>
    <cellStyle name="40% - Accent4 13 2 7" xfId="10445"/>
    <cellStyle name="40% - Accent4 13 2 8" xfId="18400"/>
    <cellStyle name="40% - Accent4 13 2_Exh G" xfId="3082"/>
    <cellStyle name="40% - Accent4 13 3" xfId="499"/>
    <cellStyle name="40% - Accent4 13 3 2" xfId="1527"/>
    <cellStyle name="40% - Accent4 13 3 2 2" xfId="5057"/>
    <cellStyle name="40% - Accent4 13 3 2 2 2" xfId="8648"/>
    <cellStyle name="40% - Accent4 13 3 2 2 2 2" xfId="16619"/>
    <cellStyle name="40% - Accent4 13 3 2 2 2 3" xfId="24565"/>
    <cellStyle name="40% - Accent4 13 3 2 2 3" xfId="13081"/>
    <cellStyle name="40% - Accent4 13 3 2 2 4" xfId="21036"/>
    <cellStyle name="40% - Accent4 13 3 2 3" xfId="6889"/>
    <cellStyle name="40% - Accent4 13 3 2 3 2" xfId="14861"/>
    <cellStyle name="40% - Accent4 13 3 2 3 3" xfId="22808"/>
    <cellStyle name="40% - Accent4 13 3 2 4" xfId="11325"/>
    <cellStyle name="40% - Accent4 13 3 2 5" xfId="19280"/>
    <cellStyle name="40% - Accent4 13 3 2_Exh G" xfId="3087"/>
    <cellStyle name="40% - Accent4 13 3 3" xfId="4178"/>
    <cellStyle name="40% - Accent4 13 3 3 2" xfId="7770"/>
    <cellStyle name="40% - Accent4 13 3 3 2 2" xfId="15741"/>
    <cellStyle name="40% - Accent4 13 3 3 2 3" xfId="23687"/>
    <cellStyle name="40% - Accent4 13 3 3 3" xfId="12203"/>
    <cellStyle name="40% - Accent4 13 3 3 4" xfId="20158"/>
    <cellStyle name="40% - Accent4 13 3 4" xfId="5998"/>
    <cellStyle name="40% - Accent4 13 3 4 2" xfId="13982"/>
    <cellStyle name="40% - Accent4 13 3 4 3" xfId="21930"/>
    <cellStyle name="40% - Accent4 13 3 5" xfId="9551"/>
    <cellStyle name="40% - Accent4 13 3 5 2" xfId="17509"/>
    <cellStyle name="40% - Accent4 13 3 5 3" xfId="25453"/>
    <cellStyle name="40% - Accent4 13 3 6" xfId="10447"/>
    <cellStyle name="40% - Accent4 13 3 7" xfId="18402"/>
    <cellStyle name="40% - Accent4 13 3_Exh G" xfId="3086"/>
    <cellStyle name="40% - Accent4 13 4" xfId="1524"/>
    <cellStyle name="40% - Accent4 13 4 2" xfId="5054"/>
    <cellStyle name="40% - Accent4 13 4 2 2" xfId="8645"/>
    <cellStyle name="40% - Accent4 13 4 2 2 2" xfId="16616"/>
    <cellStyle name="40% - Accent4 13 4 2 2 3" xfId="24562"/>
    <cellStyle name="40% - Accent4 13 4 2 3" xfId="13078"/>
    <cellStyle name="40% - Accent4 13 4 2 4" xfId="21033"/>
    <cellStyle name="40% - Accent4 13 4 3" xfId="6886"/>
    <cellStyle name="40% - Accent4 13 4 3 2" xfId="14858"/>
    <cellStyle name="40% - Accent4 13 4 3 3" xfId="22805"/>
    <cellStyle name="40% - Accent4 13 4 4" xfId="11322"/>
    <cellStyle name="40% - Accent4 13 4 5" xfId="19277"/>
    <cellStyle name="40% - Accent4 13 4_Exh G" xfId="3088"/>
    <cellStyle name="40% - Accent4 13 5" xfId="4175"/>
    <cellStyle name="40% - Accent4 13 5 2" xfId="7767"/>
    <cellStyle name="40% - Accent4 13 5 2 2" xfId="15738"/>
    <cellStyle name="40% - Accent4 13 5 2 3" xfId="23684"/>
    <cellStyle name="40% - Accent4 13 5 3" xfId="12200"/>
    <cellStyle name="40% - Accent4 13 5 4" xfId="20155"/>
    <cellStyle name="40% - Accent4 13 6" xfId="5995"/>
    <cellStyle name="40% - Accent4 13 6 2" xfId="13979"/>
    <cellStyle name="40% - Accent4 13 6 3" xfId="21927"/>
    <cellStyle name="40% - Accent4 13 7" xfId="9548"/>
    <cellStyle name="40% - Accent4 13 7 2" xfId="17506"/>
    <cellStyle name="40% - Accent4 13 7 3" xfId="25450"/>
    <cellStyle name="40% - Accent4 13 8" xfId="10444"/>
    <cellStyle name="40% - Accent4 13 9" xfId="18399"/>
    <cellStyle name="40% - Accent4 13_Exh G" xfId="3081"/>
    <cellStyle name="40% - Accent4 14" xfId="500"/>
    <cellStyle name="40% - Accent4 14 2" xfId="501"/>
    <cellStyle name="40% - Accent4 14 2 2" xfId="1529"/>
    <cellStyle name="40% - Accent4 14 2 2 2" xfId="5059"/>
    <cellStyle name="40% - Accent4 14 2 2 2 2" xfId="8650"/>
    <cellStyle name="40% - Accent4 14 2 2 2 2 2" xfId="16621"/>
    <cellStyle name="40% - Accent4 14 2 2 2 2 3" xfId="24567"/>
    <cellStyle name="40% - Accent4 14 2 2 2 3" xfId="13083"/>
    <cellStyle name="40% - Accent4 14 2 2 2 4" xfId="21038"/>
    <cellStyle name="40% - Accent4 14 2 2 3" xfId="6891"/>
    <cellStyle name="40% - Accent4 14 2 2 3 2" xfId="14863"/>
    <cellStyle name="40% - Accent4 14 2 2 3 3" xfId="22810"/>
    <cellStyle name="40% - Accent4 14 2 2 4" xfId="11327"/>
    <cellStyle name="40% - Accent4 14 2 2 5" xfId="19282"/>
    <cellStyle name="40% - Accent4 14 2 2_Exh G" xfId="3091"/>
    <cellStyle name="40% - Accent4 14 2 3" xfId="4180"/>
    <cellStyle name="40% - Accent4 14 2 3 2" xfId="7772"/>
    <cellStyle name="40% - Accent4 14 2 3 2 2" xfId="15743"/>
    <cellStyle name="40% - Accent4 14 2 3 2 3" xfId="23689"/>
    <cellStyle name="40% - Accent4 14 2 3 3" xfId="12205"/>
    <cellStyle name="40% - Accent4 14 2 3 4" xfId="20160"/>
    <cellStyle name="40% - Accent4 14 2 4" xfId="6000"/>
    <cellStyle name="40% - Accent4 14 2 4 2" xfId="13984"/>
    <cellStyle name="40% - Accent4 14 2 4 3" xfId="21932"/>
    <cellStyle name="40% - Accent4 14 2 5" xfId="9553"/>
    <cellStyle name="40% - Accent4 14 2 5 2" xfId="17511"/>
    <cellStyle name="40% - Accent4 14 2 5 3" xfId="25455"/>
    <cellStyle name="40% - Accent4 14 2 6" xfId="10449"/>
    <cellStyle name="40% - Accent4 14 2 7" xfId="18404"/>
    <cellStyle name="40% - Accent4 14 2_Exh G" xfId="3090"/>
    <cellStyle name="40% - Accent4 14 3" xfId="1528"/>
    <cellStyle name="40% - Accent4 14 3 2" xfId="5058"/>
    <cellStyle name="40% - Accent4 14 3 2 2" xfId="8649"/>
    <cellStyle name="40% - Accent4 14 3 2 2 2" xfId="16620"/>
    <cellStyle name="40% - Accent4 14 3 2 2 3" xfId="24566"/>
    <cellStyle name="40% - Accent4 14 3 2 3" xfId="13082"/>
    <cellStyle name="40% - Accent4 14 3 2 4" xfId="21037"/>
    <cellStyle name="40% - Accent4 14 3 3" xfId="6890"/>
    <cellStyle name="40% - Accent4 14 3 3 2" xfId="14862"/>
    <cellStyle name="40% - Accent4 14 3 3 3" xfId="22809"/>
    <cellStyle name="40% - Accent4 14 3 4" xfId="11326"/>
    <cellStyle name="40% - Accent4 14 3 5" xfId="19281"/>
    <cellStyle name="40% - Accent4 14 3_Exh G" xfId="3092"/>
    <cellStyle name="40% - Accent4 14 4" xfId="4179"/>
    <cellStyle name="40% - Accent4 14 4 2" xfId="7771"/>
    <cellStyle name="40% - Accent4 14 4 2 2" xfId="15742"/>
    <cellStyle name="40% - Accent4 14 4 2 3" xfId="23688"/>
    <cellStyle name="40% - Accent4 14 4 3" xfId="12204"/>
    <cellStyle name="40% - Accent4 14 4 4" xfId="20159"/>
    <cellStyle name="40% - Accent4 14 5" xfId="5999"/>
    <cellStyle name="40% - Accent4 14 5 2" xfId="13983"/>
    <cellStyle name="40% - Accent4 14 5 3" xfId="21931"/>
    <cellStyle name="40% - Accent4 14 6" xfId="9552"/>
    <cellStyle name="40% - Accent4 14 6 2" xfId="17510"/>
    <cellStyle name="40% - Accent4 14 6 3" xfId="25454"/>
    <cellStyle name="40% - Accent4 14 7" xfId="10448"/>
    <cellStyle name="40% - Accent4 14 8" xfId="18403"/>
    <cellStyle name="40% - Accent4 14_Exh G" xfId="3089"/>
    <cellStyle name="40% - Accent4 15" xfId="502"/>
    <cellStyle name="40% - Accent4 15 2" xfId="1530"/>
    <cellStyle name="40% - Accent4 15 2 2" xfId="5060"/>
    <cellStyle name="40% - Accent4 15 2 2 2" xfId="8651"/>
    <cellStyle name="40% - Accent4 15 2 2 2 2" xfId="16622"/>
    <cellStyle name="40% - Accent4 15 2 2 2 3" xfId="24568"/>
    <cellStyle name="40% - Accent4 15 2 2 3" xfId="13084"/>
    <cellStyle name="40% - Accent4 15 2 2 4" xfId="21039"/>
    <cellStyle name="40% - Accent4 15 2 3" xfId="6892"/>
    <cellStyle name="40% - Accent4 15 2 3 2" xfId="14864"/>
    <cellStyle name="40% - Accent4 15 2 3 3" xfId="22811"/>
    <cellStyle name="40% - Accent4 15 2 4" xfId="11328"/>
    <cellStyle name="40% - Accent4 15 2 5" xfId="19283"/>
    <cellStyle name="40% - Accent4 15 2_Exh G" xfId="3094"/>
    <cellStyle name="40% - Accent4 15 3" xfId="4181"/>
    <cellStyle name="40% - Accent4 15 3 2" xfId="7773"/>
    <cellStyle name="40% - Accent4 15 3 2 2" xfId="15744"/>
    <cellStyle name="40% - Accent4 15 3 2 3" xfId="23690"/>
    <cellStyle name="40% - Accent4 15 3 3" xfId="12206"/>
    <cellStyle name="40% - Accent4 15 3 4" xfId="20161"/>
    <cellStyle name="40% - Accent4 15 4" xfId="6001"/>
    <cellStyle name="40% - Accent4 15 4 2" xfId="13985"/>
    <cellStyle name="40% - Accent4 15 4 3" xfId="21933"/>
    <cellStyle name="40% - Accent4 15 5" xfId="9554"/>
    <cellStyle name="40% - Accent4 15 5 2" xfId="17512"/>
    <cellStyle name="40% - Accent4 15 5 3" xfId="25456"/>
    <cellStyle name="40% - Accent4 15 6" xfId="10450"/>
    <cellStyle name="40% - Accent4 15 7" xfId="18405"/>
    <cellStyle name="40% - Accent4 15_Exh G" xfId="3093"/>
    <cellStyle name="40% - Accent4 16" xfId="852"/>
    <cellStyle name="40% - Accent4 16 2" xfId="1791"/>
    <cellStyle name="40% - Accent4 16 2 2" xfId="5312"/>
    <cellStyle name="40% - Accent4 16 2 2 2" xfId="8903"/>
    <cellStyle name="40% - Accent4 16 2 2 2 2" xfId="16874"/>
    <cellStyle name="40% - Accent4 16 2 2 2 3" xfId="24820"/>
    <cellStyle name="40% - Accent4 16 2 2 3" xfId="13336"/>
    <cellStyle name="40% - Accent4 16 2 2 4" xfId="21291"/>
    <cellStyle name="40% - Accent4 16 2 3" xfId="7144"/>
    <cellStyle name="40% - Accent4 16 2 3 2" xfId="15116"/>
    <cellStyle name="40% - Accent4 16 2 3 3" xfId="23063"/>
    <cellStyle name="40% - Accent4 16 2 4" xfId="11580"/>
    <cellStyle name="40% - Accent4 16 2 5" xfId="19535"/>
    <cellStyle name="40% - Accent4 16 2_Exh G" xfId="3096"/>
    <cellStyle name="40% - Accent4 16 3" xfId="4433"/>
    <cellStyle name="40% - Accent4 16 3 2" xfId="8025"/>
    <cellStyle name="40% - Accent4 16 3 2 2" xfId="15996"/>
    <cellStyle name="40% - Accent4 16 3 2 3" xfId="23942"/>
    <cellStyle name="40% - Accent4 16 3 3" xfId="12458"/>
    <cellStyle name="40% - Accent4 16 3 4" xfId="20413"/>
    <cellStyle name="40% - Accent4 16 4" xfId="6263"/>
    <cellStyle name="40% - Accent4 16 4 2" xfId="14238"/>
    <cellStyle name="40% - Accent4 16 4 3" xfId="22185"/>
    <cellStyle name="40% - Accent4 16 5" xfId="9806"/>
    <cellStyle name="40% - Accent4 16 5 2" xfId="17764"/>
    <cellStyle name="40% - Accent4 16 5 3" xfId="25708"/>
    <cellStyle name="40% - Accent4 16 6" xfId="10702"/>
    <cellStyle name="40% - Accent4 16 7" xfId="18657"/>
    <cellStyle name="40% - Accent4 16_Exh G" xfId="3095"/>
    <cellStyle name="40% - Accent4 2" xfId="503"/>
    <cellStyle name="40% - Accent4 2 10" xfId="18406"/>
    <cellStyle name="40% - Accent4 2 2" xfId="504"/>
    <cellStyle name="40% - Accent4 2 2 2" xfId="505"/>
    <cellStyle name="40% - Accent4 2 2 2 2" xfId="1533"/>
    <cellStyle name="40% - Accent4 2 2 2 2 2" xfId="5063"/>
    <cellStyle name="40% - Accent4 2 2 2 2 2 2" xfId="8654"/>
    <cellStyle name="40% - Accent4 2 2 2 2 2 2 2" xfId="16625"/>
    <cellStyle name="40% - Accent4 2 2 2 2 2 2 3" xfId="24571"/>
    <cellStyle name="40% - Accent4 2 2 2 2 2 3" xfId="13087"/>
    <cellStyle name="40% - Accent4 2 2 2 2 2 4" xfId="21042"/>
    <cellStyle name="40% - Accent4 2 2 2 2 3" xfId="6895"/>
    <cellStyle name="40% - Accent4 2 2 2 2 3 2" xfId="14867"/>
    <cellStyle name="40% - Accent4 2 2 2 2 3 3" xfId="22814"/>
    <cellStyle name="40% - Accent4 2 2 2 2 4" xfId="11331"/>
    <cellStyle name="40% - Accent4 2 2 2 2 5" xfId="19286"/>
    <cellStyle name="40% - Accent4 2 2 2 2_Exh G" xfId="3100"/>
    <cellStyle name="40% - Accent4 2 2 2 3" xfId="4184"/>
    <cellStyle name="40% - Accent4 2 2 2 3 2" xfId="7776"/>
    <cellStyle name="40% - Accent4 2 2 2 3 2 2" xfId="15747"/>
    <cellStyle name="40% - Accent4 2 2 2 3 2 3" xfId="23693"/>
    <cellStyle name="40% - Accent4 2 2 2 3 3" xfId="12209"/>
    <cellStyle name="40% - Accent4 2 2 2 3 4" xfId="20164"/>
    <cellStyle name="40% - Accent4 2 2 2 4" xfId="6004"/>
    <cellStyle name="40% - Accent4 2 2 2 4 2" xfId="13988"/>
    <cellStyle name="40% - Accent4 2 2 2 4 3" xfId="21936"/>
    <cellStyle name="40% - Accent4 2 2 2 5" xfId="9557"/>
    <cellStyle name="40% - Accent4 2 2 2 5 2" xfId="17515"/>
    <cellStyle name="40% - Accent4 2 2 2 5 3" xfId="25459"/>
    <cellStyle name="40% - Accent4 2 2 2 6" xfId="10453"/>
    <cellStyle name="40% - Accent4 2 2 2 7" xfId="18408"/>
    <cellStyle name="40% - Accent4 2 2 2_Exh G" xfId="3099"/>
    <cellStyle name="40% - Accent4 2 2 3" xfId="972"/>
    <cellStyle name="40% - Accent4 2 2 3 2" xfId="1890"/>
    <cellStyle name="40% - Accent4 2 2 3 2 2" xfId="5408"/>
    <cellStyle name="40% - Accent4 2 2 3 2 2 2" xfId="8999"/>
    <cellStyle name="40% - Accent4 2 2 3 2 2 2 2" xfId="16970"/>
    <cellStyle name="40% - Accent4 2 2 3 2 2 2 3" xfId="24916"/>
    <cellStyle name="40% - Accent4 2 2 3 2 2 3" xfId="13432"/>
    <cellStyle name="40% - Accent4 2 2 3 2 2 4" xfId="21387"/>
    <cellStyle name="40% - Accent4 2 2 3 2 3" xfId="7240"/>
    <cellStyle name="40% - Accent4 2 2 3 2 3 2" xfId="15212"/>
    <cellStyle name="40% - Accent4 2 2 3 2 3 3" xfId="23159"/>
    <cellStyle name="40% - Accent4 2 2 3 2 4" xfId="11676"/>
    <cellStyle name="40% - Accent4 2 2 3 2 5" xfId="19631"/>
    <cellStyle name="40% - Accent4 2 2 3 2_Exh G" xfId="3102"/>
    <cellStyle name="40% - Accent4 2 2 3 3" xfId="4529"/>
    <cellStyle name="40% - Accent4 2 2 3 3 2" xfId="8121"/>
    <cellStyle name="40% - Accent4 2 2 3 3 2 2" xfId="16092"/>
    <cellStyle name="40% - Accent4 2 2 3 3 2 3" xfId="24038"/>
    <cellStyle name="40% - Accent4 2 2 3 3 3" xfId="12554"/>
    <cellStyle name="40% - Accent4 2 2 3 3 4" xfId="20509"/>
    <cellStyle name="40% - Accent4 2 2 3 4" xfId="6359"/>
    <cellStyle name="40% - Accent4 2 2 3 4 2" xfId="14334"/>
    <cellStyle name="40% - Accent4 2 2 3 4 3" xfId="22281"/>
    <cellStyle name="40% - Accent4 2 2 3 5" xfId="9902"/>
    <cellStyle name="40% - Accent4 2 2 3 5 2" xfId="17860"/>
    <cellStyle name="40% - Accent4 2 2 3 5 3" xfId="25804"/>
    <cellStyle name="40% - Accent4 2 2 3 6" xfId="10798"/>
    <cellStyle name="40% - Accent4 2 2 3 7" xfId="18753"/>
    <cellStyle name="40% - Accent4 2 2 3_Exh G" xfId="3101"/>
    <cellStyle name="40% - Accent4 2 2 4" xfId="1532"/>
    <cellStyle name="40% - Accent4 2 2 4 2" xfId="5062"/>
    <cellStyle name="40% - Accent4 2 2 4 2 2" xfId="8653"/>
    <cellStyle name="40% - Accent4 2 2 4 2 2 2" xfId="16624"/>
    <cellStyle name="40% - Accent4 2 2 4 2 2 3" xfId="24570"/>
    <cellStyle name="40% - Accent4 2 2 4 2 3" xfId="13086"/>
    <cellStyle name="40% - Accent4 2 2 4 2 4" xfId="21041"/>
    <cellStyle name="40% - Accent4 2 2 4 3" xfId="6894"/>
    <cellStyle name="40% - Accent4 2 2 4 3 2" xfId="14866"/>
    <cellStyle name="40% - Accent4 2 2 4 3 3" xfId="22813"/>
    <cellStyle name="40% - Accent4 2 2 4 4" xfId="11330"/>
    <cellStyle name="40% - Accent4 2 2 4 5" xfId="19285"/>
    <cellStyle name="40% - Accent4 2 2 4_Exh G" xfId="3103"/>
    <cellStyle name="40% - Accent4 2 2 5" xfId="4183"/>
    <cellStyle name="40% - Accent4 2 2 5 2" xfId="7775"/>
    <cellStyle name="40% - Accent4 2 2 5 2 2" xfId="15746"/>
    <cellStyle name="40% - Accent4 2 2 5 2 3" xfId="23692"/>
    <cellStyle name="40% - Accent4 2 2 5 3" xfId="12208"/>
    <cellStyle name="40% - Accent4 2 2 5 4" xfId="20163"/>
    <cellStyle name="40% - Accent4 2 2 6" xfId="6003"/>
    <cellStyle name="40% - Accent4 2 2 6 2" xfId="13987"/>
    <cellStyle name="40% - Accent4 2 2 6 3" xfId="21935"/>
    <cellStyle name="40% - Accent4 2 2 7" xfId="9556"/>
    <cellStyle name="40% - Accent4 2 2 7 2" xfId="17514"/>
    <cellStyle name="40% - Accent4 2 2 7 3" xfId="25458"/>
    <cellStyle name="40% - Accent4 2 2 8" xfId="10452"/>
    <cellStyle name="40% - Accent4 2 2 9" xfId="18407"/>
    <cellStyle name="40% - Accent4 2 2_Exh G" xfId="3098"/>
    <cellStyle name="40% - Accent4 2 3" xfId="506"/>
    <cellStyle name="40% - Accent4 2 3 2" xfId="1534"/>
    <cellStyle name="40% - Accent4 2 3 2 2" xfId="5064"/>
    <cellStyle name="40% - Accent4 2 3 2 2 2" xfId="8655"/>
    <cellStyle name="40% - Accent4 2 3 2 2 2 2" xfId="16626"/>
    <cellStyle name="40% - Accent4 2 3 2 2 2 3" xfId="24572"/>
    <cellStyle name="40% - Accent4 2 3 2 2 3" xfId="13088"/>
    <cellStyle name="40% - Accent4 2 3 2 2 4" xfId="21043"/>
    <cellStyle name="40% - Accent4 2 3 2 3" xfId="6896"/>
    <cellStyle name="40% - Accent4 2 3 2 3 2" xfId="14868"/>
    <cellStyle name="40% - Accent4 2 3 2 3 3" xfId="22815"/>
    <cellStyle name="40% - Accent4 2 3 2 4" xfId="11332"/>
    <cellStyle name="40% - Accent4 2 3 2 5" xfId="19287"/>
    <cellStyle name="40% - Accent4 2 3 2_Exh G" xfId="3105"/>
    <cellStyle name="40% - Accent4 2 3 3" xfId="4185"/>
    <cellStyle name="40% - Accent4 2 3 3 2" xfId="7777"/>
    <cellStyle name="40% - Accent4 2 3 3 2 2" xfId="15748"/>
    <cellStyle name="40% - Accent4 2 3 3 2 3" xfId="23694"/>
    <cellStyle name="40% - Accent4 2 3 3 3" xfId="12210"/>
    <cellStyle name="40% - Accent4 2 3 3 4" xfId="20165"/>
    <cellStyle name="40% - Accent4 2 3 4" xfId="6005"/>
    <cellStyle name="40% - Accent4 2 3 4 2" xfId="13989"/>
    <cellStyle name="40% - Accent4 2 3 4 3" xfId="21937"/>
    <cellStyle name="40% - Accent4 2 3 5" xfId="9558"/>
    <cellStyle name="40% - Accent4 2 3 5 2" xfId="17516"/>
    <cellStyle name="40% - Accent4 2 3 5 3" xfId="25460"/>
    <cellStyle name="40% - Accent4 2 3 6" xfId="10454"/>
    <cellStyle name="40% - Accent4 2 3 7" xfId="18409"/>
    <cellStyle name="40% - Accent4 2 3_Exh G" xfId="3104"/>
    <cellStyle name="40% - Accent4 2 4" xfId="971"/>
    <cellStyle name="40% - Accent4 2 4 2" xfId="1889"/>
    <cellStyle name="40% - Accent4 2 4 2 2" xfId="5407"/>
    <cellStyle name="40% - Accent4 2 4 2 2 2" xfId="8998"/>
    <cellStyle name="40% - Accent4 2 4 2 2 2 2" xfId="16969"/>
    <cellStyle name="40% - Accent4 2 4 2 2 2 3" xfId="24915"/>
    <cellStyle name="40% - Accent4 2 4 2 2 3" xfId="13431"/>
    <cellStyle name="40% - Accent4 2 4 2 2 4" xfId="21386"/>
    <cellStyle name="40% - Accent4 2 4 2 3" xfId="7239"/>
    <cellStyle name="40% - Accent4 2 4 2 3 2" xfId="15211"/>
    <cellStyle name="40% - Accent4 2 4 2 3 3" xfId="23158"/>
    <cellStyle name="40% - Accent4 2 4 2 4" xfId="11675"/>
    <cellStyle name="40% - Accent4 2 4 2 5" xfId="19630"/>
    <cellStyle name="40% - Accent4 2 4 2_Exh G" xfId="3107"/>
    <cellStyle name="40% - Accent4 2 4 3" xfId="4528"/>
    <cellStyle name="40% - Accent4 2 4 3 2" xfId="8120"/>
    <cellStyle name="40% - Accent4 2 4 3 2 2" xfId="16091"/>
    <cellStyle name="40% - Accent4 2 4 3 2 3" xfId="24037"/>
    <cellStyle name="40% - Accent4 2 4 3 3" xfId="12553"/>
    <cellStyle name="40% - Accent4 2 4 3 4" xfId="20508"/>
    <cellStyle name="40% - Accent4 2 4 4" xfId="6358"/>
    <cellStyle name="40% - Accent4 2 4 4 2" xfId="14333"/>
    <cellStyle name="40% - Accent4 2 4 4 3" xfId="22280"/>
    <cellStyle name="40% - Accent4 2 4 5" xfId="9901"/>
    <cellStyle name="40% - Accent4 2 4 5 2" xfId="17859"/>
    <cellStyle name="40% - Accent4 2 4 5 3" xfId="25803"/>
    <cellStyle name="40% - Accent4 2 4 6" xfId="10797"/>
    <cellStyle name="40% - Accent4 2 4 7" xfId="18752"/>
    <cellStyle name="40% - Accent4 2 4_Exh G" xfId="3106"/>
    <cellStyle name="40% - Accent4 2 5" xfId="1531"/>
    <cellStyle name="40% - Accent4 2 5 2" xfId="5061"/>
    <cellStyle name="40% - Accent4 2 5 2 2" xfId="8652"/>
    <cellStyle name="40% - Accent4 2 5 2 2 2" xfId="16623"/>
    <cellStyle name="40% - Accent4 2 5 2 2 3" xfId="24569"/>
    <cellStyle name="40% - Accent4 2 5 2 3" xfId="13085"/>
    <cellStyle name="40% - Accent4 2 5 2 4" xfId="21040"/>
    <cellStyle name="40% - Accent4 2 5 3" xfId="6893"/>
    <cellStyle name="40% - Accent4 2 5 3 2" xfId="14865"/>
    <cellStyle name="40% - Accent4 2 5 3 3" xfId="22812"/>
    <cellStyle name="40% - Accent4 2 5 4" xfId="11329"/>
    <cellStyle name="40% - Accent4 2 5 5" xfId="19284"/>
    <cellStyle name="40% - Accent4 2 5_Exh G" xfId="3108"/>
    <cellStyle name="40% - Accent4 2 6" xfId="4182"/>
    <cellStyle name="40% - Accent4 2 6 2" xfId="7774"/>
    <cellStyle name="40% - Accent4 2 6 2 2" xfId="15745"/>
    <cellStyle name="40% - Accent4 2 6 2 3" xfId="23691"/>
    <cellStyle name="40% - Accent4 2 6 3" xfId="12207"/>
    <cellStyle name="40% - Accent4 2 6 4" xfId="20162"/>
    <cellStyle name="40% - Accent4 2 7" xfId="6002"/>
    <cellStyle name="40% - Accent4 2 7 2" xfId="13986"/>
    <cellStyle name="40% - Accent4 2 7 3" xfId="21934"/>
    <cellStyle name="40% - Accent4 2 8" xfId="9555"/>
    <cellStyle name="40% - Accent4 2 8 2" xfId="17513"/>
    <cellStyle name="40% - Accent4 2 8 3" xfId="25457"/>
    <cellStyle name="40% - Accent4 2 9" xfId="10451"/>
    <cellStyle name="40% - Accent4 2_Exh G" xfId="3097"/>
    <cellStyle name="40% - Accent4 3" xfId="507"/>
    <cellStyle name="40% - Accent4 3 10" xfId="18410"/>
    <cellStyle name="40% - Accent4 3 2" xfId="508"/>
    <cellStyle name="40% - Accent4 3 2 2" xfId="509"/>
    <cellStyle name="40% - Accent4 3 2 2 2" xfId="1537"/>
    <cellStyle name="40% - Accent4 3 2 2 2 2" xfId="5067"/>
    <cellStyle name="40% - Accent4 3 2 2 2 2 2" xfId="8658"/>
    <cellStyle name="40% - Accent4 3 2 2 2 2 2 2" xfId="16629"/>
    <cellStyle name="40% - Accent4 3 2 2 2 2 2 3" xfId="24575"/>
    <cellStyle name="40% - Accent4 3 2 2 2 2 3" xfId="13091"/>
    <cellStyle name="40% - Accent4 3 2 2 2 2 4" xfId="21046"/>
    <cellStyle name="40% - Accent4 3 2 2 2 3" xfId="6899"/>
    <cellStyle name="40% - Accent4 3 2 2 2 3 2" xfId="14871"/>
    <cellStyle name="40% - Accent4 3 2 2 2 3 3" xfId="22818"/>
    <cellStyle name="40% - Accent4 3 2 2 2 4" xfId="11335"/>
    <cellStyle name="40% - Accent4 3 2 2 2 5" xfId="19290"/>
    <cellStyle name="40% - Accent4 3 2 2 2_Exh G" xfId="3112"/>
    <cellStyle name="40% - Accent4 3 2 2 3" xfId="4188"/>
    <cellStyle name="40% - Accent4 3 2 2 3 2" xfId="7780"/>
    <cellStyle name="40% - Accent4 3 2 2 3 2 2" xfId="15751"/>
    <cellStyle name="40% - Accent4 3 2 2 3 2 3" xfId="23697"/>
    <cellStyle name="40% - Accent4 3 2 2 3 3" xfId="12213"/>
    <cellStyle name="40% - Accent4 3 2 2 3 4" xfId="20168"/>
    <cellStyle name="40% - Accent4 3 2 2 4" xfId="6008"/>
    <cellStyle name="40% - Accent4 3 2 2 4 2" xfId="13992"/>
    <cellStyle name="40% - Accent4 3 2 2 4 3" xfId="21940"/>
    <cellStyle name="40% - Accent4 3 2 2 5" xfId="9561"/>
    <cellStyle name="40% - Accent4 3 2 2 5 2" xfId="17519"/>
    <cellStyle name="40% - Accent4 3 2 2 5 3" xfId="25463"/>
    <cellStyle name="40% - Accent4 3 2 2 6" xfId="10457"/>
    <cellStyle name="40% - Accent4 3 2 2 7" xfId="18412"/>
    <cellStyle name="40% - Accent4 3 2 2_Exh G" xfId="3111"/>
    <cellStyle name="40% - Accent4 3 2 3" xfId="974"/>
    <cellStyle name="40% - Accent4 3 2 3 2" xfId="1892"/>
    <cellStyle name="40% - Accent4 3 2 3 2 2" xfId="5410"/>
    <cellStyle name="40% - Accent4 3 2 3 2 2 2" xfId="9001"/>
    <cellStyle name="40% - Accent4 3 2 3 2 2 2 2" xfId="16972"/>
    <cellStyle name="40% - Accent4 3 2 3 2 2 2 3" xfId="24918"/>
    <cellStyle name="40% - Accent4 3 2 3 2 2 3" xfId="13434"/>
    <cellStyle name="40% - Accent4 3 2 3 2 2 4" xfId="21389"/>
    <cellStyle name="40% - Accent4 3 2 3 2 3" xfId="7242"/>
    <cellStyle name="40% - Accent4 3 2 3 2 3 2" xfId="15214"/>
    <cellStyle name="40% - Accent4 3 2 3 2 3 3" xfId="23161"/>
    <cellStyle name="40% - Accent4 3 2 3 2 4" xfId="11678"/>
    <cellStyle name="40% - Accent4 3 2 3 2 5" xfId="19633"/>
    <cellStyle name="40% - Accent4 3 2 3 2_Exh G" xfId="3114"/>
    <cellStyle name="40% - Accent4 3 2 3 3" xfId="4531"/>
    <cellStyle name="40% - Accent4 3 2 3 3 2" xfId="8123"/>
    <cellStyle name="40% - Accent4 3 2 3 3 2 2" xfId="16094"/>
    <cellStyle name="40% - Accent4 3 2 3 3 2 3" xfId="24040"/>
    <cellStyle name="40% - Accent4 3 2 3 3 3" xfId="12556"/>
    <cellStyle name="40% - Accent4 3 2 3 3 4" xfId="20511"/>
    <cellStyle name="40% - Accent4 3 2 3 4" xfId="6361"/>
    <cellStyle name="40% - Accent4 3 2 3 4 2" xfId="14336"/>
    <cellStyle name="40% - Accent4 3 2 3 4 3" xfId="22283"/>
    <cellStyle name="40% - Accent4 3 2 3 5" xfId="9904"/>
    <cellStyle name="40% - Accent4 3 2 3 5 2" xfId="17862"/>
    <cellStyle name="40% - Accent4 3 2 3 5 3" xfId="25806"/>
    <cellStyle name="40% - Accent4 3 2 3 6" xfId="10800"/>
    <cellStyle name="40% - Accent4 3 2 3 7" xfId="18755"/>
    <cellStyle name="40% - Accent4 3 2 3_Exh G" xfId="3113"/>
    <cellStyle name="40% - Accent4 3 2 4" xfId="1536"/>
    <cellStyle name="40% - Accent4 3 2 4 2" xfId="5066"/>
    <cellStyle name="40% - Accent4 3 2 4 2 2" xfId="8657"/>
    <cellStyle name="40% - Accent4 3 2 4 2 2 2" xfId="16628"/>
    <cellStyle name="40% - Accent4 3 2 4 2 2 3" xfId="24574"/>
    <cellStyle name="40% - Accent4 3 2 4 2 3" xfId="13090"/>
    <cellStyle name="40% - Accent4 3 2 4 2 4" xfId="21045"/>
    <cellStyle name="40% - Accent4 3 2 4 3" xfId="6898"/>
    <cellStyle name="40% - Accent4 3 2 4 3 2" xfId="14870"/>
    <cellStyle name="40% - Accent4 3 2 4 3 3" xfId="22817"/>
    <cellStyle name="40% - Accent4 3 2 4 4" xfId="11334"/>
    <cellStyle name="40% - Accent4 3 2 4 5" xfId="19289"/>
    <cellStyle name="40% - Accent4 3 2 4_Exh G" xfId="3115"/>
    <cellStyle name="40% - Accent4 3 2 5" xfId="4187"/>
    <cellStyle name="40% - Accent4 3 2 5 2" xfId="7779"/>
    <cellStyle name="40% - Accent4 3 2 5 2 2" xfId="15750"/>
    <cellStyle name="40% - Accent4 3 2 5 2 3" xfId="23696"/>
    <cellStyle name="40% - Accent4 3 2 5 3" xfId="12212"/>
    <cellStyle name="40% - Accent4 3 2 5 4" xfId="20167"/>
    <cellStyle name="40% - Accent4 3 2 6" xfId="6007"/>
    <cellStyle name="40% - Accent4 3 2 6 2" xfId="13991"/>
    <cellStyle name="40% - Accent4 3 2 6 3" xfId="21939"/>
    <cellStyle name="40% - Accent4 3 2 7" xfId="9560"/>
    <cellStyle name="40% - Accent4 3 2 7 2" xfId="17518"/>
    <cellStyle name="40% - Accent4 3 2 7 3" xfId="25462"/>
    <cellStyle name="40% - Accent4 3 2 8" xfId="10456"/>
    <cellStyle name="40% - Accent4 3 2 9" xfId="18411"/>
    <cellStyle name="40% - Accent4 3 2_Exh G" xfId="3110"/>
    <cellStyle name="40% - Accent4 3 3" xfId="510"/>
    <cellStyle name="40% - Accent4 3 3 2" xfId="1538"/>
    <cellStyle name="40% - Accent4 3 3 2 2" xfId="5068"/>
    <cellStyle name="40% - Accent4 3 3 2 2 2" xfId="8659"/>
    <cellStyle name="40% - Accent4 3 3 2 2 2 2" xfId="16630"/>
    <cellStyle name="40% - Accent4 3 3 2 2 2 3" xfId="24576"/>
    <cellStyle name="40% - Accent4 3 3 2 2 3" xfId="13092"/>
    <cellStyle name="40% - Accent4 3 3 2 2 4" xfId="21047"/>
    <cellStyle name="40% - Accent4 3 3 2 3" xfId="6900"/>
    <cellStyle name="40% - Accent4 3 3 2 3 2" xfId="14872"/>
    <cellStyle name="40% - Accent4 3 3 2 3 3" xfId="22819"/>
    <cellStyle name="40% - Accent4 3 3 2 4" xfId="11336"/>
    <cellStyle name="40% - Accent4 3 3 2 5" xfId="19291"/>
    <cellStyle name="40% - Accent4 3 3 2_Exh G" xfId="3117"/>
    <cellStyle name="40% - Accent4 3 3 3" xfId="4189"/>
    <cellStyle name="40% - Accent4 3 3 3 2" xfId="7781"/>
    <cellStyle name="40% - Accent4 3 3 3 2 2" xfId="15752"/>
    <cellStyle name="40% - Accent4 3 3 3 2 3" xfId="23698"/>
    <cellStyle name="40% - Accent4 3 3 3 3" xfId="12214"/>
    <cellStyle name="40% - Accent4 3 3 3 4" xfId="20169"/>
    <cellStyle name="40% - Accent4 3 3 4" xfId="6009"/>
    <cellStyle name="40% - Accent4 3 3 4 2" xfId="13993"/>
    <cellStyle name="40% - Accent4 3 3 4 3" xfId="21941"/>
    <cellStyle name="40% - Accent4 3 3 5" xfId="9562"/>
    <cellStyle name="40% - Accent4 3 3 5 2" xfId="17520"/>
    <cellStyle name="40% - Accent4 3 3 5 3" xfId="25464"/>
    <cellStyle name="40% - Accent4 3 3 6" xfId="10458"/>
    <cellStyle name="40% - Accent4 3 3 7" xfId="18413"/>
    <cellStyle name="40% - Accent4 3 3_Exh G" xfId="3116"/>
    <cellStyle name="40% - Accent4 3 4" xfId="973"/>
    <cellStyle name="40% - Accent4 3 4 2" xfId="1891"/>
    <cellStyle name="40% - Accent4 3 4 2 2" xfId="5409"/>
    <cellStyle name="40% - Accent4 3 4 2 2 2" xfId="9000"/>
    <cellStyle name="40% - Accent4 3 4 2 2 2 2" xfId="16971"/>
    <cellStyle name="40% - Accent4 3 4 2 2 2 3" xfId="24917"/>
    <cellStyle name="40% - Accent4 3 4 2 2 3" xfId="13433"/>
    <cellStyle name="40% - Accent4 3 4 2 2 4" xfId="21388"/>
    <cellStyle name="40% - Accent4 3 4 2 3" xfId="7241"/>
    <cellStyle name="40% - Accent4 3 4 2 3 2" xfId="15213"/>
    <cellStyle name="40% - Accent4 3 4 2 3 3" xfId="23160"/>
    <cellStyle name="40% - Accent4 3 4 2 4" xfId="11677"/>
    <cellStyle name="40% - Accent4 3 4 2 5" xfId="19632"/>
    <cellStyle name="40% - Accent4 3 4 2_Exh G" xfId="3119"/>
    <cellStyle name="40% - Accent4 3 4 3" xfId="4530"/>
    <cellStyle name="40% - Accent4 3 4 3 2" xfId="8122"/>
    <cellStyle name="40% - Accent4 3 4 3 2 2" xfId="16093"/>
    <cellStyle name="40% - Accent4 3 4 3 2 3" xfId="24039"/>
    <cellStyle name="40% - Accent4 3 4 3 3" xfId="12555"/>
    <cellStyle name="40% - Accent4 3 4 3 4" xfId="20510"/>
    <cellStyle name="40% - Accent4 3 4 4" xfId="6360"/>
    <cellStyle name="40% - Accent4 3 4 4 2" xfId="14335"/>
    <cellStyle name="40% - Accent4 3 4 4 3" xfId="22282"/>
    <cellStyle name="40% - Accent4 3 4 5" xfId="9903"/>
    <cellStyle name="40% - Accent4 3 4 5 2" xfId="17861"/>
    <cellStyle name="40% - Accent4 3 4 5 3" xfId="25805"/>
    <cellStyle name="40% - Accent4 3 4 6" xfId="10799"/>
    <cellStyle name="40% - Accent4 3 4 7" xfId="18754"/>
    <cellStyle name="40% - Accent4 3 4_Exh G" xfId="3118"/>
    <cellStyle name="40% - Accent4 3 5" xfId="1535"/>
    <cellStyle name="40% - Accent4 3 5 2" xfId="5065"/>
    <cellStyle name="40% - Accent4 3 5 2 2" xfId="8656"/>
    <cellStyle name="40% - Accent4 3 5 2 2 2" xfId="16627"/>
    <cellStyle name="40% - Accent4 3 5 2 2 3" xfId="24573"/>
    <cellStyle name="40% - Accent4 3 5 2 3" xfId="13089"/>
    <cellStyle name="40% - Accent4 3 5 2 4" xfId="21044"/>
    <cellStyle name="40% - Accent4 3 5 3" xfId="6897"/>
    <cellStyle name="40% - Accent4 3 5 3 2" xfId="14869"/>
    <cellStyle name="40% - Accent4 3 5 3 3" xfId="22816"/>
    <cellStyle name="40% - Accent4 3 5 4" xfId="11333"/>
    <cellStyle name="40% - Accent4 3 5 5" xfId="19288"/>
    <cellStyle name="40% - Accent4 3 5_Exh G" xfId="3120"/>
    <cellStyle name="40% - Accent4 3 6" xfId="4186"/>
    <cellStyle name="40% - Accent4 3 6 2" xfId="7778"/>
    <cellStyle name="40% - Accent4 3 6 2 2" xfId="15749"/>
    <cellStyle name="40% - Accent4 3 6 2 3" xfId="23695"/>
    <cellStyle name="40% - Accent4 3 6 3" xfId="12211"/>
    <cellStyle name="40% - Accent4 3 6 4" xfId="20166"/>
    <cellStyle name="40% - Accent4 3 7" xfId="6006"/>
    <cellStyle name="40% - Accent4 3 7 2" xfId="13990"/>
    <cellStyle name="40% - Accent4 3 7 3" xfId="21938"/>
    <cellStyle name="40% - Accent4 3 8" xfId="9559"/>
    <cellStyle name="40% - Accent4 3 8 2" xfId="17517"/>
    <cellStyle name="40% - Accent4 3 8 3" xfId="25461"/>
    <cellStyle name="40% - Accent4 3 9" xfId="10455"/>
    <cellStyle name="40% - Accent4 3_Exh G" xfId="3109"/>
    <cellStyle name="40% - Accent4 4" xfId="511"/>
    <cellStyle name="40% - Accent4 4 10" xfId="18414"/>
    <cellStyle name="40% - Accent4 4 2" xfId="512"/>
    <cellStyle name="40% - Accent4 4 2 2" xfId="513"/>
    <cellStyle name="40% - Accent4 4 2 2 2" xfId="1541"/>
    <cellStyle name="40% - Accent4 4 2 2 2 2" xfId="5071"/>
    <cellStyle name="40% - Accent4 4 2 2 2 2 2" xfId="8662"/>
    <cellStyle name="40% - Accent4 4 2 2 2 2 2 2" xfId="16633"/>
    <cellStyle name="40% - Accent4 4 2 2 2 2 2 3" xfId="24579"/>
    <cellStyle name="40% - Accent4 4 2 2 2 2 3" xfId="13095"/>
    <cellStyle name="40% - Accent4 4 2 2 2 2 4" xfId="21050"/>
    <cellStyle name="40% - Accent4 4 2 2 2 3" xfId="6903"/>
    <cellStyle name="40% - Accent4 4 2 2 2 3 2" xfId="14875"/>
    <cellStyle name="40% - Accent4 4 2 2 2 3 3" xfId="22822"/>
    <cellStyle name="40% - Accent4 4 2 2 2 4" xfId="11339"/>
    <cellStyle name="40% - Accent4 4 2 2 2 5" xfId="19294"/>
    <cellStyle name="40% - Accent4 4 2 2 2_Exh G" xfId="3124"/>
    <cellStyle name="40% - Accent4 4 2 2 3" xfId="4192"/>
    <cellStyle name="40% - Accent4 4 2 2 3 2" xfId="7784"/>
    <cellStyle name="40% - Accent4 4 2 2 3 2 2" xfId="15755"/>
    <cellStyle name="40% - Accent4 4 2 2 3 2 3" xfId="23701"/>
    <cellStyle name="40% - Accent4 4 2 2 3 3" xfId="12217"/>
    <cellStyle name="40% - Accent4 4 2 2 3 4" xfId="20172"/>
    <cellStyle name="40% - Accent4 4 2 2 4" xfId="6012"/>
    <cellStyle name="40% - Accent4 4 2 2 4 2" xfId="13996"/>
    <cellStyle name="40% - Accent4 4 2 2 4 3" xfId="21944"/>
    <cellStyle name="40% - Accent4 4 2 2 5" xfId="9565"/>
    <cellStyle name="40% - Accent4 4 2 2 5 2" xfId="17523"/>
    <cellStyle name="40% - Accent4 4 2 2 5 3" xfId="25467"/>
    <cellStyle name="40% - Accent4 4 2 2 6" xfId="10461"/>
    <cellStyle name="40% - Accent4 4 2 2 7" xfId="18416"/>
    <cellStyle name="40% - Accent4 4 2 2_Exh G" xfId="3123"/>
    <cellStyle name="40% - Accent4 4 2 3" xfId="976"/>
    <cellStyle name="40% - Accent4 4 2 3 2" xfId="1894"/>
    <cellStyle name="40% - Accent4 4 2 3 2 2" xfId="5412"/>
    <cellStyle name="40% - Accent4 4 2 3 2 2 2" xfId="9003"/>
    <cellStyle name="40% - Accent4 4 2 3 2 2 2 2" xfId="16974"/>
    <cellStyle name="40% - Accent4 4 2 3 2 2 2 3" xfId="24920"/>
    <cellStyle name="40% - Accent4 4 2 3 2 2 3" xfId="13436"/>
    <cellStyle name="40% - Accent4 4 2 3 2 2 4" xfId="21391"/>
    <cellStyle name="40% - Accent4 4 2 3 2 3" xfId="7244"/>
    <cellStyle name="40% - Accent4 4 2 3 2 3 2" xfId="15216"/>
    <cellStyle name="40% - Accent4 4 2 3 2 3 3" xfId="23163"/>
    <cellStyle name="40% - Accent4 4 2 3 2 4" xfId="11680"/>
    <cellStyle name="40% - Accent4 4 2 3 2 5" xfId="19635"/>
    <cellStyle name="40% - Accent4 4 2 3 2_Exh G" xfId="3126"/>
    <cellStyle name="40% - Accent4 4 2 3 3" xfId="4533"/>
    <cellStyle name="40% - Accent4 4 2 3 3 2" xfId="8125"/>
    <cellStyle name="40% - Accent4 4 2 3 3 2 2" xfId="16096"/>
    <cellStyle name="40% - Accent4 4 2 3 3 2 3" xfId="24042"/>
    <cellStyle name="40% - Accent4 4 2 3 3 3" xfId="12558"/>
    <cellStyle name="40% - Accent4 4 2 3 3 4" xfId="20513"/>
    <cellStyle name="40% - Accent4 4 2 3 4" xfId="6363"/>
    <cellStyle name="40% - Accent4 4 2 3 4 2" xfId="14338"/>
    <cellStyle name="40% - Accent4 4 2 3 4 3" xfId="22285"/>
    <cellStyle name="40% - Accent4 4 2 3 5" xfId="9906"/>
    <cellStyle name="40% - Accent4 4 2 3 5 2" xfId="17864"/>
    <cellStyle name="40% - Accent4 4 2 3 5 3" xfId="25808"/>
    <cellStyle name="40% - Accent4 4 2 3 6" xfId="10802"/>
    <cellStyle name="40% - Accent4 4 2 3 7" xfId="18757"/>
    <cellStyle name="40% - Accent4 4 2 3_Exh G" xfId="3125"/>
    <cellStyle name="40% - Accent4 4 2 4" xfId="1540"/>
    <cellStyle name="40% - Accent4 4 2 4 2" xfId="5070"/>
    <cellStyle name="40% - Accent4 4 2 4 2 2" xfId="8661"/>
    <cellStyle name="40% - Accent4 4 2 4 2 2 2" xfId="16632"/>
    <cellStyle name="40% - Accent4 4 2 4 2 2 3" xfId="24578"/>
    <cellStyle name="40% - Accent4 4 2 4 2 3" xfId="13094"/>
    <cellStyle name="40% - Accent4 4 2 4 2 4" xfId="21049"/>
    <cellStyle name="40% - Accent4 4 2 4 3" xfId="6902"/>
    <cellStyle name="40% - Accent4 4 2 4 3 2" xfId="14874"/>
    <cellStyle name="40% - Accent4 4 2 4 3 3" xfId="22821"/>
    <cellStyle name="40% - Accent4 4 2 4 4" xfId="11338"/>
    <cellStyle name="40% - Accent4 4 2 4 5" xfId="19293"/>
    <cellStyle name="40% - Accent4 4 2 4_Exh G" xfId="3127"/>
    <cellStyle name="40% - Accent4 4 2 5" xfId="4191"/>
    <cellStyle name="40% - Accent4 4 2 5 2" xfId="7783"/>
    <cellStyle name="40% - Accent4 4 2 5 2 2" xfId="15754"/>
    <cellStyle name="40% - Accent4 4 2 5 2 3" xfId="23700"/>
    <cellStyle name="40% - Accent4 4 2 5 3" xfId="12216"/>
    <cellStyle name="40% - Accent4 4 2 5 4" xfId="20171"/>
    <cellStyle name="40% - Accent4 4 2 6" xfId="6011"/>
    <cellStyle name="40% - Accent4 4 2 6 2" xfId="13995"/>
    <cellStyle name="40% - Accent4 4 2 6 3" xfId="21943"/>
    <cellStyle name="40% - Accent4 4 2 7" xfId="9564"/>
    <cellStyle name="40% - Accent4 4 2 7 2" xfId="17522"/>
    <cellStyle name="40% - Accent4 4 2 7 3" xfId="25466"/>
    <cellStyle name="40% - Accent4 4 2 8" xfId="10460"/>
    <cellStyle name="40% - Accent4 4 2 9" xfId="18415"/>
    <cellStyle name="40% - Accent4 4 2_Exh G" xfId="3122"/>
    <cellStyle name="40% - Accent4 4 3" xfId="514"/>
    <cellStyle name="40% - Accent4 4 3 2" xfId="1542"/>
    <cellStyle name="40% - Accent4 4 3 2 2" xfId="5072"/>
    <cellStyle name="40% - Accent4 4 3 2 2 2" xfId="8663"/>
    <cellStyle name="40% - Accent4 4 3 2 2 2 2" xfId="16634"/>
    <cellStyle name="40% - Accent4 4 3 2 2 2 3" xfId="24580"/>
    <cellStyle name="40% - Accent4 4 3 2 2 3" xfId="13096"/>
    <cellStyle name="40% - Accent4 4 3 2 2 4" xfId="21051"/>
    <cellStyle name="40% - Accent4 4 3 2 3" xfId="6904"/>
    <cellStyle name="40% - Accent4 4 3 2 3 2" xfId="14876"/>
    <cellStyle name="40% - Accent4 4 3 2 3 3" xfId="22823"/>
    <cellStyle name="40% - Accent4 4 3 2 4" xfId="11340"/>
    <cellStyle name="40% - Accent4 4 3 2 5" xfId="19295"/>
    <cellStyle name="40% - Accent4 4 3 2_Exh G" xfId="3129"/>
    <cellStyle name="40% - Accent4 4 3 3" xfId="4193"/>
    <cellStyle name="40% - Accent4 4 3 3 2" xfId="7785"/>
    <cellStyle name="40% - Accent4 4 3 3 2 2" xfId="15756"/>
    <cellStyle name="40% - Accent4 4 3 3 2 3" xfId="23702"/>
    <cellStyle name="40% - Accent4 4 3 3 3" xfId="12218"/>
    <cellStyle name="40% - Accent4 4 3 3 4" xfId="20173"/>
    <cellStyle name="40% - Accent4 4 3 4" xfId="6013"/>
    <cellStyle name="40% - Accent4 4 3 4 2" xfId="13997"/>
    <cellStyle name="40% - Accent4 4 3 4 3" xfId="21945"/>
    <cellStyle name="40% - Accent4 4 3 5" xfId="9566"/>
    <cellStyle name="40% - Accent4 4 3 5 2" xfId="17524"/>
    <cellStyle name="40% - Accent4 4 3 5 3" xfId="25468"/>
    <cellStyle name="40% - Accent4 4 3 6" xfId="10462"/>
    <cellStyle name="40% - Accent4 4 3 7" xfId="18417"/>
    <cellStyle name="40% - Accent4 4 3_Exh G" xfId="3128"/>
    <cellStyle name="40% - Accent4 4 4" xfId="975"/>
    <cellStyle name="40% - Accent4 4 4 2" xfId="1893"/>
    <cellStyle name="40% - Accent4 4 4 2 2" xfId="5411"/>
    <cellStyle name="40% - Accent4 4 4 2 2 2" xfId="9002"/>
    <cellStyle name="40% - Accent4 4 4 2 2 2 2" xfId="16973"/>
    <cellStyle name="40% - Accent4 4 4 2 2 2 3" xfId="24919"/>
    <cellStyle name="40% - Accent4 4 4 2 2 3" xfId="13435"/>
    <cellStyle name="40% - Accent4 4 4 2 2 4" xfId="21390"/>
    <cellStyle name="40% - Accent4 4 4 2 3" xfId="7243"/>
    <cellStyle name="40% - Accent4 4 4 2 3 2" xfId="15215"/>
    <cellStyle name="40% - Accent4 4 4 2 3 3" xfId="23162"/>
    <cellStyle name="40% - Accent4 4 4 2 4" xfId="11679"/>
    <cellStyle name="40% - Accent4 4 4 2 5" xfId="19634"/>
    <cellStyle name="40% - Accent4 4 4 2_Exh G" xfId="3131"/>
    <cellStyle name="40% - Accent4 4 4 3" xfId="4532"/>
    <cellStyle name="40% - Accent4 4 4 3 2" xfId="8124"/>
    <cellStyle name="40% - Accent4 4 4 3 2 2" xfId="16095"/>
    <cellStyle name="40% - Accent4 4 4 3 2 3" xfId="24041"/>
    <cellStyle name="40% - Accent4 4 4 3 3" xfId="12557"/>
    <cellStyle name="40% - Accent4 4 4 3 4" xfId="20512"/>
    <cellStyle name="40% - Accent4 4 4 4" xfId="6362"/>
    <cellStyle name="40% - Accent4 4 4 4 2" xfId="14337"/>
    <cellStyle name="40% - Accent4 4 4 4 3" xfId="22284"/>
    <cellStyle name="40% - Accent4 4 4 5" xfId="9905"/>
    <cellStyle name="40% - Accent4 4 4 5 2" xfId="17863"/>
    <cellStyle name="40% - Accent4 4 4 5 3" xfId="25807"/>
    <cellStyle name="40% - Accent4 4 4 6" xfId="10801"/>
    <cellStyle name="40% - Accent4 4 4 7" xfId="18756"/>
    <cellStyle name="40% - Accent4 4 4_Exh G" xfId="3130"/>
    <cellStyle name="40% - Accent4 4 5" xfId="1539"/>
    <cellStyle name="40% - Accent4 4 5 2" xfId="5069"/>
    <cellStyle name="40% - Accent4 4 5 2 2" xfId="8660"/>
    <cellStyle name="40% - Accent4 4 5 2 2 2" xfId="16631"/>
    <cellStyle name="40% - Accent4 4 5 2 2 3" xfId="24577"/>
    <cellStyle name="40% - Accent4 4 5 2 3" xfId="13093"/>
    <cellStyle name="40% - Accent4 4 5 2 4" xfId="21048"/>
    <cellStyle name="40% - Accent4 4 5 3" xfId="6901"/>
    <cellStyle name="40% - Accent4 4 5 3 2" xfId="14873"/>
    <cellStyle name="40% - Accent4 4 5 3 3" xfId="22820"/>
    <cellStyle name="40% - Accent4 4 5 4" xfId="11337"/>
    <cellStyle name="40% - Accent4 4 5 5" xfId="19292"/>
    <cellStyle name="40% - Accent4 4 5_Exh G" xfId="3132"/>
    <cellStyle name="40% - Accent4 4 6" xfId="4190"/>
    <cellStyle name="40% - Accent4 4 6 2" xfId="7782"/>
    <cellStyle name="40% - Accent4 4 6 2 2" xfId="15753"/>
    <cellStyle name="40% - Accent4 4 6 2 3" xfId="23699"/>
    <cellStyle name="40% - Accent4 4 6 3" xfId="12215"/>
    <cellStyle name="40% - Accent4 4 6 4" xfId="20170"/>
    <cellStyle name="40% - Accent4 4 7" xfId="6010"/>
    <cellStyle name="40% - Accent4 4 7 2" xfId="13994"/>
    <cellStyle name="40% - Accent4 4 7 3" xfId="21942"/>
    <cellStyle name="40% - Accent4 4 8" xfId="9563"/>
    <cellStyle name="40% - Accent4 4 8 2" xfId="17521"/>
    <cellStyle name="40% - Accent4 4 8 3" xfId="25465"/>
    <cellStyle name="40% - Accent4 4 9" xfId="10459"/>
    <cellStyle name="40% - Accent4 4_Exh G" xfId="3121"/>
    <cellStyle name="40% - Accent4 5" xfId="515"/>
    <cellStyle name="40% - Accent4 5 10" xfId="18418"/>
    <cellStyle name="40% - Accent4 5 2" xfId="516"/>
    <cellStyle name="40% - Accent4 5 2 2" xfId="517"/>
    <cellStyle name="40% - Accent4 5 2 2 2" xfId="1545"/>
    <cellStyle name="40% - Accent4 5 2 2 2 2" xfId="5075"/>
    <cellStyle name="40% - Accent4 5 2 2 2 2 2" xfId="8666"/>
    <cellStyle name="40% - Accent4 5 2 2 2 2 2 2" xfId="16637"/>
    <cellStyle name="40% - Accent4 5 2 2 2 2 2 3" xfId="24583"/>
    <cellStyle name="40% - Accent4 5 2 2 2 2 3" xfId="13099"/>
    <cellStyle name="40% - Accent4 5 2 2 2 2 4" xfId="21054"/>
    <cellStyle name="40% - Accent4 5 2 2 2 3" xfId="6907"/>
    <cellStyle name="40% - Accent4 5 2 2 2 3 2" xfId="14879"/>
    <cellStyle name="40% - Accent4 5 2 2 2 3 3" xfId="22826"/>
    <cellStyle name="40% - Accent4 5 2 2 2 4" xfId="11343"/>
    <cellStyle name="40% - Accent4 5 2 2 2 5" xfId="19298"/>
    <cellStyle name="40% - Accent4 5 2 2 2_Exh G" xfId="3136"/>
    <cellStyle name="40% - Accent4 5 2 2 3" xfId="4196"/>
    <cellStyle name="40% - Accent4 5 2 2 3 2" xfId="7788"/>
    <cellStyle name="40% - Accent4 5 2 2 3 2 2" xfId="15759"/>
    <cellStyle name="40% - Accent4 5 2 2 3 2 3" xfId="23705"/>
    <cellStyle name="40% - Accent4 5 2 2 3 3" xfId="12221"/>
    <cellStyle name="40% - Accent4 5 2 2 3 4" xfId="20176"/>
    <cellStyle name="40% - Accent4 5 2 2 4" xfId="6016"/>
    <cellStyle name="40% - Accent4 5 2 2 4 2" xfId="14000"/>
    <cellStyle name="40% - Accent4 5 2 2 4 3" xfId="21948"/>
    <cellStyle name="40% - Accent4 5 2 2 5" xfId="9569"/>
    <cellStyle name="40% - Accent4 5 2 2 5 2" xfId="17527"/>
    <cellStyle name="40% - Accent4 5 2 2 5 3" xfId="25471"/>
    <cellStyle name="40% - Accent4 5 2 2 6" xfId="10465"/>
    <cellStyle name="40% - Accent4 5 2 2 7" xfId="18420"/>
    <cellStyle name="40% - Accent4 5 2 2_Exh G" xfId="3135"/>
    <cellStyle name="40% - Accent4 5 2 3" xfId="1544"/>
    <cellStyle name="40% - Accent4 5 2 3 2" xfId="5074"/>
    <cellStyle name="40% - Accent4 5 2 3 2 2" xfId="8665"/>
    <cellStyle name="40% - Accent4 5 2 3 2 2 2" xfId="16636"/>
    <cellStyle name="40% - Accent4 5 2 3 2 2 3" xfId="24582"/>
    <cellStyle name="40% - Accent4 5 2 3 2 3" xfId="13098"/>
    <cellStyle name="40% - Accent4 5 2 3 2 4" xfId="21053"/>
    <cellStyle name="40% - Accent4 5 2 3 3" xfId="6906"/>
    <cellStyle name="40% - Accent4 5 2 3 3 2" xfId="14878"/>
    <cellStyle name="40% - Accent4 5 2 3 3 3" xfId="22825"/>
    <cellStyle name="40% - Accent4 5 2 3 4" xfId="11342"/>
    <cellStyle name="40% - Accent4 5 2 3 5" xfId="19297"/>
    <cellStyle name="40% - Accent4 5 2 3_Exh G" xfId="3137"/>
    <cellStyle name="40% - Accent4 5 2 4" xfId="4195"/>
    <cellStyle name="40% - Accent4 5 2 4 2" xfId="7787"/>
    <cellStyle name="40% - Accent4 5 2 4 2 2" xfId="15758"/>
    <cellStyle name="40% - Accent4 5 2 4 2 3" xfId="23704"/>
    <cellStyle name="40% - Accent4 5 2 4 3" xfId="12220"/>
    <cellStyle name="40% - Accent4 5 2 4 4" xfId="20175"/>
    <cellStyle name="40% - Accent4 5 2 5" xfId="6015"/>
    <cellStyle name="40% - Accent4 5 2 5 2" xfId="13999"/>
    <cellStyle name="40% - Accent4 5 2 5 3" xfId="21947"/>
    <cellStyle name="40% - Accent4 5 2 6" xfId="9568"/>
    <cellStyle name="40% - Accent4 5 2 6 2" xfId="17526"/>
    <cellStyle name="40% - Accent4 5 2 6 3" xfId="25470"/>
    <cellStyle name="40% - Accent4 5 2 7" xfId="10464"/>
    <cellStyle name="40% - Accent4 5 2 8" xfId="18419"/>
    <cellStyle name="40% - Accent4 5 2_Exh G" xfId="3134"/>
    <cellStyle name="40% - Accent4 5 3" xfId="518"/>
    <cellStyle name="40% - Accent4 5 3 2" xfId="1546"/>
    <cellStyle name="40% - Accent4 5 3 2 2" xfId="5076"/>
    <cellStyle name="40% - Accent4 5 3 2 2 2" xfId="8667"/>
    <cellStyle name="40% - Accent4 5 3 2 2 2 2" xfId="16638"/>
    <cellStyle name="40% - Accent4 5 3 2 2 2 3" xfId="24584"/>
    <cellStyle name="40% - Accent4 5 3 2 2 3" xfId="13100"/>
    <cellStyle name="40% - Accent4 5 3 2 2 4" xfId="21055"/>
    <cellStyle name="40% - Accent4 5 3 2 3" xfId="6908"/>
    <cellStyle name="40% - Accent4 5 3 2 3 2" xfId="14880"/>
    <cellStyle name="40% - Accent4 5 3 2 3 3" xfId="22827"/>
    <cellStyle name="40% - Accent4 5 3 2 4" xfId="11344"/>
    <cellStyle name="40% - Accent4 5 3 2 5" xfId="19299"/>
    <cellStyle name="40% - Accent4 5 3 2_Exh G" xfId="3139"/>
    <cellStyle name="40% - Accent4 5 3 3" xfId="4197"/>
    <cellStyle name="40% - Accent4 5 3 3 2" xfId="7789"/>
    <cellStyle name="40% - Accent4 5 3 3 2 2" xfId="15760"/>
    <cellStyle name="40% - Accent4 5 3 3 2 3" xfId="23706"/>
    <cellStyle name="40% - Accent4 5 3 3 3" xfId="12222"/>
    <cellStyle name="40% - Accent4 5 3 3 4" xfId="20177"/>
    <cellStyle name="40% - Accent4 5 3 4" xfId="6017"/>
    <cellStyle name="40% - Accent4 5 3 4 2" xfId="14001"/>
    <cellStyle name="40% - Accent4 5 3 4 3" xfId="21949"/>
    <cellStyle name="40% - Accent4 5 3 5" xfId="9570"/>
    <cellStyle name="40% - Accent4 5 3 5 2" xfId="17528"/>
    <cellStyle name="40% - Accent4 5 3 5 3" xfId="25472"/>
    <cellStyle name="40% - Accent4 5 3 6" xfId="10466"/>
    <cellStyle name="40% - Accent4 5 3 7" xfId="18421"/>
    <cellStyle name="40% - Accent4 5 3_Exh G" xfId="3138"/>
    <cellStyle name="40% - Accent4 5 4" xfId="977"/>
    <cellStyle name="40% - Accent4 5 5" xfId="1543"/>
    <cellStyle name="40% - Accent4 5 5 2" xfId="5073"/>
    <cellStyle name="40% - Accent4 5 5 2 2" xfId="8664"/>
    <cellStyle name="40% - Accent4 5 5 2 2 2" xfId="16635"/>
    <cellStyle name="40% - Accent4 5 5 2 2 3" xfId="24581"/>
    <cellStyle name="40% - Accent4 5 5 2 3" xfId="13097"/>
    <cellStyle name="40% - Accent4 5 5 2 4" xfId="21052"/>
    <cellStyle name="40% - Accent4 5 5 3" xfId="6905"/>
    <cellStyle name="40% - Accent4 5 5 3 2" xfId="14877"/>
    <cellStyle name="40% - Accent4 5 5 3 3" xfId="22824"/>
    <cellStyle name="40% - Accent4 5 5 4" xfId="11341"/>
    <cellStyle name="40% - Accent4 5 5 5" xfId="19296"/>
    <cellStyle name="40% - Accent4 5 5_Exh G" xfId="3140"/>
    <cellStyle name="40% - Accent4 5 6" xfId="4194"/>
    <cellStyle name="40% - Accent4 5 6 2" xfId="7786"/>
    <cellStyle name="40% - Accent4 5 6 2 2" xfId="15757"/>
    <cellStyle name="40% - Accent4 5 6 2 3" xfId="23703"/>
    <cellStyle name="40% - Accent4 5 6 3" xfId="12219"/>
    <cellStyle name="40% - Accent4 5 6 4" xfId="20174"/>
    <cellStyle name="40% - Accent4 5 7" xfId="6014"/>
    <cellStyle name="40% - Accent4 5 7 2" xfId="13998"/>
    <cellStyle name="40% - Accent4 5 7 3" xfId="21946"/>
    <cellStyle name="40% - Accent4 5 8" xfId="9567"/>
    <cellStyle name="40% - Accent4 5 8 2" xfId="17525"/>
    <cellStyle name="40% - Accent4 5 8 3" xfId="25469"/>
    <cellStyle name="40% - Accent4 5 9" xfId="10463"/>
    <cellStyle name="40% - Accent4 5_Exh G" xfId="3133"/>
    <cellStyle name="40% - Accent4 6" xfId="519"/>
    <cellStyle name="40% - Accent4 6 10" xfId="18422"/>
    <cellStyle name="40% - Accent4 6 2" xfId="520"/>
    <cellStyle name="40% - Accent4 6 2 2" xfId="521"/>
    <cellStyle name="40% - Accent4 6 2 2 2" xfId="1549"/>
    <cellStyle name="40% - Accent4 6 2 2 2 2" xfId="5079"/>
    <cellStyle name="40% - Accent4 6 2 2 2 2 2" xfId="8670"/>
    <cellStyle name="40% - Accent4 6 2 2 2 2 2 2" xfId="16641"/>
    <cellStyle name="40% - Accent4 6 2 2 2 2 2 3" xfId="24587"/>
    <cellStyle name="40% - Accent4 6 2 2 2 2 3" xfId="13103"/>
    <cellStyle name="40% - Accent4 6 2 2 2 2 4" xfId="21058"/>
    <cellStyle name="40% - Accent4 6 2 2 2 3" xfId="6911"/>
    <cellStyle name="40% - Accent4 6 2 2 2 3 2" xfId="14883"/>
    <cellStyle name="40% - Accent4 6 2 2 2 3 3" xfId="22830"/>
    <cellStyle name="40% - Accent4 6 2 2 2 4" xfId="11347"/>
    <cellStyle name="40% - Accent4 6 2 2 2 5" xfId="19302"/>
    <cellStyle name="40% - Accent4 6 2 2 2_Exh G" xfId="3144"/>
    <cellStyle name="40% - Accent4 6 2 2 3" xfId="4200"/>
    <cellStyle name="40% - Accent4 6 2 2 3 2" xfId="7792"/>
    <cellStyle name="40% - Accent4 6 2 2 3 2 2" xfId="15763"/>
    <cellStyle name="40% - Accent4 6 2 2 3 2 3" xfId="23709"/>
    <cellStyle name="40% - Accent4 6 2 2 3 3" xfId="12225"/>
    <cellStyle name="40% - Accent4 6 2 2 3 4" xfId="20180"/>
    <cellStyle name="40% - Accent4 6 2 2 4" xfId="6020"/>
    <cellStyle name="40% - Accent4 6 2 2 4 2" xfId="14004"/>
    <cellStyle name="40% - Accent4 6 2 2 4 3" xfId="21952"/>
    <cellStyle name="40% - Accent4 6 2 2 5" xfId="9573"/>
    <cellStyle name="40% - Accent4 6 2 2 5 2" xfId="17531"/>
    <cellStyle name="40% - Accent4 6 2 2 5 3" xfId="25475"/>
    <cellStyle name="40% - Accent4 6 2 2 6" xfId="10469"/>
    <cellStyle name="40% - Accent4 6 2 2 7" xfId="18424"/>
    <cellStyle name="40% - Accent4 6 2 2_Exh G" xfId="3143"/>
    <cellStyle name="40% - Accent4 6 2 3" xfId="1548"/>
    <cellStyle name="40% - Accent4 6 2 3 2" xfId="5078"/>
    <cellStyle name="40% - Accent4 6 2 3 2 2" xfId="8669"/>
    <cellStyle name="40% - Accent4 6 2 3 2 2 2" xfId="16640"/>
    <cellStyle name="40% - Accent4 6 2 3 2 2 3" xfId="24586"/>
    <cellStyle name="40% - Accent4 6 2 3 2 3" xfId="13102"/>
    <cellStyle name="40% - Accent4 6 2 3 2 4" xfId="21057"/>
    <cellStyle name="40% - Accent4 6 2 3 3" xfId="6910"/>
    <cellStyle name="40% - Accent4 6 2 3 3 2" xfId="14882"/>
    <cellStyle name="40% - Accent4 6 2 3 3 3" xfId="22829"/>
    <cellStyle name="40% - Accent4 6 2 3 4" xfId="11346"/>
    <cellStyle name="40% - Accent4 6 2 3 5" xfId="19301"/>
    <cellStyle name="40% - Accent4 6 2 3_Exh G" xfId="3145"/>
    <cellStyle name="40% - Accent4 6 2 4" xfId="4199"/>
    <cellStyle name="40% - Accent4 6 2 4 2" xfId="7791"/>
    <cellStyle name="40% - Accent4 6 2 4 2 2" xfId="15762"/>
    <cellStyle name="40% - Accent4 6 2 4 2 3" xfId="23708"/>
    <cellStyle name="40% - Accent4 6 2 4 3" xfId="12224"/>
    <cellStyle name="40% - Accent4 6 2 4 4" xfId="20179"/>
    <cellStyle name="40% - Accent4 6 2 5" xfId="6019"/>
    <cellStyle name="40% - Accent4 6 2 5 2" xfId="14003"/>
    <cellStyle name="40% - Accent4 6 2 5 3" xfId="21951"/>
    <cellStyle name="40% - Accent4 6 2 6" xfId="9572"/>
    <cellStyle name="40% - Accent4 6 2 6 2" xfId="17530"/>
    <cellStyle name="40% - Accent4 6 2 6 3" xfId="25474"/>
    <cellStyle name="40% - Accent4 6 2 7" xfId="10468"/>
    <cellStyle name="40% - Accent4 6 2 8" xfId="18423"/>
    <cellStyle name="40% - Accent4 6 2_Exh G" xfId="3142"/>
    <cellStyle name="40% - Accent4 6 3" xfId="522"/>
    <cellStyle name="40% - Accent4 6 3 2" xfId="1550"/>
    <cellStyle name="40% - Accent4 6 3 2 2" xfId="5080"/>
    <cellStyle name="40% - Accent4 6 3 2 2 2" xfId="8671"/>
    <cellStyle name="40% - Accent4 6 3 2 2 2 2" xfId="16642"/>
    <cellStyle name="40% - Accent4 6 3 2 2 2 3" xfId="24588"/>
    <cellStyle name="40% - Accent4 6 3 2 2 3" xfId="13104"/>
    <cellStyle name="40% - Accent4 6 3 2 2 4" xfId="21059"/>
    <cellStyle name="40% - Accent4 6 3 2 3" xfId="6912"/>
    <cellStyle name="40% - Accent4 6 3 2 3 2" xfId="14884"/>
    <cellStyle name="40% - Accent4 6 3 2 3 3" xfId="22831"/>
    <cellStyle name="40% - Accent4 6 3 2 4" xfId="11348"/>
    <cellStyle name="40% - Accent4 6 3 2 5" xfId="19303"/>
    <cellStyle name="40% - Accent4 6 3 2_Exh G" xfId="3147"/>
    <cellStyle name="40% - Accent4 6 3 3" xfId="4201"/>
    <cellStyle name="40% - Accent4 6 3 3 2" xfId="7793"/>
    <cellStyle name="40% - Accent4 6 3 3 2 2" xfId="15764"/>
    <cellStyle name="40% - Accent4 6 3 3 2 3" xfId="23710"/>
    <cellStyle name="40% - Accent4 6 3 3 3" xfId="12226"/>
    <cellStyle name="40% - Accent4 6 3 3 4" xfId="20181"/>
    <cellStyle name="40% - Accent4 6 3 4" xfId="6021"/>
    <cellStyle name="40% - Accent4 6 3 4 2" xfId="14005"/>
    <cellStyle name="40% - Accent4 6 3 4 3" xfId="21953"/>
    <cellStyle name="40% - Accent4 6 3 5" xfId="9574"/>
    <cellStyle name="40% - Accent4 6 3 5 2" xfId="17532"/>
    <cellStyle name="40% - Accent4 6 3 5 3" xfId="25476"/>
    <cellStyle name="40% - Accent4 6 3 6" xfId="10470"/>
    <cellStyle name="40% - Accent4 6 3 7" xfId="18425"/>
    <cellStyle name="40% - Accent4 6 3_Exh G" xfId="3146"/>
    <cellStyle name="40% - Accent4 6 4" xfId="978"/>
    <cellStyle name="40% - Accent4 6 4 2" xfId="1895"/>
    <cellStyle name="40% - Accent4 6 4 2 2" xfId="5413"/>
    <cellStyle name="40% - Accent4 6 4 2 2 2" xfId="9004"/>
    <cellStyle name="40% - Accent4 6 4 2 2 2 2" xfId="16975"/>
    <cellStyle name="40% - Accent4 6 4 2 2 2 3" xfId="24921"/>
    <cellStyle name="40% - Accent4 6 4 2 2 3" xfId="13437"/>
    <cellStyle name="40% - Accent4 6 4 2 2 4" xfId="21392"/>
    <cellStyle name="40% - Accent4 6 4 2 3" xfId="7245"/>
    <cellStyle name="40% - Accent4 6 4 2 3 2" xfId="15217"/>
    <cellStyle name="40% - Accent4 6 4 2 3 3" xfId="23164"/>
    <cellStyle name="40% - Accent4 6 4 2 4" xfId="11681"/>
    <cellStyle name="40% - Accent4 6 4 2 5" xfId="19636"/>
    <cellStyle name="40% - Accent4 6 4 2_Exh G" xfId="3149"/>
    <cellStyle name="40% - Accent4 6 4 3" xfId="4534"/>
    <cellStyle name="40% - Accent4 6 4 3 2" xfId="8126"/>
    <cellStyle name="40% - Accent4 6 4 3 2 2" xfId="16097"/>
    <cellStyle name="40% - Accent4 6 4 3 2 3" xfId="24043"/>
    <cellStyle name="40% - Accent4 6 4 3 3" xfId="12559"/>
    <cellStyle name="40% - Accent4 6 4 3 4" xfId="20514"/>
    <cellStyle name="40% - Accent4 6 4 4" xfId="6364"/>
    <cellStyle name="40% - Accent4 6 4 4 2" xfId="14339"/>
    <cellStyle name="40% - Accent4 6 4 4 3" xfId="22286"/>
    <cellStyle name="40% - Accent4 6 4 5" xfId="9907"/>
    <cellStyle name="40% - Accent4 6 4 5 2" xfId="17865"/>
    <cellStyle name="40% - Accent4 6 4 5 3" xfId="25809"/>
    <cellStyle name="40% - Accent4 6 4 6" xfId="10803"/>
    <cellStyle name="40% - Accent4 6 4 7" xfId="18758"/>
    <cellStyle name="40% - Accent4 6 4_Exh G" xfId="3148"/>
    <cellStyle name="40% - Accent4 6 5" xfId="1547"/>
    <cellStyle name="40% - Accent4 6 5 2" xfId="5077"/>
    <cellStyle name="40% - Accent4 6 5 2 2" xfId="8668"/>
    <cellStyle name="40% - Accent4 6 5 2 2 2" xfId="16639"/>
    <cellStyle name="40% - Accent4 6 5 2 2 3" xfId="24585"/>
    <cellStyle name="40% - Accent4 6 5 2 3" xfId="13101"/>
    <cellStyle name="40% - Accent4 6 5 2 4" xfId="21056"/>
    <cellStyle name="40% - Accent4 6 5 3" xfId="6909"/>
    <cellStyle name="40% - Accent4 6 5 3 2" xfId="14881"/>
    <cellStyle name="40% - Accent4 6 5 3 3" xfId="22828"/>
    <cellStyle name="40% - Accent4 6 5 4" xfId="11345"/>
    <cellStyle name="40% - Accent4 6 5 5" xfId="19300"/>
    <cellStyle name="40% - Accent4 6 5_Exh G" xfId="3150"/>
    <cellStyle name="40% - Accent4 6 6" xfId="4198"/>
    <cellStyle name="40% - Accent4 6 6 2" xfId="7790"/>
    <cellStyle name="40% - Accent4 6 6 2 2" xfId="15761"/>
    <cellStyle name="40% - Accent4 6 6 2 3" xfId="23707"/>
    <cellStyle name="40% - Accent4 6 6 3" xfId="12223"/>
    <cellStyle name="40% - Accent4 6 6 4" xfId="20178"/>
    <cellStyle name="40% - Accent4 6 7" xfId="6018"/>
    <cellStyle name="40% - Accent4 6 7 2" xfId="14002"/>
    <cellStyle name="40% - Accent4 6 7 3" xfId="21950"/>
    <cellStyle name="40% - Accent4 6 8" xfId="9571"/>
    <cellStyle name="40% - Accent4 6 8 2" xfId="17529"/>
    <cellStyle name="40% - Accent4 6 8 3" xfId="25473"/>
    <cellStyle name="40% - Accent4 6 9" xfId="10467"/>
    <cellStyle name="40% - Accent4 6_Exh G" xfId="3141"/>
    <cellStyle name="40% - Accent4 7" xfId="523"/>
    <cellStyle name="40% - Accent4 7 10" xfId="18426"/>
    <cellStyle name="40% - Accent4 7 2" xfId="524"/>
    <cellStyle name="40% - Accent4 7 2 2" xfId="525"/>
    <cellStyle name="40% - Accent4 7 2 2 2" xfId="1553"/>
    <cellStyle name="40% - Accent4 7 2 2 2 2" xfId="5083"/>
    <cellStyle name="40% - Accent4 7 2 2 2 2 2" xfId="8674"/>
    <cellStyle name="40% - Accent4 7 2 2 2 2 2 2" xfId="16645"/>
    <cellStyle name="40% - Accent4 7 2 2 2 2 2 3" xfId="24591"/>
    <cellStyle name="40% - Accent4 7 2 2 2 2 3" xfId="13107"/>
    <cellStyle name="40% - Accent4 7 2 2 2 2 4" xfId="21062"/>
    <cellStyle name="40% - Accent4 7 2 2 2 3" xfId="6915"/>
    <cellStyle name="40% - Accent4 7 2 2 2 3 2" xfId="14887"/>
    <cellStyle name="40% - Accent4 7 2 2 2 3 3" xfId="22834"/>
    <cellStyle name="40% - Accent4 7 2 2 2 4" xfId="11351"/>
    <cellStyle name="40% - Accent4 7 2 2 2 5" xfId="19306"/>
    <cellStyle name="40% - Accent4 7 2 2 2_Exh G" xfId="3154"/>
    <cellStyle name="40% - Accent4 7 2 2 3" xfId="4204"/>
    <cellStyle name="40% - Accent4 7 2 2 3 2" xfId="7796"/>
    <cellStyle name="40% - Accent4 7 2 2 3 2 2" xfId="15767"/>
    <cellStyle name="40% - Accent4 7 2 2 3 2 3" xfId="23713"/>
    <cellStyle name="40% - Accent4 7 2 2 3 3" xfId="12229"/>
    <cellStyle name="40% - Accent4 7 2 2 3 4" xfId="20184"/>
    <cellStyle name="40% - Accent4 7 2 2 4" xfId="6024"/>
    <cellStyle name="40% - Accent4 7 2 2 4 2" xfId="14008"/>
    <cellStyle name="40% - Accent4 7 2 2 4 3" xfId="21956"/>
    <cellStyle name="40% - Accent4 7 2 2 5" xfId="9577"/>
    <cellStyle name="40% - Accent4 7 2 2 5 2" xfId="17535"/>
    <cellStyle name="40% - Accent4 7 2 2 5 3" xfId="25479"/>
    <cellStyle name="40% - Accent4 7 2 2 6" xfId="10473"/>
    <cellStyle name="40% - Accent4 7 2 2 7" xfId="18428"/>
    <cellStyle name="40% - Accent4 7 2 2_Exh G" xfId="3153"/>
    <cellStyle name="40% - Accent4 7 2 3" xfId="1552"/>
    <cellStyle name="40% - Accent4 7 2 3 2" xfId="5082"/>
    <cellStyle name="40% - Accent4 7 2 3 2 2" xfId="8673"/>
    <cellStyle name="40% - Accent4 7 2 3 2 2 2" xfId="16644"/>
    <cellStyle name="40% - Accent4 7 2 3 2 2 3" xfId="24590"/>
    <cellStyle name="40% - Accent4 7 2 3 2 3" xfId="13106"/>
    <cellStyle name="40% - Accent4 7 2 3 2 4" xfId="21061"/>
    <cellStyle name="40% - Accent4 7 2 3 3" xfId="6914"/>
    <cellStyle name="40% - Accent4 7 2 3 3 2" xfId="14886"/>
    <cellStyle name="40% - Accent4 7 2 3 3 3" xfId="22833"/>
    <cellStyle name="40% - Accent4 7 2 3 4" xfId="11350"/>
    <cellStyle name="40% - Accent4 7 2 3 5" xfId="19305"/>
    <cellStyle name="40% - Accent4 7 2 3_Exh G" xfId="3155"/>
    <cellStyle name="40% - Accent4 7 2 4" xfId="4203"/>
    <cellStyle name="40% - Accent4 7 2 4 2" xfId="7795"/>
    <cellStyle name="40% - Accent4 7 2 4 2 2" xfId="15766"/>
    <cellStyle name="40% - Accent4 7 2 4 2 3" xfId="23712"/>
    <cellStyle name="40% - Accent4 7 2 4 3" xfId="12228"/>
    <cellStyle name="40% - Accent4 7 2 4 4" xfId="20183"/>
    <cellStyle name="40% - Accent4 7 2 5" xfId="6023"/>
    <cellStyle name="40% - Accent4 7 2 5 2" xfId="14007"/>
    <cellStyle name="40% - Accent4 7 2 5 3" xfId="21955"/>
    <cellStyle name="40% - Accent4 7 2 6" xfId="9576"/>
    <cellStyle name="40% - Accent4 7 2 6 2" xfId="17534"/>
    <cellStyle name="40% - Accent4 7 2 6 3" xfId="25478"/>
    <cellStyle name="40% - Accent4 7 2 7" xfId="10472"/>
    <cellStyle name="40% - Accent4 7 2 8" xfId="18427"/>
    <cellStyle name="40% - Accent4 7 2_Exh G" xfId="3152"/>
    <cellStyle name="40% - Accent4 7 3" xfId="526"/>
    <cellStyle name="40% - Accent4 7 3 2" xfId="1554"/>
    <cellStyle name="40% - Accent4 7 3 2 2" xfId="5084"/>
    <cellStyle name="40% - Accent4 7 3 2 2 2" xfId="8675"/>
    <cellStyle name="40% - Accent4 7 3 2 2 2 2" xfId="16646"/>
    <cellStyle name="40% - Accent4 7 3 2 2 2 3" xfId="24592"/>
    <cellStyle name="40% - Accent4 7 3 2 2 3" xfId="13108"/>
    <cellStyle name="40% - Accent4 7 3 2 2 4" xfId="21063"/>
    <cellStyle name="40% - Accent4 7 3 2 3" xfId="6916"/>
    <cellStyle name="40% - Accent4 7 3 2 3 2" xfId="14888"/>
    <cellStyle name="40% - Accent4 7 3 2 3 3" xfId="22835"/>
    <cellStyle name="40% - Accent4 7 3 2 4" xfId="11352"/>
    <cellStyle name="40% - Accent4 7 3 2 5" xfId="19307"/>
    <cellStyle name="40% - Accent4 7 3 2_Exh G" xfId="3157"/>
    <cellStyle name="40% - Accent4 7 3 3" xfId="4205"/>
    <cellStyle name="40% - Accent4 7 3 3 2" xfId="7797"/>
    <cellStyle name="40% - Accent4 7 3 3 2 2" xfId="15768"/>
    <cellStyle name="40% - Accent4 7 3 3 2 3" xfId="23714"/>
    <cellStyle name="40% - Accent4 7 3 3 3" xfId="12230"/>
    <cellStyle name="40% - Accent4 7 3 3 4" xfId="20185"/>
    <cellStyle name="40% - Accent4 7 3 4" xfId="6025"/>
    <cellStyle name="40% - Accent4 7 3 4 2" xfId="14009"/>
    <cellStyle name="40% - Accent4 7 3 4 3" xfId="21957"/>
    <cellStyle name="40% - Accent4 7 3 5" xfId="9578"/>
    <cellStyle name="40% - Accent4 7 3 5 2" xfId="17536"/>
    <cellStyle name="40% - Accent4 7 3 5 3" xfId="25480"/>
    <cellStyle name="40% - Accent4 7 3 6" xfId="10474"/>
    <cellStyle name="40% - Accent4 7 3 7" xfId="18429"/>
    <cellStyle name="40% - Accent4 7 3_Exh G" xfId="3156"/>
    <cellStyle name="40% - Accent4 7 4" xfId="979"/>
    <cellStyle name="40% - Accent4 7 4 2" xfId="1896"/>
    <cellStyle name="40% - Accent4 7 4 2 2" xfId="5414"/>
    <cellStyle name="40% - Accent4 7 4 2 2 2" xfId="9005"/>
    <cellStyle name="40% - Accent4 7 4 2 2 2 2" xfId="16976"/>
    <cellStyle name="40% - Accent4 7 4 2 2 2 3" xfId="24922"/>
    <cellStyle name="40% - Accent4 7 4 2 2 3" xfId="13438"/>
    <cellStyle name="40% - Accent4 7 4 2 2 4" xfId="21393"/>
    <cellStyle name="40% - Accent4 7 4 2 3" xfId="7246"/>
    <cellStyle name="40% - Accent4 7 4 2 3 2" xfId="15218"/>
    <cellStyle name="40% - Accent4 7 4 2 3 3" xfId="23165"/>
    <cellStyle name="40% - Accent4 7 4 2 4" xfId="11682"/>
    <cellStyle name="40% - Accent4 7 4 2 5" xfId="19637"/>
    <cellStyle name="40% - Accent4 7 4 2_Exh G" xfId="3159"/>
    <cellStyle name="40% - Accent4 7 4 3" xfId="4535"/>
    <cellStyle name="40% - Accent4 7 4 3 2" xfId="8127"/>
    <cellStyle name="40% - Accent4 7 4 3 2 2" xfId="16098"/>
    <cellStyle name="40% - Accent4 7 4 3 2 3" xfId="24044"/>
    <cellStyle name="40% - Accent4 7 4 3 3" xfId="12560"/>
    <cellStyle name="40% - Accent4 7 4 3 4" xfId="20515"/>
    <cellStyle name="40% - Accent4 7 4 4" xfId="6365"/>
    <cellStyle name="40% - Accent4 7 4 4 2" xfId="14340"/>
    <cellStyle name="40% - Accent4 7 4 4 3" xfId="22287"/>
    <cellStyle name="40% - Accent4 7 4 5" xfId="9908"/>
    <cellStyle name="40% - Accent4 7 4 5 2" xfId="17866"/>
    <cellStyle name="40% - Accent4 7 4 5 3" xfId="25810"/>
    <cellStyle name="40% - Accent4 7 4 6" xfId="10804"/>
    <cellStyle name="40% - Accent4 7 4 7" xfId="18759"/>
    <cellStyle name="40% - Accent4 7 4_Exh G" xfId="3158"/>
    <cellStyle name="40% - Accent4 7 5" xfId="1551"/>
    <cellStyle name="40% - Accent4 7 5 2" xfId="5081"/>
    <cellStyle name="40% - Accent4 7 5 2 2" xfId="8672"/>
    <cellStyle name="40% - Accent4 7 5 2 2 2" xfId="16643"/>
    <cellStyle name="40% - Accent4 7 5 2 2 3" xfId="24589"/>
    <cellStyle name="40% - Accent4 7 5 2 3" xfId="13105"/>
    <cellStyle name="40% - Accent4 7 5 2 4" xfId="21060"/>
    <cellStyle name="40% - Accent4 7 5 3" xfId="6913"/>
    <cellStyle name="40% - Accent4 7 5 3 2" xfId="14885"/>
    <cellStyle name="40% - Accent4 7 5 3 3" xfId="22832"/>
    <cellStyle name="40% - Accent4 7 5 4" xfId="11349"/>
    <cellStyle name="40% - Accent4 7 5 5" xfId="19304"/>
    <cellStyle name="40% - Accent4 7 5_Exh G" xfId="3160"/>
    <cellStyle name="40% - Accent4 7 6" xfId="4202"/>
    <cellStyle name="40% - Accent4 7 6 2" xfId="7794"/>
    <cellStyle name="40% - Accent4 7 6 2 2" xfId="15765"/>
    <cellStyle name="40% - Accent4 7 6 2 3" xfId="23711"/>
    <cellStyle name="40% - Accent4 7 6 3" xfId="12227"/>
    <cellStyle name="40% - Accent4 7 6 4" xfId="20182"/>
    <cellStyle name="40% - Accent4 7 7" xfId="6022"/>
    <cellStyle name="40% - Accent4 7 7 2" xfId="14006"/>
    <cellStyle name="40% - Accent4 7 7 3" xfId="21954"/>
    <cellStyle name="40% - Accent4 7 8" xfId="9575"/>
    <cellStyle name="40% - Accent4 7 8 2" xfId="17533"/>
    <cellStyle name="40% - Accent4 7 8 3" xfId="25477"/>
    <cellStyle name="40% - Accent4 7 9" xfId="10471"/>
    <cellStyle name="40% - Accent4 7_Exh G" xfId="3151"/>
    <cellStyle name="40% - Accent4 8" xfId="527"/>
    <cellStyle name="40% - Accent4 8 10" xfId="18430"/>
    <cellStyle name="40% - Accent4 8 2" xfId="528"/>
    <cellStyle name="40% - Accent4 8 2 2" xfId="529"/>
    <cellStyle name="40% - Accent4 8 2 2 2" xfId="1557"/>
    <cellStyle name="40% - Accent4 8 2 2 2 2" xfId="5087"/>
    <cellStyle name="40% - Accent4 8 2 2 2 2 2" xfId="8678"/>
    <cellStyle name="40% - Accent4 8 2 2 2 2 2 2" xfId="16649"/>
    <cellStyle name="40% - Accent4 8 2 2 2 2 2 3" xfId="24595"/>
    <cellStyle name="40% - Accent4 8 2 2 2 2 3" xfId="13111"/>
    <cellStyle name="40% - Accent4 8 2 2 2 2 4" xfId="21066"/>
    <cellStyle name="40% - Accent4 8 2 2 2 3" xfId="6919"/>
    <cellStyle name="40% - Accent4 8 2 2 2 3 2" xfId="14891"/>
    <cellStyle name="40% - Accent4 8 2 2 2 3 3" xfId="22838"/>
    <cellStyle name="40% - Accent4 8 2 2 2 4" xfId="11355"/>
    <cellStyle name="40% - Accent4 8 2 2 2 5" xfId="19310"/>
    <cellStyle name="40% - Accent4 8 2 2 2_Exh G" xfId="3164"/>
    <cellStyle name="40% - Accent4 8 2 2 3" xfId="4208"/>
    <cellStyle name="40% - Accent4 8 2 2 3 2" xfId="7800"/>
    <cellStyle name="40% - Accent4 8 2 2 3 2 2" xfId="15771"/>
    <cellStyle name="40% - Accent4 8 2 2 3 2 3" xfId="23717"/>
    <cellStyle name="40% - Accent4 8 2 2 3 3" xfId="12233"/>
    <cellStyle name="40% - Accent4 8 2 2 3 4" xfId="20188"/>
    <cellStyle name="40% - Accent4 8 2 2 4" xfId="6028"/>
    <cellStyle name="40% - Accent4 8 2 2 4 2" xfId="14012"/>
    <cellStyle name="40% - Accent4 8 2 2 4 3" xfId="21960"/>
    <cellStyle name="40% - Accent4 8 2 2 5" xfId="9581"/>
    <cellStyle name="40% - Accent4 8 2 2 5 2" xfId="17539"/>
    <cellStyle name="40% - Accent4 8 2 2 5 3" xfId="25483"/>
    <cellStyle name="40% - Accent4 8 2 2 6" xfId="10477"/>
    <cellStyle name="40% - Accent4 8 2 2 7" xfId="18432"/>
    <cellStyle name="40% - Accent4 8 2 2_Exh G" xfId="3163"/>
    <cellStyle name="40% - Accent4 8 2 3" xfId="1556"/>
    <cellStyle name="40% - Accent4 8 2 3 2" xfId="5086"/>
    <cellStyle name="40% - Accent4 8 2 3 2 2" xfId="8677"/>
    <cellStyle name="40% - Accent4 8 2 3 2 2 2" xfId="16648"/>
    <cellStyle name="40% - Accent4 8 2 3 2 2 3" xfId="24594"/>
    <cellStyle name="40% - Accent4 8 2 3 2 3" xfId="13110"/>
    <cellStyle name="40% - Accent4 8 2 3 2 4" xfId="21065"/>
    <cellStyle name="40% - Accent4 8 2 3 3" xfId="6918"/>
    <cellStyle name="40% - Accent4 8 2 3 3 2" xfId="14890"/>
    <cellStyle name="40% - Accent4 8 2 3 3 3" xfId="22837"/>
    <cellStyle name="40% - Accent4 8 2 3 4" xfId="11354"/>
    <cellStyle name="40% - Accent4 8 2 3 5" xfId="19309"/>
    <cellStyle name="40% - Accent4 8 2 3_Exh G" xfId="3165"/>
    <cellStyle name="40% - Accent4 8 2 4" xfId="4207"/>
    <cellStyle name="40% - Accent4 8 2 4 2" xfId="7799"/>
    <cellStyle name="40% - Accent4 8 2 4 2 2" xfId="15770"/>
    <cellStyle name="40% - Accent4 8 2 4 2 3" xfId="23716"/>
    <cellStyle name="40% - Accent4 8 2 4 3" xfId="12232"/>
    <cellStyle name="40% - Accent4 8 2 4 4" xfId="20187"/>
    <cellStyle name="40% - Accent4 8 2 5" xfId="6027"/>
    <cellStyle name="40% - Accent4 8 2 5 2" xfId="14011"/>
    <cellStyle name="40% - Accent4 8 2 5 3" xfId="21959"/>
    <cellStyle name="40% - Accent4 8 2 6" xfId="9580"/>
    <cellStyle name="40% - Accent4 8 2 6 2" xfId="17538"/>
    <cellStyle name="40% - Accent4 8 2 6 3" xfId="25482"/>
    <cellStyle name="40% - Accent4 8 2 7" xfId="10476"/>
    <cellStyle name="40% - Accent4 8 2 8" xfId="18431"/>
    <cellStyle name="40% - Accent4 8 2_Exh G" xfId="3162"/>
    <cellStyle name="40% - Accent4 8 3" xfId="530"/>
    <cellStyle name="40% - Accent4 8 3 2" xfId="1558"/>
    <cellStyle name="40% - Accent4 8 3 2 2" xfId="5088"/>
    <cellStyle name="40% - Accent4 8 3 2 2 2" xfId="8679"/>
    <cellStyle name="40% - Accent4 8 3 2 2 2 2" xfId="16650"/>
    <cellStyle name="40% - Accent4 8 3 2 2 2 3" xfId="24596"/>
    <cellStyle name="40% - Accent4 8 3 2 2 3" xfId="13112"/>
    <cellStyle name="40% - Accent4 8 3 2 2 4" xfId="21067"/>
    <cellStyle name="40% - Accent4 8 3 2 3" xfId="6920"/>
    <cellStyle name="40% - Accent4 8 3 2 3 2" xfId="14892"/>
    <cellStyle name="40% - Accent4 8 3 2 3 3" xfId="22839"/>
    <cellStyle name="40% - Accent4 8 3 2 4" xfId="11356"/>
    <cellStyle name="40% - Accent4 8 3 2 5" xfId="19311"/>
    <cellStyle name="40% - Accent4 8 3 2_Exh G" xfId="3167"/>
    <cellStyle name="40% - Accent4 8 3 3" xfId="4209"/>
    <cellStyle name="40% - Accent4 8 3 3 2" xfId="7801"/>
    <cellStyle name="40% - Accent4 8 3 3 2 2" xfId="15772"/>
    <cellStyle name="40% - Accent4 8 3 3 2 3" xfId="23718"/>
    <cellStyle name="40% - Accent4 8 3 3 3" xfId="12234"/>
    <cellStyle name="40% - Accent4 8 3 3 4" xfId="20189"/>
    <cellStyle name="40% - Accent4 8 3 4" xfId="6029"/>
    <cellStyle name="40% - Accent4 8 3 4 2" xfId="14013"/>
    <cellStyle name="40% - Accent4 8 3 4 3" xfId="21961"/>
    <cellStyle name="40% - Accent4 8 3 5" xfId="9582"/>
    <cellStyle name="40% - Accent4 8 3 5 2" xfId="17540"/>
    <cellStyle name="40% - Accent4 8 3 5 3" xfId="25484"/>
    <cellStyle name="40% - Accent4 8 3 6" xfId="10478"/>
    <cellStyle name="40% - Accent4 8 3 7" xfId="18433"/>
    <cellStyle name="40% - Accent4 8 3_Exh G" xfId="3166"/>
    <cellStyle name="40% - Accent4 8 4" xfId="980"/>
    <cellStyle name="40% - Accent4 8 4 2" xfId="1897"/>
    <cellStyle name="40% - Accent4 8 4 2 2" xfId="5415"/>
    <cellStyle name="40% - Accent4 8 4 2 2 2" xfId="9006"/>
    <cellStyle name="40% - Accent4 8 4 2 2 2 2" xfId="16977"/>
    <cellStyle name="40% - Accent4 8 4 2 2 2 3" xfId="24923"/>
    <cellStyle name="40% - Accent4 8 4 2 2 3" xfId="13439"/>
    <cellStyle name="40% - Accent4 8 4 2 2 4" xfId="21394"/>
    <cellStyle name="40% - Accent4 8 4 2 3" xfId="7247"/>
    <cellStyle name="40% - Accent4 8 4 2 3 2" xfId="15219"/>
    <cellStyle name="40% - Accent4 8 4 2 3 3" xfId="23166"/>
    <cellStyle name="40% - Accent4 8 4 2 4" xfId="11683"/>
    <cellStyle name="40% - Accent4 8 4 2 5" xfId="19638"/>
    <cellStyle name="40% - Accent4 8 4 2_Exh G" xfId="3169"/>
    <cellStyle name="40% - Accent4 8 4 3" xfId="4536"/>
    <cellStyle name="40% - Accent4 8 4 3 2" xfId="8128"/>
    <cellStyle name="40% - Accent4 8 4 3 2 2" xfId="16099"/>
    <cellStyle name="40% - Accent4 8 4 3 2 3" xfId="24045"/>
    <cellStyle name="40% - Accent4 8 4 3 3" xfId="12561"/>
    <cellStyle name="40% - Accent4 8 4 3 4" xfId="20516"/>
    <cellStyle name="40% - Accent4 8 4 4" xfId="6366"/>
    <cellStyle name="40% - Accent4 8 4 4 2" xfId="14341"/>
    <cellStyle name="40% - Accent4 8 4 4 3" xfId="22288"/>
    <cellStyle name="40% - Accent4 8 4 5" xfId="9909"/>
    <cellStyle name="40% - Accent4 8 4 5 2" xfId="17867"/>
    <cellStyle name="40% - Accent4 8 4 5 3" xfId="25811"/>
    <cellStyle name="40% - Accent4 8 4 6" xfId="10805"/>
    <cellStyle name="40% - Accent4 8 4 7" xfId="18760"/>
    <cellStyle name="40% - Accent4 8 4_Exh G" xfId="3168"/>
    <cellStyle name="40% - Accent4 8 5" xfId="1555"/>
    <cellStyle name="40% - Accent4 8 5 2" xfId="5085"/>
    <cellStyle name="40% - Accent4 8 5 2 2" xfId="8676"/>
    <cellStyle name="40% - Accent4 8 5 2 2 2" xfId="16647"/>
    <cellStyle name="40% - Accent4 8 5 2 2 3" xfId="24593"/>
    <cellStyle name="40% - Accent4 8 5 2 3" xfId="13109"/>
    <cellStyle name="40% - Accent4 8 5 2 4" xfId="21064"/>
    <cellStyle name="40% - Accent4 8 5 3" xfId="6917"/>
    <cellStyle name="40% - Accent4 8 5 3 2" xfId="14889"/>
    <cellStyle name="40% - Accent4 8 5 3 3" xfId="22836"/>
    <cellStyle name="40% - Accent4 8 5 4" xfId="11353"/>
    <cellStyle name="40% - Accent4 8 5 5" xfId="19308"/>
    <cellStyle name="40% - Accent4 8 5_Exh G" xfId="3170"/>
    <cellStyle name="40% - Accent4 8 6" xfId="4206"/>
    <cellStyle name="40% - Accent4 8 6 2" xfId="7798"/>
    <cellStyle name="40% - Accent4 8 6 2 2" xfId="15769"/>
    <cellStyle name="40% - Accent4 8 6 2 3" xfId="23715"/>
    <cellStyle name="40% - Accent4 8 6 3" xfId="12231"/>
    <cellStyle name="40% - Accent4 8 6 4" xfId="20186"/>
    <cellStyle name="40% - Accent4 8 7" xfId="6026"/>
    <cellStyle name="40% - Accent4 8 7 2" xfId="14010"/>
    <cellStyle name="40% - Accent4 8 7 3" xfId="21958"/>
    <cellStyle name="40% - Accent4 8 8" xfId="9579"/>
    <cellStyle name="40% - Accent4 8 8 2" xfId="17537"/>
    <cellStyle name="40% - Accent4 8 8 3" xfId="25481"/>
    <cellStyle name="40% - Accent4 8 9" xfId="10475"/>
    <cellStyle name="40% - Accent4 8_Exh G" xfId="3161"/>
    <cellStyle name="40% - Accent4 9" xfId="531"/>
    <cellStyle name="40% - Accent4 9 10" xfId="18434"/>
    <cellStyle name="40% - Accent4 9 2" xfId="532"/>
    <cellStyle name="40% - Accent4 9 2 2" xfId="533"/>
    <cellStyle name="40% - Accent4 9 2 2 2" xfId="1561"/>
    <cellStyle name="40% - Accent4 9 2 2 2 2" xfId="5091"/>
    <cellStyle name="40% - Accent4 9 2 2 2 2 2" xfId="8682"/>
    <cellStyle name="40% - Accent4 9 2 2 2 2 2 2" xfId="16653"/>
    <cellStyle name="40% - Accent4 9 2 2 2 2 2 3" xfId="24599"/>
    <cellStyle name="40% - Accent4 9 2 2 2 2 3" xfId="13115"/>
    <cellStyle name="40% - Accent4 9 2 2 2 2 4" xfId="21070"/>
    <cellStyle name="40% - Accent4 9 2 2 2 3" xfId="6923"/>
    <cellStyle name="40% - Accent4 9 2 2 2 3 2" xfId="14895"/>
    <cellStyle name="40% - Accent4 9 2 2 2 3 3" xfId="22842"/>
    <cellStyle name="40% - Accent4 9 2 2 2 4" xfId="11359"/>
    <cellStyle name="40% - Accent4 9 2 2 2 5" xfId="19314"/>
    <cellStyle name="40% - Accent4 9 2 2 2_Exh G" xfId="3174"/>
    <cellStyle name="40% - Accent4 9 2 2 3" xfId="4212"/>
    <cellStyle name="40% - Accent4 9 2 2 3 2" xfId="7804"/>
    <cellStyle name="40% - Accent4 9 2 2 3 2 2" xfId="15775"/>
    <cellStyle name="40% - Accent4 9 2 2 3 2 3" xfId="23721"/>
    <cellStyle name="40% - Accent4 9 2 2 3 3" xfId="12237"/>
    <cellStyle name="40% - Accent4 9 2 2 3 4" xfId="20192"/>
    <cellStyle name="40% - Accent4 9 2 2 4" xfId="6032"/>
    <cellStyle name="40% - Accent4 9 2 2 4 2" xfId="14016"/>
    <cellStyle name="40% - Accent4 9 2 2 4 3" xfId="21964"/>
    <cellStyle name="40% - Accent4 9 2 2 5" xfId="9585"/>
    <cellStyle name="40% - Accent4 9 2 2 5 2" xfId="17543"/>
    <cellStyle name="40% - Accent4 9 2 2 5 3" xfId="25487"/>
    <cellStyle name="40% - Accent4 9 2 2 6" xfId="10481"/>
    <cellStyle name="40% - Accent4 9 2 2 7" xfId="18436"/>
    <cellStyle name="40% - Accent4 9 2 2_Exh G" xfId="3173"/>
    <cellStyle name="40% - Accent4 9 2 3" xfId="1560"/>
    <cellStyle name="40% - Accent4 9 2 3 2" xfId="5090"/>
    <cellStyle name="40% - Accent4 9 2 3 2 2" xfId="8681"/>
    <cellStyle name="40% - Accent4 9 2 3 2 2 2" xfId="16652"/>
    <cellStyle name="40% - Accent4 9 2 3 2 2 3" xfId="24598"/>
    <cellStyle name="40% - Accent4 9 2 3 2 3" xfId="13114"/>
    <cellStyle name="40% - Accent4 9 2 3 2 4" xfId="21069"/>
    <cellStyle name="40% - Accent4 9 2 3 3" xfId="6922"/>
    <cellStyle name="40% - Accent4 9 2 3 3 2" xfId="14894"/>
    <cellStyle name="40% - Accent4 9 2 3 3 3" xfId="22841"/>
    <cellStyle name="40% - Accent4 9 2 3 4" xfId="11358"/>
    <cellStyle name="40% - Accent4 9 2 3 5" xfId="19313"/>
    <cellStyle name="40% - Accent4 9 2 3_Exh G" xfId="3175"/>
    <cellStyle name="40% - Accent4 9 2 4" xfId="4211"/>
    <cellStyle name="40% - Accent4 9 2 4 2" xfId="7803"/>
    <cellStyle name="40% - Accent4 9 2 4 2 2" xfId="15774"/>
    <cellStyle name="40% - Accent4 9 2 4 2 3" xfId="23720"/>
    <cellStyle name="40% - Accent4 9 2 4 3" xfId="12236"/>
    <cellStyle name="40% - Accent4 9 2 4 4" xfId="20191"/>
    <cellStyle name="40% - Accent4 9 2 5" xfId="6031"/>
    <cellStyle name="40% - Accent4 9 2 5 2" xfId="14015"/>
    <cellStyle name="40% - Accent4 9 2 5 3" xfId="21963"/>
    <cellStyle name="40% - Accent4 9 2 6" xfId="9584"/>
    <cellStyle name="40% - Accent4 9 2 6 2" xfId="17542"/>
    <cellStyle name="40% - Accent4 9 2 6 3" xfId="25486"/>
    <cellStyle name="40% - Accent4 9 2 7" xfId="10480"/>
    <cellStyle name="40% - Accent4 9 2 8" xfId="18435"/>
    <cellStyle name="40% - Accent4 9 2_Exh G" xfId="3172"/>
    <cellStyle name="40% - Accent4 9 3" xfId="534"/>
    <cellStyle name="40% - Accent4 9 3 2" xfId="1562"/>
    <cellStyle name="40% - Accent4 9 3 2 2" xfId="5092"/>
    <cellStyle name="40% - Accent4 9 3 2 2 2" xfId="8683"/>
    <cellStyle name="40% - Accent4 9 3 2 2 2 2" xfId="16654"/>
    <cellStyle name="40% - Accent4 9 3 2 2 2 3" xfId="24600"/>
    <cellStyle name="40% - Accent4 9 3 2 2 3" xfId="13116"/>
    <cellStyle name="40% - Accent4 9 3 2 2 4" xfId="21071"/>
    <cellStyle name="40% - Accent4 9 3 2 3" xfId="6924"/>
    <cellStyle name="40% - Accent4 9 3 2 3 2" xfId="14896"/>
    <cellStyle name="40% - Accent4 9 3 2 3 3" xfId="22843"/>
    <cellStyle name="40% - Accent4 9 3 2 4" xfId="11360"/>
    <cellStyle name="40% - Accent4 9 3 2 5" xfId="19315"/>
    <cellStyle name="40% - Accent4 9 3 2_Exh G" xfId="3177"/>
    <cellStyle name="40% - Accent4 9 3 3" xfId="4213"/>
    <cellStyle name="40% - Accent4 9 3 3 2" xfId="7805"/>
    <cellStyle name="40% - Accent4 9 3 3 2 2" xfId="15776"/>
    <cellStyle name="40% - Accent4 9 3 3 2 3" xfId="23722"/>
    <cellStyle name="40% - Accent4 9 3 3 3" xfId="12238"/>
    <cellStyle name="40% - Accent4 9 3 3 4" xfId="20193"/>
    <cellStyle name="40% - Accent4 9 3 4" xfId="6033"/>
    <cellStyle name="40% - Accent4 9 3 4 2" xfId="14017"/>
    <cellStyle name="40% - Accent4 9 3 4 3" xfId="21965"/>
    <cellStyle name="40% - Accent4 9 3 5" xfId="9586"/>
    <cellStyle name="40% - Accent4 9 3 5 2" xfId="17544"/>
    <cellStyle name="40% - Accent4 9 3 5 3" xfId="25488"/>
    <cellStyle name="40% - Accent4 9 3 6" xfId="10482"/>
    <cellStyle name="40% - Accent4 9 3 7" xfId="18437"/>
    <cellStyle name="40% - Accent4 9 3_Exh G" xfId="3176"/>
    <cellStyle name="40% - Accent4 9 4" xfId="981"/>
    <cellStyle name="40% - Accent4 9 4 2" xfId="1898"/>
    <cellStyle name="40% - Accent4 9 4 2 2" xfId="5416"/>
    <cellStyle name="40% - Accent4 9 4 2 2 2" xfId="9007"/>
    <cellStyle name="40% - Accent4 9 4 2 2 2 2" xfId="16978"/>
    <cellStyle name="40% - Accent4 9 4 2 2 2 3" xfId="24924"/>
    <cellStyle name="40% - Accent4 9 4 2 2 3" xfId="13440"/>
    <cellStyle name="40% - Accent4 9 4 2 2 4" xfId="21395"/>
    <cellStyle name="40% - Accent4 9 4 2 3" xfId="7248"/>
    <cellStyle name="40% - Accent4 9 4 2 3 2" xfId="15220"/>
    <cellStyle name="40% - Accent4 9 4 2 3 3" xfId="23167"/>
    <cellStyle name="40% - Accent4 9 4 2 4" xfId="11684"/>
    <cellStyle name="40% - Accent4 9 4 2 5" xfId="19639"/>
    <cellStyle name="40% - Accent4 9 4 2_Exh G" xfId="3179"/>
    <cellStyle name="40% - Accent4 9 4 3" xfId="4537"/>
    <cellStyle name="40% - Accent4 9 4 3 2" xfId="8129"/>
    <cellStyle name="40% - Accent4 9 4 3 2 2" xfId="16100"/>
    <cellStyle name="40% - Accent4 9 4 3 2 3" xfId="24046"/>
    <cellStyle name="40% - Accent4 9 4 3 3" xfId="12562"/>
    <cellStyle name="40% - Accent4 9 4 3 4" xfId="20517"/>
    <cellStyle name="40% - Accent4 9 4 4" xfId="6367"/>
    <cellStyle name="40% - Accent4 9 4 4 2" xfId="14342"/>
    <cellStyle name="40% - Accent4 9 4 4 3" xfId="22289"/>
    <cellStyle name="40% - Accent4 9 4 5" xfId="9910"/>
    <cellStyle name="40% - Accent4 9 4 5 2" xfId="17868"/>
    <cellStyle name="40% - Accent4 9 4 5 3" xfId="25812"/>
    <cellStyle name="40% - Accent4 9 4 6" xfId="10806"/>
    <cellStyle name="40% - Accent4 9 4 7" xfId="18761"/>
    <cellStyle name="40% - Accent4 9 4_Exh G" xfId="3178"/>
    <cellStyle name="40% - Accent4 9 5" xfId="1559"/>
    <cellStyle name="40% - Accent4 9 5 2" xfId="5089"/>
    <cellStyle name="40% - Accent4 9 5 2 2" xfId="8680"/>
    <cellStyle name="40% - Accent4 9 5 2 2 2" xfId="16651"/>
    <cellStyle name="40% - Accent4 9 5 2 2 3" xfId="24597"/>
    <cellStyle name="40% - Accent4 9 5 2 3" xfId="13113"/>
    <cellStyle name="40% - Accent4 9 5 2 4" xfId="21068"/>
    <cellStyle name="40% - Accent4 9 5 3" xfId="6921"/>
    <cellStyle name="40% - Accent4 9 5 3 2" xfId="14893"/>
    <cellStyle name="40% - Accent4 9 5 3 3" xfId="22840"/>
    <cellStyle name="40% - Accent4 9 5 4" xfId="11357"/>
    <cellStyle name="40% - Accent4 9 5 5" xfId="19312"/>
    <cellStyle name="40% - Accent4 9 5_Exh G" xfId="3180"/>
    <cellStyle name="40% - Accent4 9 6" xfId="4210"/>
    <cellStyle name="40% - Accent4 9 6 2" xfId="7802"/>
    <cellStyle name="40% - Accent4 9 6 2 2" xfId="15773"/>
    <cellStyle name="40% - Accent4 9 6 2 3" xfId="23719"/>
    <cellStyle name="40% - Accent4 9 6 3" xfId="12235"/>
    <cellStyle name="40% - Accent4 9 6 4" xfId="20190"/>
    <cellStyle name="40% - Accent4 9 7" xfId="6030"/>
    <cellStyle name="40% - Accent4 9 7 2" xfId="14014"/>
    <cellStyle name="40% - Accent4 9 7 3" xfId="21962"/>
    <cellStyle name="40% - Accent4 9 8" xfId="9583"/>
    <cellStyle name="40% - Accent4 9 8 2" xfId="17541"/>
    <cellStyle name="40% - Accent4 9 8 3" xfId="25485"/>
    <cellStyle name="40% - Accent4 9 9" xfId="10479"/>
    <cellStyle name="40% - Accent4 9_Exh G" xfId="3171"/>
    <cellStyle name="40% - Accent5 10" xfId="535"/>
    <cellStyle name="40% - Accent5 10 10" xfId="18438"/>
    <cellStyle name="40% - Accent5 10 2" xfId="536"/>
    <cellStyle name="40% - Accent5 10 2 2" xfId="537"/>
    <cellStyle name="40% - Accent5 10 2 2 2" xfId="1565"/>
    <cellStyle name="40% - Accent5 10 2 2 2 2" xfId="5095"/>
    <cellStyle name="40% - Accent5 10 2 2 2 2 2" xfId="8686"/>
    <cellStyle name="40% - Accent5 10 2 2 2 2 2 2" xfId="16657"/>
    <cellStyle name="40% - Accent5 10 2 2 2 2 2 3" xfId="24603"/>
    <cellStyle name="40% - Accent5 10 2 2 2 2 3" xfId="13119"/>
    <cellStyle name="40% - Accent5 10 2 2 2 2 4" xfId="21074"/>
    <cellStyle name="40% - Accent5 10 2 2 2 3" xfId="6927"/>
    <cellStyle name="40% - Accent5 10 2 2 2 3 2" xfId="14899"/>
    <cellStyle name="40% - Accent5 10 2 2 2 3 3" xfId="22846"/>
    <cellStyle name="40% - Accent5 10 2 2 2 4" xfId="11363"/>
    <cellStyle name="40% - Accent5 10 2 2 2 5" xfId="19318"/>
    <cellStyle name="40% - Accent5 10 2 2 2_Exh G" xfId="3184"/>
    <cellStyle name="40% - Accent5 10 2 2 3" xfId="4216"/>
    <cellStyle name="40% - Accent5 10 2 2 3 2" xfId="7808"/>
    <cellStyle name="40% - Accent5 10 2 2 3 2 2" xfId="15779"/>
    <cellStyle name="40% - Accent5 10 2 2 3 2 3" xfId="23725"/>
    <cellStyle name="40% - Accent5 10 2 2 3 3" xfId="12241"/>
    <cellStyle name="40% - Accent5 10 2 2 3 4" xfId="20196"/>
    <cellStyle name="40% - Accent5 10 2 2 4" xfId="6036"/>
    <cellStyle name="40% - Accent5 10 2 2 4 2" xfId="14020"/>
    <cellStyle name="40% - Accent5 10 2 2 4 3" xfId="21968"/>
    <cellStyle name="40% - Accent5 10 2 2 5" xfId="9589"/>
    <cellStyle name="40% - Accent5 10 2 2 5 2" xfId="17547"/>
    <cellStyle name="40% - Accent5 10 2 2 5 3" xfId="25491"/>
    <cellStyle name="40% - Accent5 10 2 2 6" xfId="10485"/>
    <cellStyle name="40% - Accent5 10 2 2 7" xfId="18440"/>
    <cellStyle name="40% - Accent5 10 2 2_Exh G" xfId="3183"/>
    <cellStyle name="40% - Accent5 10 2 3" xfId="1564"/>
    <cellStyle name="40% - Accent5 10 2 3 2" xfId="5094"/>
    <cellStyle name="40% - Accent5 10 2 3 2 2" xfId="8685"/>
    <cellStyle name="40% - Accent5 10 2 3 2 2 2" xfId="16656"/>
    <cellStyle name="40% - Accent5 10 2 3 2 2 3" xfId="24602"/>
    <cellStyle name="40% - Accent5 10 2 3 2 3" xfId="13118"/>
    <cellStyle name="40% - Accent5 10 2 3 2 4" xfId="21073"/>
    <cellStyle name="40% - Accent5 10 2 3 3" xfId="6926"/>
    <cellStyle name="40% - Accent5 10 2 3 3 2" xfId="14898"/>
    <cellStyle name="40% - Accent5 10 2 3 3 3" xfId="22845"/>
    <cellStyle name="40% - Accent5 10 2 3 4" xfId="11362"/>
    <cellStyle name="40% - Accent5 10 2 3 5" xfId="19317"/>
    <cellStyle name="40% - Accent5 10 2 3_Exh G" xfId="3185"/>
    <cellStyle name="40% - Accent5 10 2 4" xfId="4215"/>
    <cellStyle name="40% - Accent5 10 2 4 2" xfId="7807"/>
    <cellStyle name="40% - Accent5 10 2 4 2 2" xfId="15778"/>
    <cellStyle name="40% - Accent5 10 2 4 2 3" xfId="23724"/>
    <cellStyle name="40% - Accent5 10 2 4 3" xfId="12240"/>
    <cellStyle name="40% - Accent5 10 2 4 4" xfId="20195"/>
    <cellStyle name="40% - Accent5 10 2 5" xfId="6035"/>
    <cellStyle name="40% - Accent5 10 2 5 2" xfId="14019"/>
    <cellStyle name="40% - Accent5 10 2 5 3" xfId="21967"/>
    <cellStyle name="40% - Accent5 10 2 6" xfId="9588"/>
    <cellStyle name="40% - Accent5 10 2 6 2" xfId="17546"/>
    <cellStyle name="40% - Accent5 10 2 6 3" xfId="25490"/>
    <cellStyle name="40% - Accent5 10 2 7" xfId="10484"/>
    <cellStyle name="40% - Accent5 10 2 8" xfId="18439"/>
    <cellStyle name="40% - Accent5 10 2_Exh G" xfId="3182"/>
    <cellStyle name="40% - Accent5 10 3" xfId="538"/>
    <cellStyle name="40% - Accent5 10 3 2" xfId="1566"/>
    <cellStyle name="40% - Accent5 10 3 2 2" xfId="5096"/>
    <cellStyle name="40% - Accent5 10 3 2 2 2" xfId="8687"/>
    <cellStyle name="40% - Accent5 10 3 2 2 2 2" xfId="16658"/>
    <cellStyle name="40% - Accent5 10 3 2 2 2 3" xfId="24604"/>
    <cellStyle name="40% - Accent5 10 3 2 2 3" xfId="13120"/>
    <cellStyle name="40% - Accent5 10 3 2 2 4" xfId="21075"/>
    <cellStyle name="40% - Accent5 10 3 2 3" xfId="6928"/>
    <cellStyle name="40% - Accent5 10 3 2 3 2" xfId="14900"/>
    <cellStyle name="40% - Accent5 10 3 2 3 3" xfId="22847"/>
    <cellStyle name="40% - Accent5 10 3 2 4" xfId="11364"/>
    <cellStyle name="40% - Accent5 10 3 2 5" xfId="19319"/>
    <cellStyle name="40% - Accent5 10 3 2_Exh G" xfId="3187"/>
    <cellStyle name="40% - Accent5 10 3 3" xfId="4217"/>
    <cellStyle name="40% - Accent5 10 3 3 2" xfId="7809"/>
    <cellStyle name="40% - Accent5 10 3 3 2 2" xfId="15780"/>
    <cellStyle name="40% - Accent5 10 3 3 2 3" xfId="23726"/>
    <cellStyle name="40% - Accent5 10 3 3 3" xfId="12242"/>
    <cellStyle name="40% - Accent5 10 3 3 4" xfId="20197"/>
    <cellStyle name="40% - Accent5 10 3 4" xfId="6037"/>
    <cellStyle name="40% - Accent5 10 3 4 2" xfId="14021"/>
    <cellStyle name="40% - Accent5 10 3 4 3" xfId="21969"/>
    <cellStyle name="40% - Accent5 10 3 5" xfId="9590"/>
    <cellStyle name="40% - Accent5 10 3 5 2" xfId="17548"/>
    <cellStyle name="40% - Accent5 10 3 5 3" xfId="25492"/>
    <cellStyle name="40% - Accent5 10 3 6" xfId="10486"/>
    <cellStyle name="40% - Accent5 10 3 7" xfId="18441"/>
    <cellStyle name="40% - Accent5 10 3_Exh G" xfId="3186"/>
    <cellStyle name="40% - Accent5 10 4" xfId="982"/>
    <cellStyle name="40% - Accent5 10 5" xfId="1563"/>
    <cellStyle name="40% - Accent5 10 5 2" xfId="5093"/>
    <cellStyle name="40% - Accent5 10 5 2 2" xfId="8684"/>
    <cellStyle name="40% - Accent5 10 5 2 2 2" xfId="16655"/>
    <cellStyle name="40% - Accent5 10 5 2 2 3" xfId="24601"/>
    <cellStyle name="40% - Accent5 10 5 2 3" xfId="13117"/>
    <cellStyle name="40% - Accent5 10 5 2 4" xfId="21072"/>
    <cellStyle name="40% - Accent5 10 5 3" xfId="6925"/>
    <cellStyle name="40% - Accent5 10 5 3 2" xfId="14897"/>
    <cellStyle name="40% - Accent5 10 5 3 3" xfId="22844"/>
    <cellStyle name="40% - Accent5 10 5 4" xfId="11361"/>
    <cellStyle name="40% - Accent5 10 5 5" xfId="19316"/>
    <cellStyle name="40% - Accent5 10 5_Exh G" xfId="3188"/>
    <cellStyle name="40% - Accent5 10 6" xfId="4214"/>
    <cellStyle name="40% - Accent5 10 6 2" xfId="7806"/>
    <cellStyle name="40% - Accent5 10 6 2 2" xfId="15777"/>
    <cellStyle name="40% - Accent5 10 6 2 3" xfId="23723"/>
    <cellStyle name="40% - Accent5 10 6 3" xfId="12239"/>
    <cellStyle name="40% - Accent5 10 6 4" xfId="20194"/>
    <cellStyle name="40% - Accent5 10 7" xfId="6034"/>
    <cellStyle name="40% - Accent5 10 7 2" xfId="14018"/>
    <cellStyle name="40% - Accent5 10 7 3" xfId="21966"/>
    <cellStyle name="40% - Accent5 10 8" xfId="9587"/>
    <cellStyle name="40% - Accent5 10 8 2" xfId="17545"/>
    <cellStyle name="40% - Accent5 10 8 3" xfId="25489"/>
    <cellStyle name="40% - Accent5 10 9" xfId="10483"/>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 2 2" xfId="8690"/>
    <cellStyle name="40% - Accent5 11 2 2 2 2 2 2" xfId="16661"/>
    <cellStyle name="40% - Accent5 11 2 2 2 2 2 3" xfId="24607"/>
    <cellStyle name="40% - Accent5 11 2 2 2 2 3" xfId="13123"/>
    <cellStyle name="40% - Accent5 11 2 2 2 2 4" xfId="21078"/>
    <cellStyle name="40% - Accent5 11 2 2 2 3" xfId="6931"/>
    <cellStyle name="40% - Accent5 11 2 2 2 3 2" xfId="14903"/>
    <cellStyle name="40% - Accent5 11 2 2 2 3 3" xfId="22850"/>
    <cellStyle name="40% - Accent5 11 2 2 2 4" xfId="11367"/>
    <cellStyle name="40% - Accent5 11 2 2 2 5" xfId="19322"/>
    <cellStyle name="40% - Accent5 11 2 2 2_Exh G" xfId="3192"/>
    <cellStyle name="40% - Accent5 11 2 2 3" xfId="4220"/>
    <cellStyle name="40% - Accent5 11 2 2 3 2" xfId="7812"/>
    <cellStyle name="40% - Accent5 11 2 2 3 2 2" xfId="15783"/>
    <cellStyle name="40% - Accent5 11 2 2 3 2 3" xfId="23729"/>
    <cellStyle name="40% - Accent5 11 2 2 3 3" xfId="12245"/>
    <cellStyle name="40% - Accent5 11 2 2 3 4" xfId="20200"/>
    <cellStyle name="40% - Accent5 11 2 2 4" xfId="6040"/>
    <cellStyle name="40% - Accent5 11 2 2 4 2" xfId="14024"/>
    <cellStyle name="40% - Accent5 11 2 2 4 3" xfId="21972"/>
    <cellStyle name="40% - Accent5 11 2 2 5" xfId="9593"/>
    <cellStyle name="40% - Accent5 11 2 2 5 2" xfId="17551"/>
    <cellStyle name="40% - Accent5 11 2 2 5 3" xfId="25495"/>
    <cellStyle name="40% - Accent5 11 2 2 6" xfId="10489"/>
    <cellStyle name="40% - Accent5 11 2 2 7" xfId="18444"/>
    <cellStyle name="40% - Accent5 11 2 2_Exh G" xfId="3191"/>
    <cellStyle name="40% - Accent5 11 2 3" xfId="1568"/>
    <cellStyle name="40% - Accent5 11 2 3 2" xfId="5098"/>
    <cellStyle name="40% - Accent5 11 2 3 2 2" xfId="8689"/>
    <cellStyle name="40% - Accent5 11 2 3 2 2 2" xfId="16660"/>
    <cellStyle name="40% - Accent5 11 2 3 2 2 3" xfId="24606"/>
    <cellStyle name="40% - Accent5 11 2 3 2 3" xfId="13122"/>
    <cellStyle name="40% - Accent5 11 2 3 2 4" xfId="21077"/>
    <cellStyle name="40% - Accent5 11 2 3 3" xfId="6930"/>
    <cellStyle name="40% - Accent5 11 2 3 3 2" xfId="14902"/>
    <cellStyle name="40% - Accent5 11 2 3 3 3" xfId="22849"/>
    <cellStyle name="40% - Accent5 11 2 3 4" xfId="11366"/>
    <cellStyle name="40% - Accent5 11 2 3 5" xfId="19321"/>
    <cellStyle name="40% - Accent5 11 2 3_Exh G" xfId="3193"/>
    <cellStyle name="40% - Accent5 11 2 4" xfId="4219"/>
    <cellStyle name="40% - Accent5 11 2 4 2" xfId="7811"/>
    <cellStyle name="40% - Accent5 11 2 4 2 2" xfId="15782"/>
    <cellStyle name="40% - Accent5 11 2 4 2 3" xfId="23728"/>
    <cellStyle name="40% - Accent5 11 2 4 3" xfId="12244"/>
    <cellStyle name="40% - Accent5 11 2 4 4" xfId="20199"/>
    <cellStyle name="40% - Accent5 11 2 5" xfId="6039"/>
    <cellStyle name="40% - Accent5 11 2 5 2" xfId="14023"/>
    <cellStyle name="40% - Accent5 11 2 5 3" xfId="21971"/>
    <cellStyle name="40% - Accent5 11 2 6" xfId="9592"/>
    <cellStyle name="40% - Accent5 11 2 6 2" xfId="17550"/>
    <cellStyle name="40% - Accent5 11 2 6 3" xfId="25494"/>
    <cellStyle name="40% - Accent5 11 2 7" xfId="10488"/>
    <cellStyle name="40% - Accent5 11 2 8" xfId="18443"/>
    <cellStyle name="40% - Accent5 11 2_Exh G" xfId="3190"/>
    <cellStyle name="40% - Accent5 11 3" xfId="542"/>
    <cellStyle name="40% - Accent5 11 3 2" xfId="1570"/>
    <cellStyle name="40% - Accent5 11 3 2 2" xfId="5100"/>
    <cellStyle name="40% - Accent5 11 3 2 2 2" xfId="8691"/>
    <cellStyle name="40% - Accent5 11 3 2 2 2 2" xfId="16662"/>
    <cellStyle name="40% - Accent5 11 3 2 2 2 3" xfId="24608"/>
    <cellStyle name="40% - Accent5 11 3 2 2 3" xfId="13124"/>
    <cellStyle name="40% - Accent5 11 3 2 2 4" xfId="21079"/>
    <cellStyle name="40% - Accent5 11 3 2 3" xfId="6932"/>
    <cellStyle name="40% - Accent5 11 3 2 3 2" xfId="14904"/>
    <cellStyle name="40% - Accent5 11 3 2 3 3" xfId="22851"/>
    <cellStyle name="40% - Accent5 11 3 2 4" xfId="11368"/>
    <cellStyle name="40% - Accent5 11 3 2 5" xfId="19323"/>
    <cellStyle name="40% - Accent5 11 3 2_Exh G" xfId="3195"/>
    <cellStyle name="40% - Accent5 11 3 3" xfId="4221"/>
    <cellStyle name="40% - Accent5 11 3 3 2" xfId="7813"/>
    <cellStyle name="40% - Accent5 11 3 3 2 2" xfId="15784"/>
    <cellStyle name="40% - Accent5 11 3 3 2 3" xfId="23730"/>
    <cellStyle name="40% - Accent5 11 3 3 3" xfId="12246"/>
    <cellStyle name="40% - Accent5 11 3 3 4" xfId="20201"/>
    <cellStyle name="40% - Accent5 11 3 4" xfId="6041"/>
    <cellStyle name="40% - Accent5 11 3 4 2" xfId="14025"/>
    <cellStyle name="40% - Accent5 11 3 4 3" xfId="21973"/>
    <cellStyle name="40% - Accent5 11 3 5" xfId="9594"/>
    <cellStyle name="40% - Accent5 11 3 5 2" xfId="17552"/>
    <cellStyle name="40% - Accent5 11 3 5 3" xfId="25496"/>
    <cellStyle name="40% - Accent5 11 3 6" xfId="10490"/>
    <cellStyle name="40% - Accent5 11 3 7" xfId="18445"/>
    <cellStyle name="40% - Accent5 11 3_Exh G" xfId="3194"/>
    <cellStyle name="40% - Accent5 11 4" xfId="1567"/>
    <cellStyle name="40% - Accent5 11 4 2" xfId="5097"/>
    <cellStyle name="40% - Accent5 11 4 2 2" xfId="8688"/>
    <cellStyle name="40% - Accent5 11 4 2 2 2" xfId="16659"/>
    <cellStyle name="40% - Accent5 11 4 2 2 3" xfId="24605"/>
    <cellStyle name="40% - Accent5 11 4 2 3" xfId="13121"/>
    <cellStyle name="40% - Accent5 11 4 2 4" xfId="21076"/>
    <cellStyle name="40% - Accent5 11 4 3" xfId="6929"/>
    <cellStyle name="40% - Accent5 11 4 3 2" xfId="14901"/>
    <cellStyle name="40% - Accent5 11 4 3 3" xfId="22848"/>
    <cellStyle name="40% - Accent5 11 4 4" xfId="11365"/>
    <cellStyle name="40% - Accent5 11 4 5" xfId="19320"/>
    <cellStyle name="40% - Accent5 11 4_Exh G" xfId="3196"/>
    <cellStyle name="40% - Accent5 11 5" xfId="4218"/>
    <cellStyle name="40% - Accent5 11 5 2" xfId="7810"/>
    <cellStyle name="40% - Accent5 11 5 2 2" xfId="15781"/>
    <cellStyle name="40% - Accent5 11 5 2 3" xfId="23727"/>
    <cellStyle name="40% - Accent5 11 5 3" xfId="12243"/>
    <cellStyle name="40% - Accent5 11 5 4" xfId="20198"/>
    <cellStyle name="40% - Accent5 11 6" xfId="6038"/>
    <cellStyle name="40% - Accent5 11 6 2" xfId="14022"/>
    <cellStyle name="40% - Accent5 11 6 3" xfId="21970"/>
    <cellStyle name="40% - Accent5 11 7" xfId="9591"/>
    <cellStyle name="40% - Accent5 11 7 2" xfId="17549"/>
    <cellStyle name="40% - Accent5 11 7 3" xfId="25493"/>
    <cellStyle name="40% - Accent5 11 8" xfId="10487"/>
    <cellStyle name="40% - Accent5 11 9" xfId="18442"/>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 2 2" xfId="8694"/>
    <cellStyle name="40% - Accent5 12 2 2 2 2 2 2" xfId="16665"/>
    <cellStyle name="40% - Accent5 12 2 2 2 2 2 3" xfId="24611"/>
    <cellStyle name="40% - Accent5 12 2 2 2 2 3" xfId="13127"/>
    <cellStyle name="40% - Accent5 12 2 2 2 2 4" xfId="21082"/>
    <cellStyle name="40% - Accent5 12 2 2 2 3" xfId="6935"/>
    <cellStyle name="40% - Accent5 12 2 2 2 3 2" xfId="14907"/>
    <cellStyle name="40% - Accent5 12 2 2 2 3 3" xfId="22854"/>
    <cellStyle name="40% - Accent5 12 2 2 2 4" xfId="11371"/>
    <cellStyle name="40% - Accent5 12 2 2 2 5" xfId="19326"/>
    <cellStyle name="40% - Accent5 12 2 2 2_Exh G" xfId="3200"/>
    <cellStyle name="40% - Accent5 12 2 2 3" xfId="4224"/>
    <cellStyle name="40% - Accent5 12 2 2 3 2" xfId="7816"/>
    <cellStyle name="40% - Accent5 12 2 2 3 2 2" xfId="15787"/>
    <cellStyle name="40% - Accent5 12 2 2 3 2 3" xfId="23733"/>
    <cellStyle name="40% - Accent5 12 2 2 3 3" xfId="12249"/>
    <cellStyle name="40% - Accent5 12 2 2 3 4" xfId="20204"/>
    <cellStyle name="40% - Accent5 12 2 2 4" xfId="6044"/>
    <cellStyle name="40% - Accent5 12 2 2 4 2" xfId="14028"/>
    <cellStyle name="40% - Accent5 12 2 2 4 3" xfId="21976"/>
    <cellStyle name="40% - Accent5 12 2 2 5" xfId="9597"/>
    <cellStyle name="40% - Accent5 12 2 2 5 2" xfId="17555"/>
    <cellStyle name="40% - Accent5 12 2 2 5 3" xfId="25499"/>
    <cellStyle name="40% - Accent5 12 2 2 6" xfId="10493"/>
    <cellStyle name="40% - Accent5 12 2 2 7" xfId="18448"/>
    <cellStyle name="40% - Accent5 12 2 2_Exh G" xfId="3199"/>
    <cellStyle name="40% - Accent5 12 2 3" xfId="1572"/>
    <cellStyle name="40% - Accent5 12 2 3 2" xfId="5102"/>
    <cellStyle name="40% - Accent5 12 2 3 2 2" xfId="8693"/>
    <cellStyle name="40% - Accent5 12 2 3 2 2 2" xfId="16664"/>
    <cellStyle name="40% - Accent5 12 2 3 2 2 3" xfId="24610"/>
    <cellStyle name="40% - Accent5 12 2 3 2 3" xfId="13126"/>
    <cellStyle name="40% - Accent5 12 2 3 2 4" xfId="21081"/>
    <cellStyle name="40% - Accent5 12 2 3 3" xfId="6934"/>
    <cellStyle name="40% - Accent5 12 2 3 3 2" xfId="14906"/>
    <cellStyle name="40% - Accent5 12 2 3 3 3" xfId="22853"/>
    <cellStyle name="40% - Accent5 12 2 3 4" xfId="11370"/>
    <cellStyle name="40% - Accent5 12 2 3 5" xfId="19325"/>
    <cellStyle name="40% - Accent5 12 2 3_Exh G" xfId="3201"/>
    <cellStyle name="40% - Accent5 12 2 4" xfId="4223"/>
    <cellStyle name="40% - Accent5 12 2 4 2" xfId="7815"/>
    <cellStyle name="40% - Accent5 12 2 4 2 2" xfId="15786"/>
    <cellStyle name="40% - Accent5 12 2 4 2 3" xfId="23732"/>
    <cellStyle name="40% - Accent5 12 2 4 3" xfId="12248"/>
    <cellStyle name="40% - Accent5 12 2 4 4" xfId="20203"/>
    <cellStyle name="40% - Accent5 12 2 5" xfId="6043"/>
    <cellStyle name="40% - Accent5 12 2 5 2" xfId="14027"/>
    <cellStyle name="40% - Accent5 12 2 5 3" xfId="21975"/>
    <cellStyle name="40% - Accent5 12 2 6" xfId="9596"/>
    <cellStyle name="40% - Accent5 12 2 6 2" xfId="17554"/>
    <cellStyle name="40% - Accent5 12 2 6 3" xfId="25498"/>
    <cellStyle name="40% - Accent5 12 2 7" xfId="10492"/>
    <cellStyle name="40% - Accent5 12 2 8" xfId="18447"/>
    <cellStyle name="40% - Accent5 12 2_Exh G" xfId="3198"/>
    <cellStyle name="40% - Accent5 12 3" xfId="546"/>
    <cellStyle name="40% - Accent5 12 3 2" xfId="1574"/>
    <cellStyle name="40% - Accent5 12 3 2 2" xfId="5104"/>
    <cellStyle name="40% - Accent5 12 3 2 2 2" xfId="8695"/>
    <cellStyle name="40% - Accent5 12 3 2 2 2 2" xfId="16666"/>
    <cellStyle name="40% - Accent5 12 3 2 2 2 3" xfId="24612"/>
    <cellStyle name="40% - Accent5 12 3 2 2 3" xfId="13128"/>
    <cellStyle name="40% - Accent5 12 3 2 2 4" xfId="21083"/>
    <cellStyle name="40% - Accent5 12 3 2 3" xfId="6936"/>
    <cellStyle name="40% - Accent5 12 3 2 3 2" xfId="14908"/>
    <cellStyle name="40% - Accent5 12 3 2 3 3" xfId="22855"/>
    <cellStyle name="40% - Accent5 12 3 2 4" xfId="11372"/>
    <cellStyle name="40% - Accent5 12 3 2 5" xfId="19327"/>
    <cellStyle name="40% - Accent5 12 3 2_Exh G" xfId="3203"/>
    <cellStyle name="40% - Accent5 12 3 3" xfId="4225"/>
    <cellStyle name="40% - Accent5 12 3 3 2" xfId="7817"/>
    <cellStyle name="40% - Accent5 12 3 3 2 2" xfId="15788"/>
    <cellStyle name="40% - Accent5 12 3 3 2 3" xfId="23734"/>
    <cellStyle name="40% - Accent5 12 3 3 3" xfId="12250"/>
    <cellStyle name="40% - Accent5 12 3 3 4" xfId="20205"/>
    <cellStyle name="40% - Accent5 12 3 4" xfId="6045"/>
    <cellStyle name="40% - Accent5 12 3 4 2" xfId="14029"/>
    <cellStyle name="40% - Accent5 12 3 4 3" xfId="21977"/>
    <cellStyle name="40% - Accent5 12 3 5" xfId="9598"/>
    <cellStyle name="40% - Accent5 12 3 5 2" xfId="17556"/>
    <cellStyle name="40% - Accent5 12 3 5 3" xfId="25500"/>
    <cellStyle name="40% - Accent5 12 3 6" xfId="10494"/>
    <cellStyle name="40% - Accent5 12 3 7" xfId="18449"/>
    <cellStyle name="40% - Accent5 12 3_Exh G" xfId="3202"/>
    <cellStyle name="40% - Accent5 12 4" xfId="1571"/>
    <cellStyle name="40% - Accent5 12 4 2" xfId="5101"/>
    <cellStyle name="40% - Accent5 12 4 2 2" xfId="8692"/>
    <cellStyle name="40% - Accent5 12 4 2 2 2" xfId="16663"/>
    <cellStyle name="40% - Accent5 12 4 2 2 3" xfId="24609"/>
    <cellStyle name="40% - Accent5 12 4 2 3" xfId="13125"/>
    <cellStyle name="40% - Accent5 12 4 2 4" xfId="21080"/>
    <cellStyle name="40% - Accent5 12 4 3" xfId="6933"/>
    <cellStyle name="40% - Accent5 12 4 3 2" xfId="14905"/>
    <cellStyle name="40% - Accent5 12 4 3 3" xfId="22852"/>
    <cellStyle name="40% - Accent5 12 4 4" xfId="11369"/>
    <cellStyle name="40% - Accent5 12 4 5" xfId="19324"/>
    <cellStyle name="40% - Accent5 12 4_Exh G" xfId="3204"/>
    <cellStyle name="40% - Accent5 12 5" xfId="4222"/>
    <cellStyle name="40% - Accent5 12 5 2" xfId="7814"/>
    <cellStyle name="40% - Accent5 12 5 2 2" xfId="15785"/>
    <cellStyle name="40% - Accent5 12 5 2 3" xfId="23731"/>
    <cellStyle name="40% - Accent5 12 5 3" xfId="12247"/>
    <cellStyle name="40% - Accent5 12 5 4" xfId="20202"/>
    <cellStyle name="40% - Accent5 12 6" xfId="6042"/>
    <cellStyle name="40% - Accent5 12 6 2" xfId="14026"/>
    <cellStyle name="40% - Accent5 12 6 3" xfId="21974"/>
    <cellStyle name="40% - Accent5 12 7" xfId="9595"/>
    <cellStyle name="40% - Accent5 12 7 2" xfId="17553"/>
    <cellStyle name="40% - Accent5 12 7 3" xfId="25497"/>
    <cellStyle name="40% - Accent5 12 8" xfId="10491"/>
    <cellStyle name="40% - Accent5 12 9" xfId="18446"/>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 2 2" xfId="8698"/>
    <cellStyle name="40% - Accent5 13 2 2 2 2 2 2" xfId="16669"/>
    <cellStyle name="40% - Accent5 13 2 2 2 2 2 3" xfId="24615"/>
    <cellStyle name="40% - Accent5 13 2 2 2 2 3" xfId="13131"/>
    <cellStyle name="40% - Accent5 13 2 2 2 2 4" xfId="21086"/>
    <cellStyle name="40% - Accent5 13 2 2 2 3" xfId="6939"/>
    <cellStyle name="40% - Accent5 13 2 2 2 3 2" xfId="14911"/>
    <cellStyle name="40% - Accent5 13 2 2 2 3 3" xfId="22858"/>
    <cellStyle name="40% - Accent5 13 2 2 2 4" xfId="11375"/>
    <cellStyle name="40% - Accent5 13 2 2 2 5" xfId="19330"/>
    <cellStyle name="40% - Accent5 13 2 2 2_Exh G" xfId="3208"/>
    <cellStyle name="40% - Accent5 13 2 2 3" xfId="4228"/>
    <cellStyle name="40% - Accent5 13 2 2 3 2" xfId="7820"/>
    <cellStyle name="40% - Accent5 13 2 2 3 2 2" xfId="15791"/>
    <cellStyle name="40% - Accent5 13 2 2 3 2 3" xfId="23737"/>
    <cellStyle name="40% - Accent5 13 2 2 3 3" xfId="12253"/>
    <cellStyle name="40% - Accent5 13 2 2 3 4" xfId="20208"/>
    <cellStyle name="40% - Accent5 13 2 2 4" xfId="6048"/>
    <cellStyle name="40% - Accent5 13 2 2 4 2" xfId="14032"/>
    <cellStyle name="40% - Accent5 13 2 2 4 3" xfId="21980"/>
    <cellStyle name="40% - Accent5 13 2 2 5" xfId="9601"/>
    <cellStyle name="40% - Accent5 13 2 2 5 2" xfId="17559"/>
    <cellStyle name="40% - Accent5 13 2 2 5 3" xfId="25503"/>
    <cellStyle name="40% - Accent5 13 2 2 6" xfId="10497"/>
    <cellStyle name="40% - Accent5 13 2 2 7" xfId="18452"/>
    <cellStyle name="40% - Accent5 13 2 2_Exh G" xfId="3207"/>
    <cellStyle name="40% - Accent5 13 2 3" xfId="1576"/>
    <cellStyle name="40% - Accent5 13 2 3 2" xfId="5106"/>
    <cellStyle name="40% - Accent5 13 2 3 2 2" xfId="8697"/>
    <cellStyle name="40% - Accent5 13 2 3 2 2 2" xfId="16668"/>
    <cellStyle name="40% - Accent5 13 2 3 2 2 3" xfId="24614"/>
    <cellStyle name="40% - Accent5 13 2 3 2 3" xfId="13130"/>
    <cellStyle name="40% - Accent5 13 2 3 2 4" xfId="21085"/>
    <cellStyle name="40% - Accent5 13 2 3 3" xfId="6938"/>
    <cellStyle name="40% - Accent5 13 2 3 3 2" xfId="14910"/>
    <cellStyle name="40% - Accent5 13 2 3 3 3" xfId="22857"/>
    <cellStyle name="40% - Accent5 13 2 3 4" xfId="11374"/>
    <cellStyle name="40% - Accent5 13 2 3 5" xfId="19329"/>
    <cellStyle name="40% - Accent5 13 2 3_Exh G" xfId="3209"/>
    <cellStyle name="40% - Accent5 13 2 4" xfId="4227"/>
    <cellStyle name="40% - Accent5 13 2 4 2" xfId="7819"/>
    <cellStyle name="40% - Accent5 13 2 4 2 2" xfId="15790"/>
    <cellStyle name="40% - Accent5 13 2 4 2 3" xfId="23736"/>
    <cellStyle name="40% - Accent5 13 2 4 3" xfId="12252"/>
    <cellStyle name="40% - Accent5 13 2 4 4" xfId="20207"/>
    <cellStyle name="40% - Accent5 13 2 5" xfId="6047"/>
    <cellStyle name="40% - Accent5 13 2 5 2" xfId="14031"/>
    <cellStyle name="40% - Accent5 13 2 5 3" xfId="21979"/>
    <cellStyle name="40% - Accent5 13 2 6" xfId="9600"/>
    <cellStyle name="40% - Accent5 13 2 6 2" xfId="17558"/>
    <cellStyle name="40% - Accent5 13 2 6 3" xfId="25502"/>
    <cellStyle name="40% - Accent5 13 2 7" xfId="10496"/>
    <cellStyle name="40% - Accent5 13 2 8" xfId="18451"/>
    <cellStyle name="40% - Accent5 13 2_Exh G" xfId="3206"/>
    <cellStyle name="40% - Accent5 13 3" xfId="550"/>
    <cellStyle name="40% - Accent5 13 3 2" xfId="1578"/>
    <cellStyle name="40% - Accent5 13 3 2 2" xfId="5108"/>
    <cellStyle name="40% - Accent5 13 3 2 2 2" xfId="8699"/>
    <cellStyle name="40% - Accent5 13 3 2 2 2 2" xfId="16670"/>
    <cellStyle name="40% - Accent5 13 3 2 2 2 3" xfId="24616"/>
    <cellStyle name="40% - Accent5 13 3 2 2 3" xfId="13132"/>
    <cellStyle name="40% - Accent5 13 3 2 2 4" xfId="21087"/>
    <cellStyle name="40% - Accent5 13 3 2 3" xfId="6940"/>
    <cellStyle name="40% - Accent5 13 3 2 3 2" xfId="14912"/>
    <cellStyle name="40% - Accent5 13 3 2 3 3" xfId="22859"/>
    <cellStyle name="40% - Accent5 13 3 2 4" xfId="11376"/>
    <cellStyle name="40% - Accent5 13 3 2 5" xfId="19331"/>
    <cellStyle name="40% - Accent5 13 3 2_Exh G" xfId="3211"/>
    <cellStyle name="40% - Accent5 13 3 3" xfId="4229"/>
    <cellStyle name="40% - Accent5 13 3 3 2" xfId="7821"/>
    <cellStyle name="40% - Accent5 13 3 3 2 2" xfId="15792"/>
    <cellStyle name="40% - Accent5 13 3 3 2 3" xfId="23738"/>
    <cellStyle name="40% - Accent5 13 3 3 3" xfId="12254"/>
    <cellStyle name="40% - Accent5 13 3 3 4" xfId="20209"/>
    <cellStyle name="40% - Accent5 13 3 4" xfId="6049"/>
    <cellStyle name="40% - Accent5 13 3 4 2" xfId="14033"/>
    <cellStyle name="40% - Accent5 13 3 4 3" xfId="21981"/>
    <cellStyle name="40% - Accent5 13 3 5" xfId="9602"/>
    <cellStyle name="40% - Accent5 13 3 5 2" xfId="17560"/>
    <cellStyle name="40% - Accent5 13 3 5 3" xfId="25504"/>
    <cellStyle name="40% - Accent5 13 3 6" xfId="10498"/>
    <cellStyle name="40% - Accent5 13 3 7" xfId="18453"/>
    <cellStyle name="40% - Accent5 13 3_Exh G" xfId="3210"/>
    <cellStyle name="40% - Accent5 13 4" xfId="1575"/>
    <cellStyle name="40% - Accent5 13 4 2" xfId="5105"/>
    <cellStyle name="40% - Accent5 13 4 2 2" xfId="8696"/>
    <cellStyle name="40% - Accent5 13 4 2 2 2" xfId="16667"/>
    <cellStyle name="40% - Accent5 13 4 2 2 3" xfId="24613"/>
    <cellStyle name="40% - Accent5 13 4 2 3" xfId="13129"/>
    <cellStyle name="40% - Accent5 13 4 2 4" xfId="21084"/>
    <cellStyle name="40% - Accent5 13 4 3" xfId="6937"/>
    <cellStyle name="40% - Accent5 13 4 3 2" xfId="14909"/>
    <cellStyle name="40% - Accent5 13 4 3 3" xfId="22856"/>
    <cellStyle name="40% - Accent5 13 4 4" xfId="11373"/>
    <cellStyle name="40% - Accent5 13 4 5" xfId="19328"/>
    <cellStyle name="40% - Accent5 13 4_Exh G" xfId="3212"/>
    <cellStyle name="40% - Accent5 13 5" xfId="4226"/>
    <cellStyle name="40% - Accent5 13 5 2" xfId="7818"/>
    <cellStyle name="40% - Accent5 13 5 2 2" xfId="15789"/>
    <cellStyle name="40% - Accent5 13 5 2 3" xfId="23735"/>
    <cellStyle name="40% - Accent5 13 5 3" xfId="12251"/>
    <cellStyle name="40% - Accent5 13 5 4" xfId="20206"/>
    <cellStyle name="40% - Accent5 13 6" xfId="6046"/>
    <cellStyle name="40% - Accent5 13 6 2" xfId="14030"/>
    <cellStyle name="40% - Accent5 13 6 3" xfId="21978"/>
    <cellStyle name="40% - Accent5 13 7" xfId="9599"/>
    <cellStyle name="40% - Accent5 13 7 2" xfId="17557"/>
    <cellStyle name="40% - Accent5 13 7 3" xfId="25501"/>
    <cellStyle name="40% - Accent5 13 8" xfId="10495"/>
    <cellStyle name="40% - Accent5 13 9" xfId="18450"/>
    <cellStyle name="40% - Accent5 13_Exh G" xfId="3205"/>
    <cellStyle name="40% - Accent5 14" xfId="551"/>
    <cellStyle name="40% - Accent5 14 2" xfId="552"/>
    <cellStyle name="40% - Accent5 14 2 2" xfId="1580"/>
    <cellStyle name="40% - Accent5 14 2 2 2" xfId="5110"/>
    <cellStyle name="40% - Accent5 14 2 2 2 2" xfId="8701"/>
    <cellStyle name="40% - Accent5 14 2 2 2 2 2" xfId="16672"/>
    <cellStyle name="40% - Accent5 14 2 2 2 2 3" xfId="24618"/>
    <cellStyle name="40% - Accent5 14 2 2 2 3" xfId="13134"/>
    <cellStyle name="40% - Accent5 14 2 2 2 4" xfId="21089"/>
    <cellStyle name="40% - Accent5 14 2 2 3" xfId="6942"/>
    <cellStyle name="40% - Accent5 14 2 2 3 2" xfId="14914"/>
    <cellStyle name="40% - Accent5 14 2 2 3 3" xfId="22861"/>
    <cellStyle name="40% - Accent5 14 2 2 4" xfId="11378"/>
    <cellStyle name="40% - Accent5 14 2 2 5" xfId="19333"/>
    <cellStyle name="40% - Accent5 14 2 2_Exh G" xfId="3215"/>
    <cellStyle name="40% - Accent5 14 2 3" xfId="4231"/>
    <cellStyle name="40% - Accent5 14 2 3 2" xfId="7823"/>
    <cellStyle name="40% - Accent5 14 2 3 2 2" xfId="15794"/>
    <cellStyle name="40% - Accent5 14 2 3 2 3" xfId="23740"/>
    <cellStyle name="40% - Accent5 14 2 3 3" xfId="12256"/>
    <cellStyle name="40% - Accent5 14 2 3 4" xfId="20211"/>
    <cellStyle name="40% - Accent5 14 2 4" xfId="6051"/>
    <cellStyle name="40% - Accent5 14 2 4 2" xfId="14035"/>
    <cellStyle name="40% - Accent5 14 2 4 3" xfId="21983"/>
    <cellStyle name="40% - Accent5 14 2 5" xfId="9604"/>
    <cellStyle name="40% - Accent5 14 2 5 2" xfId="17562"/>
    <cellStyle name="40% - Accent5 14 2 5 3" xfId="25506"/>
    <cellStyle name="40% - Accent5 14 2 6" xfId="10500"/>
    <cellStyle name="40% - Accent5 14 2 7" xfId="18455"/>
    <cellStyle name="40% - Accent5 14 2_Exh G" xfId="3214"/>
    <cellStyle name="40% - Accent5 14 3" xfId="1579"/>
    <cellStyle name="40% - Accent5 14 3 2" xfId="5109"/>
    <cellStyle name="40% - Accent5 14 3 2 2" xfId="8700"/>
    <cellStyle name="40% - Accent5 14 3 2 2 2" xfId="16671"/>
    <cellStyle name="40% - Accent5 14 3 2 2 3" xfId="24617"/>
    <cellStyle name="40% - Accent5 14 3 2 3" xfId="13133"/>
    <cellStyle name="40% - Accent5 14 3 2 4" xfId="21088"/>
    <cellStyle name="40% - Accent5 14 3 3" xfId="6941"/>
    <cellStyle name="40% - Accent5 14 3 3 2" xfId="14913"/>
    <cellStyle name="40% - Accent5 14 3 3 3" xfId="22860"/>
    <cellStyle name="40% - Accent5 14 3 4" xfId="11377"/>
    <cellStyle name="40% - Accent5 14 3 5" xfId="19332"/>
    <cellStyle name="40% - Accent5 14 3_Exh G" xfId="3216"/>
    <cellStyle name="40% - Accent5 14 4" xfId="4230"/>
    <cellStyle name="40% - Accent5 14 4 2" xfId="7822"/>
    <cellStyle name="40% - Accent5 14 4 2 2" xfId="15793"/>
    <cellStyle name="40% - Accent5 14 4 2 3" xfId="23739"/>
    <cellStyle name="40% - Accent5 14 4 3" xfId="12255"/>
    <cellStyle name="40% - Accent5 14 4 4" xfId="20210"/>
    <cellStyle name="40% - Accent5 14 5" xfId="6050"/>
    <cellStyle name="40% - Accent5 14 5 2" xfId="14034"/>
    <cellStyle name="40% - Accent5 14 5 3" xfId="21982"/>
    <cellStyle name="40% - Accent5 14 6" xfId="9603"/>
    <cellStyle name="40% - Accent5 14 6 2" xfId="17561"/>
    <cellStyle name="40% - Accent5 14 6 3" xfId="25505"/>
    <cellStyle name="40% - Accent5 14 7" xfId="10499"/>
    <cellStyle name="40% - Accent5 14 8" xfId="18454"/>
    <cellStyle name="40% - Accent5 14_Exh G" xfId="3213"/>
    <cellStyle name="40% - Accent5 15" xfId="553"/>
    <cellStyle name="40% - Accent5 15 2" xfId="1581"/>
    <cellStyle name="40% - Accent5 15 2 2" xfId="5111"/>
    <cellStyle name="40% - Accent5 15 2 2 2" xfId="8702"/>
    <cellStyle name="40% - Accent5 15 2 2 2 2" xfId="16673"/>
    <cellStyle name="40% - Accent5 15 2 2 2 3" xfId="24619"/>
    <cellStyle name="40% - Accent5 15 2 2 3" xfId="13135"/>
    <cellStyle name="40% - Accent5 15 2 2 4" xfId="21090"/>
    <cellStyle name="40% - Accent5 15 2 3" xfId="6943"/>
    <cellStyle name="40% - Accent5 15 2 3 2" xfId="14915"/>
    <cellStyle name="40% - Accent5 15 2 3 3" xfId="22862"/>
    <cellStyle name="40% - Accent5 15 2 4" xfId="11379"/>
    <cellStyle name="40% - Accent5 15 2 5" xfId="19334"/>
    <cellStyle name="40% - Accent5 15 2_Exh G" xfId="3218"/>
    <cellStyle name="40% - Accent5 15 3" xfId="4232"/>
    <cellStyle name="40% - Accent5 15 3 2" xfId="7824"/>
    <cellStyle name="40% - Accent5 15 3 2 2" xfId="15795"/>
    <cellStyle name="40% - Accent5 15 3 2 3" xfId="23741"/>
    <cellStyle name="40% - Accent5 15 3 3" xfId="12257"/>
    <cellStyle name="40% - Accent5 15 3 4" xfId="20212"/>
    <cellStyle name="40% - Accent5 15 4" xfId="6052"/>
    <cellStyle name="40% - Accent5 15 4 2" xfId="14036"/>
    <cellStyle name="40% - Accent5 15 4 3" xfId="21984"/>
    <cellStyle name="40% - Accent5 15 5" xfId="9605"/>
    <cellStyle name="40% - Accent5 15 5 2" xfId="17563"/>
    <cellStyle name="40% - Accent5 15 5 3" xfId="25507"/>
    <cellStyle name="40% - Accent5 15 6" xfId="10501"/>
    <cellStyle name="40% - Accent5 15 7" xfId="18456"/>
    <cellStyle name="40% - Accent5 15_Exh G" xfId="3217"/>
    <cellStyle name="40% - Accent5 16" xfId="853"/>
    <cellStyle name="40% - Accent5 16 2" xfId="1792"/>
    <cellStyle name="40% - Accent5 16 2 2" xfId="5313"/>
    <cellStyle name="40% - Accent5 16 2 2 2" xfId="8904"/>
    <cellStyle name="40% - Accent5 16 2 2 2 2" xfId="16875"/>
    <cellStyle name="40% - Accent5 16 2 2 2 3" xfId="24821"/>
    <cellStyle name="40% - Accent5 16 2 2 3" xfId="13337"/>
    <cellStyle name="40% - Accent5 16 2 2 4" xfId="21292"/>
    <cellStyle name="40% - Accent5 16 2 3" xfId="7145"/>
    <cellStyle name="40% - Accent5 16 2 3 2" xfId="15117"/>
    <cellStyle name="40% - Accent5 16 2 3 3" xfId="23064"/>
    <cellStyle name="40% - Accent5 16 2 4" xfId="11581"/>
    <cellStyle name="40% - Accent5 16 2 5" xfId="19536"/>
    <cellStyle name="40% - Accent5 16 2_Exh G" xfId="3220"/>
    <cellStyle name="40% - Accent5 16 3" xfId="4434"/>
    <cellStyle name="40% - Accent5 16 3 2" xfId="8026"/>
    <cellStyle name="40% - Accent5 16 3 2 2" xfId="15997"/>
    <cellStyle name="40% - Accent5 16 3 2 3" xfId="23943"/>
    <cellStyle name="40% - Accent5 16 3 3" xfId="12459"/>
    <cellStyle name="40% - Accent5 16 3 4" xfId="20414"/>
    <cellStyle name="40% - Accent5 16 4" xfId="6264"/>
    <cellStyle name="40% - Accent5 16 4 2" xfId="14239"/>
    <cellStyle name="40% - Accent5 16 4 3" xfId="22186"/>
    <cellStyle name="40% - Accent5 16 5" xfId="9807"/>
    <cellStyle name="40% - Accent5 16 5 2" xfId="17765"/>
    <cellStyle name="40% - Accent5 16 5 3" xfId="25709"/>
    <cellStyle name="40% - Accent5 16 6" xfId="10703"/>
    <cellStyle name="40% - Accent5 16 7" xfId="18658"/>
    <cellStyle name="40% - Accent5 16_Exh G" xfId="3219"/>
    <cellStyle name="40% - Accent5 2" xfId="554"/>
    <cellStyle name="40% - Accent5 2 10" xfId="18457"/>
    <cellStyle name="40% - Accent5 2 2" xfId="555"/>
    <cellStyle name="40% - Accent5 2 2 2" xfId="556"/>
    <cellStyle name="40% - Accent5 2 2 2 2" xfId="1584"/>
    <cellStyle name="40% - Accent5 2 2 2 2 2" xfId="5114"/>
    <cellStyle name="40% - Accent5 2 2 2 2 2 2" xfId="8705"/>
    <cellStyle name="40% - Accent5 2 2 2 2 2 2 2" xfId="16676"/>
    <cellStyle name="40% - Accent5 2 2 2 2 2 2 3" xfId="24622"/>
    <cellStyle name="40% - Accent5 2 2 2 2 2 3" xfId="13138"/>
    <cellStyle name="40% - Accent5 2 2 2 2 2 4" xfId="21093"/>
    <cellStyle name="40% - Accent5 2 2 2 2 3" xfId="6946"/>
    <cellStyle name="40% - Accent5 2 2 2 2 3 2" xfId="14918"/>
    <cellStyle name="40% - Accent5 2 2 2 2 3 3" xfId="22865"/>
    <cellStyle name="40% - Accent5 2 2 2 2 4" xfId="11382"/>
    <cellStyle name="40% - Accent5 2 2 2 2 5" xfId="19337"/>
    <cellStyle name="40% - Accent5 2 2 2 2_Exh G" xfId="3224"/>
    <cellStyle name="40% - Accent5 2 2 2 3" xfId="4235"/>
    <cellStyle name="40% - Accent5 2 2 2 3 2" xfId="7827"/>
    <cellStyle name="40% - Accent5 2 2 2 3 2 2" xfId="15798"/>
    <cellStyle name="40% - Accent5 2 2 2 3 2 3" xfId="23744"/>
    <cellStyle name="40% - Accent5 2 2 2 3 3" xfId="12260"/>
    <cellStyle name="40% - Accent5 2 2 2 3 4" xfId="20215"/>
    <cellStyle name="40% - Accent5 2 2 2 4" xfId="6055"/>
    <cellStyle name="40% - Accent5 2 2 2 4 2" xfId="14039"/>
    <cellStyle name="40% - Accent5 2 2 2 4 3" xfId="21987"/>
    <cellStyle name="40% - Accent5 2 2 2 5" xfId="9608"/>
    <cellStyle name="40% - Accent5 2 2 2 5 2" xfId="17566"/>
    <cellStyle name="40% - Accent5 2 2 2 5 3" xfId="25510"/>
    <cellStyle name="40% - Accent5 2 2 2 6" xfId="10504"/>
    <cellStyle name="40% - Accent5 2 2 2 7" xfId="18459"/>
    <cellStyle name="40% - Accent5 2 2 2_Exh G" xfId="3223"/>
    <cellStyle name="40% - Accent5 2 2 3" xfId="984"/>
    <cellStyle name="40% - Accent5 2 2 3 2" xfId="1900"/>
    <cellStyle name="40% - Accent5 2 2 3 2 2" xfId="5418"/>
    <cellStyle name="40% - Accent5 2 2 3 2 2 2" xfId="9009"/>
    <cellStyle name="40% - Accent5 2 2 3 2 2 2 2" xfId="16980"/>
    <cellStyle name="40% - Accent5 2 2 3 2 2 2 3" xfId="24926"/>
    <cellStyle name="40% - Accent5 2 2 3 2 2 3" xfId="13442"/>
    <cellStyle name="40% - Accent5 2 2 3 2 2 4" xfId="21397"/>
    <cellStyle name="40% - Accent5 2 2 3 2 3" xfId="7250"/>
    <cellStyle name="40% - Accent5 2 2 3 2 3 2" xfId="15222"/>
    <cellStyle name="40% - Accent5 2 2 3 2 3 3" xfId="23169"/>
    <cellStyle name="40% - Accent5 2 2 3 2 4" xfId="11686"/>
    <cellStyle name="40% - Accent5 2 2 3 2 5" xfId="19641"/>
    <cellStyle name="40% - Accent5 2 2 3 2_Exh G" xfId="3226"/>
    <cellStyle name="40% - Accent5 2 2 3 3" xfId="4539"/>
    <cellStyle name="40% - Accent5 2 2 3 3 2" xfId="8131"/>
    <cellStyle name="40% - Accent5 2 2 3 3 2 2" xfId="16102"/>
    <cellStyle name="40% - Accent5 2 2 3 3 2 3" xfId="24048"/>
    <cellStyle name="40% - Accent5 2 2 3 3 3" xfId="12564"/>
    <cellStyle name="40% - Accent5 2 2 3 3 4" xfId="20519"/>
    <cellStyle name="40% - Accent5 2 2 3 4" xfId="6369"/>
    <cellStyle name="40% - Accent5 2 2 3 4 2" xfId="14344"/>
    <cellStyle name="40% - Accent5 2 2 3 4 3" xfId="22291"/>
    <cellStyle name="40% - Accent5 2 2 3 5" xfId="9912"/>
    <cellStyle name="40% - Accent5 2 2 3 5 2" xfId="17870"/>
    <cellStyle name="40% - Accent5 2 2 3 5 3" xfId="25814"/>
    <cellStyle name="40% - Accent5 2 2 3 6" xfId="10808"/>
    <cellStyle name="40% - Accent5 2 2 3 7" xfId="18763"/>
    <cellStyle name="40% - Accent5 2 2 3_Exh G" xfId="3225"/>
    <cellStyle name="40% - Accent5 2 2 4" xfId="1583"/>
    <cellStyle name="40% - Accent5 2 2 4 2" xfId="5113"/>
    <cellStyle name="40% - Accent5 2 2 4 2 2" xfId="8704"/>
    <cellStyle name="40% - Accent5 2 2 4 2 2 2" xfId="16675"/>
    <cellStyle name="40% - Accent5 2 2 4 2 2 3" xfId="24621"/>
    <cellStyle name="40% - Accent5 2 2 4 2 3" xfId="13137"/>
    <cellStyle name="40% - Accent5 2 2 4 2 4" xfId="21092"/>
    <cellStyle name="40% - Accent5 2 2 4 3" xfId="6945"/>
    <cellStyle name="40% - Accent5 2 2 4 3 2" xfId="14917"/>
    <cellStyle name="40% - Accent5 2 2 4 3 3" xfId="22864"/>
    <cellStyle name="40% - Accent5 2 2 4 4" xfId="11381"/>
    <cellStyle name="40% - Accent5 2 2 4 5" xfId="19336"/>
    <cellStyle name="40% - Accent5 2 2 4_Exh G" xfId="3227"/>
    <cellStyle name="40% - Accent5 2 2 5" xfId="4234"/>
    <cellStyle name="40% - Accent5 2 2 5 2" xfId="7826"/>
    <cellStyle name="40% - Accent5 2 2 5 2 2" xfId="15797"/>
    <cellStyle name="40% - Accent5 2 2 5 2 3" xfId="23743"/>
    <cellStyle name="40% - Accent5 2 2 5 3" xfId="12259"/>
    <cellStyle name="40% - Accent5 2 2 5 4" xfId="20214"/>
    <cellStyle name="40% - Accent5 2 2 6" xfId="6054"/>
    <cellStyle name="40% - Accent5 2 2 6 2" xfId="14038"/>
    <cellStyle name="40% - Accent5 2 2 6 3" xfId="21986"/>
    <cellStyle name="40% - Accent5 2 2 7" xfId="9607"/>
    <cellStyle name="40% - Accent5 2 2 7 2" xfId="17565"/>
    <cellStyle name="40% - Accent5 2 2 7 3" xfId="25509"/>
    <cellStyle name="40% - Accent5 2 2 8" xfId="10503"/>
    <cellStyle name="40% - Accent5 2 2 9" xfId="18458"/>
    <cellStyle name="40% - Accent5 2 2_Exh G" xfId="3222"/>
    <cellStyle name="40% - Accent5 2 3" xfId="557"/>
    <cellStyle name="40% - Accent5 2 3 2" xfId="1585"/>
    <cellStyle name="40% - Accent5 2 3 2 2" xfId="5115"/>
    <cellStyle name="40% - Accent5 2 3 2 2 2" xfId="8706"/>
    <cellStyle name="40% - Accent5 2 3 2 2 2 2" xfId="16677"/>
    <cellStyle name="40% - Accent5 2 3 2 2 2 3" xfId="24623"/>
    <cellStyle name="40% - Accent5 2 3 2 2 3" xfId="13139"/>
    <cellStyle name="40% - Accent5 2 3 2 2 4" xfId="21094"/>
    <cellStyle name="40% - Accent5 2 3 2 3" xfId="6947"/>
    <cellStyle name="40% - Accent5 2 3 2 3 2" xfId="14919"/>
    <cellStyle name="40% - Accent5 2 3 2 3 3" xfId="22866"/>
    <cellStyle name="40% - Accent5 2 3 2 4" xfId="11383"/>
    <cellStyle name="40% - Accent5 2 3 2 5" xfId="19338"/>
    <cellStyle name="40% - Accent5 2 3 2_Exh G" xfId="3229"/>
    <cellStyle name="40% - Accent5 2 3 3" xfId="4236"/>
    <cellStyle name="40% - Accent5 2 3 3 2" xfId="7828"/>
    <cellStyle name="40% - Accent5 2 3 3 2 2" xfId="15799"/>
    <cellStyle name="40% - Accent5 2 3 3 2 3" xfId="23745"/>
    <cellStyle name="40% - Accent5 2 3 3 3" xfId="12261"/>
    <cellStyle name="40% - Accent5 2 3 3 4" xfId="20216"/>
    <cellStyle name="40% - Accent5 2 3 4" xfId="6056"/>
    <cellStyle name="40% - Accent5 2 3 4 2" xfId="14040"/>
    <cellStyle name="40% - Accent5 2 3 4 3" xfId="21988"/>
    <cellStyle name="40% - Accent5 2 3 5" xfId="9609"/>
    <cellStyle name="40% - Accent5 2 3 5 2" xfId="17567"/>
    <cellStyle name="40% - Accent5 2 3 5 3" xfId="25511"/>
    <cellStyle name="40% - Accent5 2 3 6" xfId="10505"/>
    <cellStyle name="40% - Accent5 2 3 7" xfId="18460"/>
    <cellStyle name="40% - Accent5 2 3_Exh G" xfId="3228"/>
    <cellStyle name="40% - Accent5 2 4" xfId="983"/>
    <cellStyle name="40% - Accent5 2 4 2" xfId="1899"/>
    <cellStyle name="40% - Accent5 2 4 2 2" xfId="5417"/>
    <cellStyle name="40% - Accent5 2 4 2 2 2" xfId="9008"/>
    <cellStyle name="40% - Accent5 2 4 2 2 2 2" xfId="16979"/>
    <cellStyle name="40% - Accent5 2 4 2 2 2 3" xfId="24925"/>
    <cellStyle name="40% - Accent5 2 4 2 2 3" xfId="13441"/>
    <cellStyle name="40% - Accent5 2 4 2 2 4" xfId="21396"/>
    <cellStyle name="40% - Accent5 2 4 2 3" xfId="7249"/>
    <cellStyle name="40% - Accent5 2 4 2 3 2" xfId="15221"/>
    <cellStyle name="40% - Accent5 2 4 2 3 3" xfId="23168"/>
    <cellStyle name="40% - Accent5 2 4 2 4" xfId="11685"/>
    <cellStyle name="40% - Accent5 2 4 2 5" xfId="19640"/>
    <cellStyle name="40% - Accent5 2 4 2_Exh G" xfId="3231"/>
    <cellStyle name="40% - Accent5 2 4 3" xfId="4538"/>
    <cellStyle name="40% - Accent5 2 4 3 2" xfId="8130"/>
    <cellStyle name="40% - Accent5 2 4 3 2 2" xfId="16101"/>
    <cellStyle name="40% - Accent5 2 4 3 2 3" xfId="24047"/>
    <cellStyle name="40% - Accent5 2 4 3 3" xfId="12563"/>
    <cellStyle name="40% - Accent5 2 4 3 4" xfId="20518"/>
    <cellStyle name="40% - Accent5 2 4 4" xfId="6368"/>
    <cellStyle name="40% - Accent5 2 4 4 2" xfId="14343"/>
    <cellStyle name="40% - Accent5 2 4 4 3" xfId="22290"/>
    <cellStyle name="40% - Accent5 2 4 5" xfId="9911"/>
    <cellStyle name="40% - Accent5 2 4 5 2" xfId="17869"/>
    <cellStyle name="40% - Accent5 2 4 5 3" xfId="25813"/>
    <cellStyle name="40% - Accent5 2 4 6" xfId="10807"/>
    <cellStyle name="40% - Accent5 2 4 7" xfId="18762"/>
    <cellStyle name="40% - Accent5 2 4_Exh G" xfId="3230"/>
    <cellStyle name="40% - Accent5 2 5" xfId="1582"/>
    <cellStyle name="40% - Accent5 2 5 2" xfId="5112"/>
    <cellStyle name="40% - Accent5 2 5 2 2" xfId="8703"/>
    <cellStyle name="40% - Accent5 2 5 2 2 2" xfId="16674"/>
    <cellStyle name="40% - Accent5 2 5 2 2 3" xfId="24620"/>
    <cellStyle name="40% - Accent5 2 5 2 3" xfId="13136"/>
    <cellStyle name="40% - Accent5 2 5 2 4" xfId="21091"/>
    <cellStyle name="40% - Accent5 2 5 3" xfId="6944"/>
    <cellStyle name="40% - Accent5 2 5 3 2" xfId="14916"/>
    <cellStyle name="40% - Accent5 2 5 3 3" xfId="22863"/>
    <cellStyle name="40% - Accent5 2 5 4" xfId="11380"/>
    <cellStyle name="40% - Accent5 2 5 5" xfId="19335"/>
    <cellStyle name="40% - Accent5 2 5_Exh G" xfId="3232"/>
    <cellStyle name="40% - Accent5 2 6" xfId="4233"/>
    <cellStyle name="40% - Accent5 2 6 2" xfId="7825"/>
    <cellStyle name="40% - Accent5 2 6 2 2" xfId="15796"/>
    <cellStyle name="40% - Accent5 2 6 2 3" xfId="23742"/>
    <cellStyle name="40% - Accent5 2 6 3" xfId="12258"/>
    <cellStyle name="40% - Accent5 2 6 4" xfId="20213"/>
    <cellStyle name="40% - Accent5 2 7" xfId="6053"/>
    <cellStyle name="40% - Accent5 2 7 2" xfId="14037"/>
    <cellStyle name="40% - Accent5 2 7 3" xfId="21985"/>
    <cellStyle name="40% - Accent5 2 8" xfId="9606"/>
    <cellStyle name="40% - Accent5 2 8 2" xfId="17564"/>
    <cellStyle name="40% - Accent5 2 8 3" xfId="25508"/>
    <cellStyle name="40% - Accent5 2 9" xfId="10502"/>
    <cellStyle name="40% - Accent5 2_Exh G" xfId="3221"/>
    <cellStyle name="40% - Accent5 3" xfId="558"/>
    <cellStyle name="40% - Accent5 3 10" xfId="18461"/>
    <cellStyle name="40% - Accent5 3 2" xfId="559"/>
    <cellStyle name="40% - Accent5 3 2 2" xfId="560"/>
    <cellStyle name="40% - Accent5 3 2 2 2" xfId="1588"/>
    <cellStyle name="40% - Accent5 3 2 2 2 2" xfId="5118"/>
    <cellStyle name="40% - Accent5 3 2 2 2 2 2" xfId="8709"/>
    <cellStyle name="40% - Accent5 3 2 2 2 2 2 2" xfId="16680"/>
    <cellStyle name="40% - Accent5 3 2 2 2 2 2 3" xfId="24626"/>
    <cellStyle name="40% - Accent5 3 2 2 2 2 3" xfId="13142"/>
    <cellStyle name="40% - Accent5 3 2 2 2 2 4" xfId="21097"/>
    <cellStyle name="40% - Accent5 3 2 2 2 3" xfId="6950"/>
    <cellStyle name="40% - Accent5 3 2 2 2 3 2" xfId="14922"/>
    <cellStyle name="40% - Accent5 3 2 2 2 3 3" xfId="22869"/>
    <cellStyle name="40% - Accent5 3 2 2 2 4" xfId="11386"/>
    <cellStyle name="40% - Accent5 3 2 2 2 5" xfId="19341"/>
    <cellStyle name="40% - Accent5 3 2 2 2_Exh G" xfId="3236"/>
    <cellStyle name="40% - Accent5 3 2 2 3" xfId="4239"/>
    <cellStyle name="40% - Accent5 3 2 2 3 2" xfId="7831"/>
    <cellStyle name="40% - Accent5 3 2 2 3 2 2" xfId="15802"/>
    <cellStyle name="40% - Accent5 3 2 2 3 2 3" xfId="23748"/>
    <cellStyle name="40% - Accent5 3 2 2 3 3" xfId="12264"/>
    <cellStyle name="40% - Accent5 3 2 2 3 4" xfId="20219"/>
    <cellStyle name="40% - Accent5 3 2 2 4" xfId="6059"/>
    <cellStyle name="40% - Accent5 3 2 2 4 2" xfId="14043"/>
    <cellStyle name="40% - Accent5 3 2 2 4 3" xfId="21991"/>
    <cellStyle name="40% - Accent5 3 2 2 5" xfId="9612"/>
    <cellStyle name="40% - Accent5 3 2 2 5 2" xfId="17570"/>
    <cellStyle name="40% - Accent5 3 2 2 5 3" xfId="25514"/>
    <cellStyle name="40% - Accent5 3 2 2 6" xfId="10508"/>
    <cellStyle name="40% - Accent5 3 2 2 7" xfId="18463"/>
    <cellStyle name="40% - Accent5 3 2 2_Exh G" xfId="3235"/>
    <cellStyle name="40% - Accent5 3 2 3" xfId="986"/>
    <cellStyle name="40% - Accent5 3 2 3 2" xfId="1902"/>
    <cellStyle name="40% - Accent5 3 2 3 2 2" xfId="5420"/>
    <cellStyle name="40% - Accent5 3 2 3 2 2 2" xfId="9011"/>
    <cellStyle name="40% - Accent5 3 2 3 2 2 2 2" xfId="16982"/>
    <cellStyle name="40% - Accent5 3 2 3 2 2 2 3" xfId="24928"/>
    <cellStyle name="40% - Accent5 3 2 3 2 2 3" xfId="13444"/>
    <cellStyle name="40% - Accent5 3 2 3 2 2 4" xfId="21399"/>
    <cellStyle name="40% - Accent5 3 2 3 2 3" xfId="7252"/>
    <cellStyle name="40% - Accent5 3 2 3 2 3 2" xfId="15224"/>
    <cellStyle name="40% - Accent5 3 2 3 2 3 3" xfId="23171"/>
    <cellStyle name="40% - Accent5 3 2 3 2 4" xfId="11688"/>
    <cellStyle name="40% - Accent5 3 2 3 2 5" xfId="19643"/>
    <cellStyle name="40% - Accent5 3 2 3 2_Exh G" xfId="3238"/>
    <cellStyle name="40% - Accent5 3 2 3 3" xfId="4541"/>
    <cellStyle name="40% - Accent5 3 2 3 3 2" xfId="8133"/>
    <cellStyle name="40% - Accent5 3 2 3 3 2 2" xfId="16104"/>
    <cellStyle name="40% - Accent5 3 2 3 3 2 3" xfId="24050"/>
    <cellStyle name="40% - Accent5 3 2 3 3 3" xfId="12566"/>
    <cellStyle name="40% - Accent5 3 2 3 3 4" xfId="20521"/>
    <cellStyle name="40% - Accent5 3 2 3 4" xfId="6371"/>
    <cellStyle name="40% - Accent5 3 2 3 4 2" xfId="14346"/>
    <cellStyle name="40% - Accent5 3 2 3 4 3" xfId="22293"/>
    <cellStyle name="40% - Accent5 3 2 3 5" xfId="9914"/>
    <cellStyle name="40% - Accent5 3 2 3 5 2" xfId="17872"/>
    <cellStyle name="40% - Accent5 3 2 3 5 3" xfId="25816"/>
    <cellStyle name="40% - Accent5 3 2 3 6" xfId="10810"/>
    <cellStyle name="40% - Accent5 3 2 3 7" xfId="18765"/>
    <cellStyle name="40% - Accent5 3 2 3_Exh G" xfId="3237"/>
    <cellStyle name="40% - Accent5 3 2 4" xfId="1587"/>
    <cellStyle name="40% - Accent5 3 2 4 2" xfId="5117"/>
    <cellStyle name="40% - Accent5 3 2 4 2 2" xfId="8708"/>
    <cellStyle name="40% - Accent5 3 2 4 2 2 2" xfId="16679"/>
    <cellStyle name="40% - Accent5 3 2 4 2 2 3" xfId="24625"/>
    <cellStyle name="40% - Accent5 3 2 4 2 3" xfId="13141"/>
    <cellStyle name="40% - Accent5 3 2 4 2 4" xfId="21096"/>
    <cellStyle name="40% - Accent5 3 2 4 3" xfId="6949"/>
    <cellStyle name="40% - Accent5 3 2 4 3 2" xfId="14921"/>
    <cellStyle name="40% - Accent5 3 2 4 3 3" xfId="22868"/>
    <cellStyle name="40% - Accent5 3 2 4 4" xfId="11385"/>
    <cellStyle name="40% - Accent5 3 2 4 5" xfId="19340"/>
    <cellStyle name="40% - Accent5 3 2 4_Exh G" xfId="3239"/>
    <cellStyle name="40% - Accent5 3 2 5" xfId="4238"/>
    <cellStyle name="40% - Accent5 3 2 5 2" xfId="7830"/>
    <cellStyle name="40% - Accent5 3 2 5 2 2" xfId="15801"/>
    <cellStyle name="40% - Accent5 3 2 5 2 3" xfId="23747"/>
    <cellStyle name="40% - Accent5 3 2 5 3" xfId="12263"/>
    <cellStyle name="40% - Accent5 3 2 5 4" xfId="20218"/>
    <cellStyle name="40% - Accent5 3 2 6" xfId="6058"/>
    <cellStyle name="40% - Accent5 3 2 6 2" xfId="14042"/>
    <cellStyle name="40% - Accent5 3 2 6 3" xfId="21990"/>
    <cellStyle name="40% - Accent5 3 2 7" xfId="9611"/>
    <cellStyle name="40% - Accent5 3 2 7 2" xfId="17569"/>
    <cellStyle name="40% - Accent5 3 2 7 3" xfId="25513"/>
    <cellStyle name="40% - Accent5 3 2 8" xfId="10507"/>
    <cellStyle name="40% - Accent5 3 2 9" xfId="18462"/>
    <cellStyle name="40% - Accent5 3 2_Exh G" xfId="3234"/>
    <cellStyle name="40% - Accent5 3 3" xfId="561"/>
    <cellStyle name="40% - Accent5 3 3 2" xfId="1589"/>
    <cellStyle name="40% - Accent5 3 3 2 2" xfId="5119"/>
    <cellStyle name="40% - Accent5 3 3 2 2 2" xfId="8710"/>
    <cellStyle name="40% - Accent5 3 3 2 2 2 2" xfId="16681"/>
    <cellStyle name="40% - Accent5 3 3 2 2 2 3" xfId="24627"/>
    <cellStyle name="40% - Accent5 3 3 2 2 3" xfId="13143"/>
    <cellStyle name="40% - Accent5 3 3 2 2 4" xfId="21098"/>
    <cellStyle name="40% - Accent5 3 3 2 3" xfId="6951"/>
    <cellStyle name="40% - Accent5 3 3 2 3 2" xfId="14923"/>
    <cellStyle name="40% - Accent5 3 3 2 3 3" xfId="22870"/>
    <cellStyle name="40% - Accent5 3 3 2 4" xfId="11387"/>
    <cellStyle name="40% - Accent5 3 3 2 5" xfId="19342"/>
    <cellStyle name="40% - Accent5 3 3 2_Exh G" xfId="3241"/>
    <cellStyle name="40% - Accent5 3 3 3" xfId="4240"/>
    <cellStyle name="40% - Accent5 3 3 3 2" xfId="7832"/>
    <cellStyle name="40% - Accent5 3 3 3 2 2" xfId="15803"/>
    <cellStyle name="40% - Accent5 3 3 3 2 3" xfId="23749"/>
    <cellStyle name="40% - Accent5 3 3 3 3" xfId="12265"/>
    <cellStyle name="40% - Accent5 3 3 3 4" xfId="20220"/>
    <cellStyle name="40% - Accent5 3 3 4" xfId="6060"/>
    <cellStyle name="40% - Accent5 3 3 4 2" xfId="14044"/>
    <cellStyle name="40% - Accent5 3 3 4 3" xfId="21992"/>
    <cellStyle name="40% - Accent5 3 3 5" xfId="9613"/>
    <cellStyle name="40% - Accent5 3 3 5 2" xfId="17571"/>
    <cellStyle name="40% - Accent5 3 3 5 3" xfId="25515"/>
    <cellStyle name="40% - Accent5 3 3 6" xfId="10509"/>
    <cellStyle name="40% - Accent5 3 3 7" xfId="18464"/>
    <cellStyle name="40% - Accent5 3 3_Exh G" xfId="3240"/>
    <cellStyle name="40% - Accent5 3 4" xfId="985"/>
    <cellStyle name="40% - Accent5 3 4 2" xfId="1901"/>
    <cellStyle name="40% - Accent5 3 4 2 2" xfId="5419"/>
    <cellStyle name="40% - Accent5 3 4 2 2 2" xfId="9010"/>
    <cellStyle name="40% - Accent5 3 4 2 2 2 2" xfId="16981"/>
    <cellStyle name="40% - Accent5 3 4 2 2 2 3" xfId="24927"/>
    <cellStyle name="40% - Accent5 3 4 2 2 3" xfId="13443"/>
    <cellStyle name="40% - Accent5 3 4 2 2 4" xfId="21398"/>
    <cellStyle name="40% - Accent5 3 4 2 3" xfId="7251"/>
    <cellStyle name="40% - Accent5 3 4 2 3 2" xfId="15223"/>
    <cellStyle name="40% - Accent5 3 4 2 3 3" xfId="23170"/>
    <cellStyle name="40% - Accent5 3 4 2 4" xfId="11687"/>
    <cellStyle name="40% - Accent5 3 4 2 5" xfId="19642"/>
    <cellStyle name="40% - Accent5 3 4 2_Exh G" xfId="3243"/>
    <cellStyle name="40% - Accent5 3 4 3" xfId="4540"/>
    <cellStyle name="40% - Accent5 3 4 3 2" xfId="8132"/>
    <cellStyle name="40% - Accent5 3 4 3 2 2" xfId="16103"/>
    <cellStyle name="40% - Accent5 3 4 3 2 3" xfId="24049"/>
    <cellStyle name="40% - Accent5 3 4 3 3" xfId="12565"/>
    <cellStyle name="40% - Accent5 3 4 3 4" xfId="20520"/>
    <cellStyle name="40% - Accent5 3 4 4" xfId="6370"/>
    <cellStyle name="40% - Accent5 3 4 4 2" xfId="14345"/>
    <cellStyle name="40% - Accent5 3 4 4 3" xfId="22292"/>
    <cellStyle name="40% - Accent5 3 4 5" xfId="9913"/>
    <cellStyle name="40% - Accent5 3 4 5 2" xfId="17871"/>
    <cellStyle name="40% - Accent5 3 4 5 3" xfId="25815"/>
    <cellStyle name="40% - Accent5 3 4 6" xfId="10809"/>
    <cellStyle name="40% - Accent5 3 4 7" xfId="18764"/>
    <cellStyle name="40% - Accent5 3 4_Exh G" xfId="3242"/>
    <cellStyle name="40% - Accent5 3 5" xfId="1586"/>
    <cellStyle name="40% - Accent5 3 5 2" xfId="5116"/>
    <cellStyle name="40% - Accent5 3 5 2 2" xfId="8707"/>
    <cellStyle name="40% - Accent5 3 5 2 2 2" xfId="16678"/>
    <cellStyle name="40% - Accent5 3 5 2 2 3" xfId="24624"/>
    <cellStyle name="40% - Accent5 3 5 2 3" xfId="13140"/>
    <cellStyle name="40% - Accent5 3 5 2 4" xfId="21095"/>
    <cellStyle name="40% - Accent5 3 5 3" xfId="6948"/>
    <cellStyle name="40% - Accent5 3 5 3 2" xfId="14920"/>
    <cellStyle name="40% - Accent5 3 5 3 3" xfId="22867"/>
    <cellStyle name="40% - Accent5 3 5 4" xfId="11384"/>
    <cellStyle name="40% - Accent5 3 5 5" xfId="19339"/>
    <cellStyle name="40% - Accent5 3 5_Exh G" xfId="3244"/>
    <cellStyle name="40% - Accent5 3 6" xfId="4237"/>
    <cellStyle name="40% - Accent5 3 6 2" xfId="7829"/>
    <cellStyle name="40% - Accent5 3 6 2 2" xfId="15800"/>
    <cellStyle name="40% - Accent5 3 6 2 3" xfId="23746"/>
    <cellStyle name="40% - Accent5 3 6 3" xfId="12262"/>
    <cellStyle name="40% - Accent5 3 6 4" xfId="20217"/>
    <cellStyle name="40% - Accent5 3 7" xfId="6057"/>
    <cellStyle name="40% - Accent5 3 7 2" xfId="14041"/>
    <cellStyle name="40% - Accent5 3 7 3" xfId="21989"/>
    <cellStyle name="40% - Accent5 3 8" xfId="9610"/>
    <cellStyle name="40% - Accent5 3 8 2" xfId="17568"/>
    <cellStyle name="40% - Accent5 3 8 3" xfId="25512"/>
    <cellStyle name="40% - Accent5 3 9" xfId="10506"/>
    <cellStyle name="40% - Accent5 3_Exh G" xfId="3233"/>
    <cellStyle name="40% - Accent5 4" xfId="562"/>
    <cellStyle name="40% - Accent5 4 10" xfId="18465"/>
    <cellStyle name="40% - Accent5 4 2" xfId="563"/>
    <cellStyle name="40% - Accent5 4 2 2" xfId="564"/>
    <cellStyle name="40% - Accent5 4 2 2 2" xfId="1592"/>
    <cellStyle name="40% - Accent5 4 2 2 2 2" xfId="5122"/>
    <cellStyle name="40% - Accent5 4 2 2 2 2 2" xfId="8713"/>
    <cellStyle name="40% - Accent5 4 2 2 2 2 2 2" xfId="16684"/>
    <cellStyle name="40% - Accent5 4 2 2 2 2 2 3" xfId="24630"/>
    <cellStyle name="40% - Accent5 4 2 2 2 2 3" xfId="13146"/>
    <cellStyle name="40% - Accent5 4 2 2 2 2 4" xfId="21101"/>
    <cellStyle name="40% - Accent5 4 2 2 2 3" xfId="6954"/>
    <cellStyle name="40% - Accent5 4 2 2 2 3 2" xfId="14926"/>
    <cellStyle name="40% - Accent5 4 2 2 2 3 3" xfId="22873"/>
    <cellStyle name="40% - Accent5 4 2 2 2 4" xfId="11390"/>
    <cellStyle name="40% - Accent5 4 2 2 2 5" xfId="19345"/>
    <cellStyle name="40% - Accent5 4 2 2 2_Exh G" xfId="3248"/>
    <cellStyle name="40% - Accent5 4 2 2 3" xfId="4243"/>
    <cellStyle name="40% - Accent5 4 2 2 3 2" xfId="7835"/>
    <cellStyle name="40% - Accent5 4 2 2 3 2 2" xfId="15806"/>
    <cellStyle name="40% - Accent5 4 2 2 3 2 3" xfId="23752"/>
    <cellStyle name="40% - Accent5 4 2 2 3 3" xfId="12268"/>
    <cellStyle name="40% - Accent5 4 2 2 3 4" xfId="20223"/>
    <cellStyle name="40% - Accent5 4 2 2 4" xfId="6063"/>
    <cellStyle name="40% - Accent5 4 2 2 4 2" xfId="14047"/>
    <cellStyle name="40% - Accent5 4 2 2 4 3" xfId="21995"/>
    <cellStyle name="40% - Accent5 4 2 2 5" xfId="9616"/>
    <cellStyle name="40% - Accent5 4 2 2 5 2" xfId="17574"/>
    <cellStyle name="40% - Accent5 4 2 2 5 3" xfId="25518"/>
    <cellStyle name="40% - Accent5 4 2 2 6" xfId="10512"/>
    <cellStyle name="40% - Accent5 4 2 2 7" xfId="18467"/>
    <cellStyle name="40% - Accent5 4 2 2_Exh G" xfId="3247"/>
    <cellStyle name="40% - Accent5 4 2 3" xfId="988"/>
    <cellStyle name="40% - Accent5 4 2 3 2" xfId="1904"/>
    <cellStyle name="40% - Accent5 4 2 3 2 2" xfId="5422"/>
    <cellStyle name="40% - Accent5 4 2 3 2 2 2" xfId="9013"/>
    <cellStyle name="40% - Accent5 4 2 3 2 2 2 2" xfId="16984"/>
    <cellStyle name="40% - Accent5 4 2 3 2 2 2 3" xfId="24930"/>
    <cellStyle name="40% - Accent5 4 2 3 2 2 3" xfId="13446"/>
    <cellStyle name="40% - Accent5 4 2 3 2 2 4" xfId="21401"/>
    <cellStyle name="40% - Accent5 4 2 3 2 3" xfId="7254"/>
    <cellStyle name="40% - Accent5 4 2 3 2 3 2" xfId="15226"/>
    <cellStyle name="40% - Accent5 4 2 3 2 3 3" xfId="23173"/>
    <cellStyle name="40% - Accent5 4 2 3 2 4" xfId="11690"/>
    <cellStyle name="40% - Accent5 4 2 3 2 5" xfId="19645"/>
    <cellStyle name="40% - Accent5 4 2 3 2_Exh G" xfId="3250"/>
    <cellStyle name="40% - Accent5 4 2 3 3" xfId="4543"/>
    <cellStyle name="40% - Accent5 4 2 3 3 2" xfId="8135"/>
    <cellStyle name="40% - Accent5 4 2 3 3 2 2" xfId="16106"/>
    <cellStyle name="40% - Accent5 4 2 3 3 2 3" xfId="24052"/>
    <cellStyle name="40% - Accent5 4 2 3 3 3" xfId="12568"/>
    <cellStyle name="40% - Accent5 4 2 3 3 4" xfId="20523"/>
    <cellStyle name="40% - Accent5 4 2 3 4" xfId="6373"/>
    <cellStyle name="40% - Accent5 4 2 3 4 2" xfId="14348"/>
    <cellStyle name="40% - Accent5 4 2 3 4 3" xfId="22295"/>
    <cellStyle name="40% - Accent5 4 2 3 5" xfId="9916"/>
    <cellStyle name="40% - Accent5 4 2 3 5 2" xfId="17874"/>
    <cellStyle name="40% - Accent5 4 2 3 5 3" xfId="25818"/>
    <cellStyle name="40% - Accent5 4 2 3 6" xfId="10812"/>
    <cellStyle name="40% - Accent5 4 2 3 7" xfId="18767"/>
    <cellStyle name="40% - Accent5 4 2 3_Exh G" xfId="3249"/>
    <cellStyle name="40% - Accent5 4 2 4" xfId="1591"/>
    <cellStyle name="40% - Accent5 4 2 4 2" xfId="5121"/>
    <cellStyle name="40% - Accent5 4 2 4 2 2" xfId="8712"/>
    <cellStyle name="40% - Accent5 4 2 4 2 2 2" xfId="16683"/>
    <cellStyle name="40% - Accent5 4 2 4 2 2 3" xfId="24629"/>
    <cellStyle name="40% - Accent5 4 2 4 2 3" xfId="13145"/>
    <cellStyle name="40% - Accent5 4 2 4 2 4" xfId="21100"/>
    <cellStyle name="40% - Accent5 4 2 4 3" xfId="6953"/>
    <cellStyle name="40% - Accent5 4 2 4 3 2" xfId="14925"/>
    <cellStyle name="40% - Accent5 4 2 4 3 3" xfId="22872"/>
    <cellStyle name="40% - Accent5 4 2 4 4" xfId="11389"/>
    <cellStyle name="40% - Accent5 4 2 4 5" xfId="19344"/>
    <cellStyle name="40% - Accent5 4 2 4_Exh G" xfId="3251"/>
    <cellStyle name="40% - Accent5 4 2 5" xfId="4242"/>
    <cellStyle name="40% - Accent5 4 2 5 2" xfId="7834"/>
    <cellStyle name="40% - Accent5 4 2 5 2 2" xfId="15805"/>
    <cellStyle name="40% - Accent5 4 2 5 2 3" xfId="23751"/>
    <cellStyle name="40% - Accent5 4 2 5 3" xfId="12267"/>
    <cellStyle name="40% - Accent5 4 2 5 4" xfId="20222"/>
    <cellStyle name="40% - Accent5 4 2 6" xfId="6062"/>
    <cellStyle name="40% - Accent5 4 2 6 2" xfId="14046"/>
    <cellStyle name="40% - Accent5 4 2 6 3" xfId="21994"/>
    <cellStyle name="40% - Accent5 4 2 7" xfId="9615"/>
    <cellStyle name="40% - Accent5 4 2 7 2" xfId="17573"/>
    <cellStyle name="40% - Accent5 4 2 7 3" xfId="25517"/>
    <cellStyle name="40% - Accent5 4 2 8" xfId="10511"/>
    <cellStyle name="40% - Accent5 4 2 9" xfId="18466"/>
    <cellStyle name="40% - Accent5 4 2_Exh G" xfId="3246"/>
    <cellStyle name="40% - Accent5 4 3" xfId="565"/>
    <cellStyle name="40% - Accent5 4 3 2" xfId="1593"/>
    <cellStyle name="40% - Accent5 4 3 2 2" xfId="5123"/>
    <cellStyle name="40% - Accent5 4 3 2 2 2" xfId="8714"/>
    <cellStyle name="40% - Accent5 4 3 2 2 2 2" xfId="16685"/>
    <cellStyle name="40% - Accent5 4 3 2 2 2 3" xfId="24631"/>
    <cellStyle name="40% - Accent5 4 3 2 2 3" xfId="13147"/>
    <cellStyle name="40% - Accent5 4 3 2 2 4" xfId="21102"/>
    <cellStyle name="40% - Accent5 4 3 2 3" xfId="6955"/>
    <cellStyle name="40% - Accent5 4 3 2 3 2" xfId="14927"/>
    <cellStyle name="40% - Accent5 4 3 2 3 3" xfId="22874"/>
    <cellStyle name="40% - Accent5 4 3 2 4" xfId="11391"/>
    <cellStyle name="40% - Accent5 4 3 2 5" xfId="19346"/>
    <cellStyle name="40% - Accent5 4 3 2_Exh G" xfId="3253"/>
    <cellStyle name="40% - Accent5 4 3 3" xfId="4244"/>
    <cellStyle name="40% - Accent5 4 3 3 2" xfId="7836"/>
    <cellStyle name="40% - Accent5 4 3 3 2 2" xfId="15807"/>
    <cellStyle name="40% - Accent5 4 3 3 2 3" xfId="23753"/>
    <cellStyle name="40% - Accent5 4 3 3 3" xfId="12269"/>
    <cellStyle name="40% - Accent5 4 3 3 4" xfId="20224"/>
    <cellStyle name="40% - Accent5 4 3 4" xfId="6064"/>
    <cellStyle name="40% - Accent5 4 3 4 2" xfId="14048"/>
    <cellStyle name="40% - Accent5 4 3 4 3" xfId="21996"/>
    <cellStyle name="40% - Accent5 4 3 5" xfId="9617"/>
    <cellStyle name="40% - Accent5 4 3 5 2" xfId="17575"/>
    <cellStyle name="40% - Accent5 4 3 5 3" xfId="25519"/>
    <cellStyle name="40% - Accent5 4 3 6" xfId="10513"/>
    <cellStyle name="40% - Accent5 4 3 7" xfId="18468"/>
    <cellStyle name="40% - Accent5 4 3_Exh G" xfId="3252"/>
    <cellStyle name="40% - Accent5 4 4" xfId="987"/>
    <cellStyle name="40% - Accent5 4 4 2" xfId="1903"/>
    <cellStyle name="40% - Accent5 4 4 2 2" xfId="5421"/>
    <cellStyle name="40% - Accent5 4 4 2 2 2" xfId="9012"/>
    <cellStyle name="40% - Accent5 4 4 2 2 2 2" xfId="16983"/>
    <cellStyle name="40% - Accent5 4 4 2 2 2 3" xfId="24929"/>
    <cellStyle name="40% - Accent5 4 4 2 2 3" xfId="13445"/>
    <cellStyle name="40% - Accent5 4 4 2 2 4" xfId="21400"/>
    <cellStyle name="40% - Accent5 4 4 2 3" xfId="7253"/>
    <cellStyle name="40% - Accent5 4 4 2 3 2" xfId="15225"/>
    <cellStyle name="40% - Accent5 4 4 2 3 3" xfId="23172"/>
    <cellStyle name="40% - Accent5 4 4 2 4" xfId="11689"/>
    <cellStyle name="40% - Accent5 4 4 2 5" xfId="19644"/>
    <cellStyle name="40% - Accent5 4 4 2_Exh G" xfId="3255"/>
    <cellStyle name="40% - Accent5 4 4 3" xfId="4542"/>
    <cellStyle name="40% - Accent5 4 4 3 2" xfId="8134"/>
    <cellStyle name="40% - Accent5 4 4 3 2 2" xfId="16105"/>
    <cellStyle name="40% - Accent5 4 4 3 2 3" xfId="24051"/>
    <cellStyle name="40% - Accent5 4 4 3 3" xfId="12567"/>
    <cellStyle name="40% - Accent5 4 4 3 4" xfId="20522"/>
    <cellStyle name="40% - Accent5 4 4 4" xfId="6372"/>
    <cellStyle name="40% - Accent5 4 4 4 2" xfId="14347"/>
    <cellStyle name="40% - Accent5 4 4 4 3" xfId="22294"/>
    <cellStyle name="40% - Accent5 4 4 5" xfId="9915"/>
    <cellStyle name="40% - Accent5 4 4 5 2" xfId="17873"/>
    <cellStyle name="40% - Accent5 4 4 5 3" xfId="25817"/>
    <cellStyle name="40% - Accent5 4 4 6" xfId="10811"/>
    <cellStyle name="40% - Accent5 4 4 7" xfId="18766"/>
    <cellStyle name="40% - Accent5 4 4_Exh G" xfId="3254"/>
    <cellStyle name="40% - Accent5 4 5" xfId="1590"/>
    <cellStyle name="40% - Accent5 4 5 2" xfId="5120"/>
    <cellStyle name="40% - Accent5 4 5 2 2" xfId="8711"/>
    <cellStyle name="40% - Accent5 4 5 2 2 2" xfId="16682"/>
    <cellStyle name="40% - Accent5 4 5 2 2 3" xfId="24628"/>
    <cellStyle name="40% - Accent5 4 5 2 3" xfId="13144"/>
    <cellStyle name="40% - Accent5 4 5 2 4" xfId="21099"/>
    <cellStyle name="40% - Accent5 4 5 3" xfId="6952"/>
    <cellStyle name="40% - Accent5 4 5 3 2" xfId="14924"/>
    <cellStyle name="40% - Accent5 4 5 3 3" xfId="22871"/>
    <cellStyle name="40% - Accent5 4 5 4" xfId="11388"/>
    <cellStyle name="40% - Accent5 4 5 5" xfId="19343"/>
    <cellStyle name="40% - Accent5 4 5_Exh G" xfId="3256"/>
    <cellStyle name="40% - Accent5 4 6" xfId="4241"/>
    <cellStyle name="40% - Accent5 4 6 2" xfId="7833"/>
    <cellStyle name="40% - Accent5 4 6 2 2" xfId="15804"/>
    <cellStyle name="40% - Accent5 4 6 2 3" xfId="23750"/>
    <cellStyle name="40% - Accent5 4 6 3" xfId="12266"/>
    <cellStyle name="40% - Accent5 4 6 4" xfId="20221"/>
    <cellStyle name="40% - Accent5 4 7" xfId="6061"/>
    <cellStyle name="40% - Accent5 4 7 2" xfId="14045"/>
    <cellStyle name="40% - Accent5 4 7 3" xfId="21993"/>
    <cellStyle name="40% - Accent5 4 8" xfId="9614"/>
    <cellStyle name="40% - Accent5 4 8 2" xfId="17572"/>
    <cellStyle name="40% - Accent5 4 8 3" xfId="25516"/>
    <cellStyle name="40% - Accent5 4 9" xfId="10510"/>
    <cellStyle name="40% - Accent5 4_Exh G" xfId="3245"/>
    <cellStyle name="40% - Accent5 5" xfId="566"/>
    <cellStyle name="40% - Accent5 5 10" xfId="18469"/>
    <cellStyle name="40% - Accent5 5 2" xfId="567"/>
    <cellStyle name="40% - Accent5 5 2 2" xfId="568"/>
    <cellStyle name="40% - Accent5 5 2 2 2" xfId="1596"/>
    <cellStyle name="40% - Accent5 5 2 2 2 2" xfId="5126"/>
    <cellStyle name="40% - Accent5 5 2 2 2 2 2" xfId="8717"/>
    <cellStyle name="40% - Accent5 5 2 2 2 2 2 2" xfId="16688"/>
    <cellStyle name="40% - Accent5 5 2 2 2 2 2 3" xfId="24634"/>
    <cellStyle name="40% - Accent5 5 2 2 2 2 3" xfId="13150"/>
    <cellStyle name="40% - Accent5 5 2 2 2 2 4" xfId="21105"/>
    <cellStyle name="40% - Accent5 5 2 2 2 3" xfId="6958"/>
    <cellStyle name="40% - Accent5 5 2 2 2 3 2" xfId="14930"/>
    <cellStyle name="40% - Accent5 5 2 2 2 3 3" xfId="22877"/>
    <cellStyle name="40% - Accent5 5 2 2 2 4" xfId="11394"/>
    <cellStyle name="40% - Accent5 5 2 2 2 5" xfId="19349"/>
    <cellStyle name="40% - Accent5 5 2 2 2_Exh G" xfId="3260"/>
    <cellStyle name="40% - Accent5 5 2 2 3" xfId="4247"/>
    <cellStyle name="40% - Accent5 5 2 2 3 2" xfId="7839"/>
    <cellStyle name="40% - Accent5 5 2 2 3 2 2" xfId="15810"/>
    <cellStyle name="40% - Accent5 5 2 2 3 2 3" xfId="23756"/>
    <cellStyle name="40% - Accent5 5 2 2 3 3" xfId="12272"/>
    <cellStyle name="40% - Accent5 5 2 2 3 4" xfId="20227"/>
    <cellStyle name="40% - Accent5 5 2 2 4" xfId="6067"/>
    <cellStyle name="40% - Accent5 5 2 2 4 2" xfId="14051"/>
    <cellStyle name="40% - Accent5 5 2 2 4 3" xfId="21999"/>
    <cellStyle name="40% - Accent5 5 2 2 5" xfId="9620"/>
    <cellStyle name="40% - Accent5 5 2 2 5 2" xfId="17578"/>
    <cellStyle name="40% - Accent5 5 2 2 5 3" xfId="25522"/>
    <cellStyle name="40% - Accent5 5 2 2 6" xfId="10516"/>
    <cellStyle name="40% - Accent5 5 2 2 7" xfId="18471"/>
    <cellStyle name="40% - Accent5 5 2 2_Exh G" xfId="3259"/>
    <cellStyle name="40% - Accent5 5 2 3" xfId="1595"/>
    <cellStyle name="40% - Accent5 5 2 3 2" xfId="5125"/>
    <cellStyle name="40% - Accent5 5 2 3 2 2" xfId="8716"/>
    <cellStyle name="40% - Accent5 5 2 3 2 2 2" xfId="16687"/>
    <cellStyle name="40% - Accent5 5 2 3 2 2 3" xfId="24633"/>
    <cellStyle name="40% - Accent5 5 2 3 2 3" xfId="13149"/>
    <cellStyle name="40% - Accent5 5 2 3 2 4" xfId="21104"/>
    <cellStyle name="40% - Accent5 5 2 3 3" xfId="6957"/>
    <cellStyle name="40% - Accent5 5 2 3 3 2" xfId="14929"/>
    <cellStyle name="40% - Accent5 5 2 3 3 3" xfId="22876"/>
    <cellStyle name="40% - Accent5 5 2 3 4" xfId="11393"/>
    <cellStyle name="40% - Accent5 5 2 3 5" xfId="19348"/>
    <cellStyle name="40% - Accent5 5 2 3_Exh G" xfId="3261"/>
    <cellStyle name="40% - Accent5 5 2 4" xfId="4246"/>
    <cellStyle name="40% - Accent5 5 2 4 2" xfId="7838"/>
    <cellStyle name="40% - Accent5 5 2 4 2 2" xfId="15809"/>
    <cellStyle name="40% - Accent5 5 2 4 2 3" xfId="23755"/>
    <cellStyle name="40% - Accent5 5 2 4 3" xfId="12271"/>
    <cellStyle name="40% - Accent5 5 2 4 4" xfId="20226"/>
    <cellStyle name="40% - Accent5 5 2 5" xfId="6066"/>
    <cellStyle name="40% - Accent5 5 2 5 2" xfId="14050"/>
    <cellStyle name="40% - Accent5 5 2 5 3" xfId="21998"/>
    <cellStyle name="40% - Accent5 5 2 6" xfId="9619"/>
    <cellStyle name="40% - Accent5 5 2 6 2" xfId="17577"/>
    <cellStyle name="40% - Accent5 5 2 6 3" xfId="25521"/>
    <cellStyle name="40% - Accent5 5 2 7" xfId="10515"/>
    <cellStyle name="40% - Accent5 5 2 8" xfId="18470"/>
    <cellStyle name="40% - Accent5 5 2_Exh G" xfId="3258"/>
    <cellStyle name="40% - Accent5 5 3" xfId="569"/>
    <cellStyle name="40% - Accent5 5 3 2" xfId="1597"/>
    <cellStyle name="40% - Accent5 5 3 2 2" xfId="5127"/>
    <cellStyle name="40% - Accent5 5 3 2 2 2" xfId="8718"/>
    <cellStyle name="40% - Accent5 5 3 2 2 2 2" xfId="16689"/>
    <cellStyle name="40% - Accent5 5 3 2 2 2 3" xfId="24635"/>
    <cellStyle name="40% - Accent5 5 3 2 2 3" xfId="13151"/>
    <cellStyle name="40% - Accent5 5 3 2 2 4" xfId="21106"/>
    <cellStyle name="40% - Accent5 5 3 2 3" xfId="6959"/>
    <cellStyle name="40% - Accent5 5 3 2 3 2" xfId="14931"/>
    <cellStyle name="40% - Accent5 5 3 2 3 3" xfId="22878"/>
    <cellStyle name="40% - Accent5 5 3 2 4" xfId="11395"/>
    <cellStyle name="40% - Accent5 5 3 2 5" xfId="19350"/>
    <cellStyle name="40% - Accent5 5 3 2_Exh G" xfId="3263"/>
    <cellStyle name="40% - Accent5 5 3 3" xfId="4248"/>
    <cellStyle name="40% - Accent5 5 3 3 2" xfId="7840"/>
    <cellStyle name="40% - Accent5 5 3 3 2 2" xfId="15811"/>
    <cellStyle name="40% - Accent5 5 3 3 2 3" xfId="23757"/>
    <cellStyle name="40% - Accent5 5 3 3 3" xfId="12273"/>
    <cellStyle name="40% - Accent5 5 3 3 4" xfId="20228"/>
    <cellStyle name="40% - Accent5 5 3 4" xfId="6068"/>
    <cellStyle name="40% - Accent5 5 3 4 2" xfId="14052"/>
    <cellStyle name="40% - Accent5 5 3 4 3" xfId="22000"/>
    <cellStyle name="40% - Accent5 5 3 5" xfId="9621"/>
    <cellStyle name="40% - Accent5 5 3 5 2" xfId="17579"/>
    <cellStyle name="40% - Accent5 5 3 5 3" xfId="25523"/>
    <cellStyle name="40% - Accent5 5 3 6" xfId="10517"/>
    <cellStyle name="40% - Accent5 5 3 7" xfId="18472"/>
    <cellStyle name="40% - Accent5 5 3_Exh G" xfId="3262"/>
    <cellStyle name="40% - Accent5 5 4" xfId="989"/>
    <cellStyle name="40% - Accent5 5 5" xfId="1594"/>
    <cellStyle name="40% - Accent5 5 5 2" xfId="5124"/>
    <cellStyle name="40% - Accent5 5 5 2 2" xfId="8715"/>
    <cellStyle name="40% - Accent5 5 5 2 2 2" xfId="16686"/>
    <cellStyle name="40% - Accent5 5 5 2 2 3" xfId="24632"/>
    <cellStyle name="40% - Accent5 5 5 2 3" xfId="13148"/>
    <cellStyle name="40% - Accent5 5 5 2 4" xfId="21103"/>
    <cellStyle name="40% - Accent5 5 5 3" xfId="6956"/>
    <cellStyle name="40% - Accent5 5 5 3 2" xfId="14928"/>
    <cellStyle name="40% - Accent5 5 5 3 3" xfId="22875"/>
    <cellStyle name="40% - Accent5 5 5 4" xfId="11392"/>
    <cellStyle name="40% - Accent5 5 5 5" xfId="19347"/>
    <cellStyle name="40% - Accent5 5 5_Exh G" xfId="3264"/>
    <cellStyle name="40% - Accent5 5 6" xfId="4245"/>
    <cellStyle name="40% - Accent5 5 6 2" xfId="7837"/>
    <cellStyle name="40% - Accent5 5 6 2 2" xfId="15808"/>
    <cellStyle name="40% - Accent5 5 6 2 3" xfId="23754"/>
    <cellStyle name="40% - Accent5 5 6 3" xfId="12270"/>
    <cellStyle name="40% - Accent5 5 6 4" xfId="20225"/>
    <cellStyle name="40% - Accent5 5 7" xfId="6065"/>
    <cellStyle name="40% - Accent5 5 7 2" xfId="14049"/>
    <cellStyle name="40% - Accent5 5 7 3" xfId="21997"/>
    <cellStyle name="40% - Accent5 5 8" xfId="9618"/>
    <cellStyle name="40% - Accent5 5 8 2" xfId="17576"/>
    <cellStyle name="40% - Accent5 5 8 3" xfId="25520"/>
    <cellStyle name="40% - Accent5 5 9" xfId="10514"/>
    <cellStyle name="40% - Accent5 5_Exh G" xfId="3257"/>
    <cellStyle name="40% - Accent5 6" xfId="570"/>
    <cellStyle name="40% - Accent5 6 10" xfId="18473"/>
    <cellStyle name="40% - Accent5 6 2" xfId="571"/>
    <cellStyle name="40% - Accent5 6 2 2" xfId="572"/>
    <cellStyle name="40% - Accent5 6 2 2 2" xfId="1600"/>
    <cellStyle name="40% - Accent5 6 2 2 2 2" xfId="5130"/>
    <cellStyle name="40% - Accent5 6 2 2 2 2 2" xfId="8721"/>
    <cellStyle name="40% - Accent5 6 2 2 2 2 2 2" xfId="16692"/>
    <cellStyle name="40% - Accent5 6 2 2 2 2 2 3" xfId="24638"/>
    <cellStyle name="40% - Accent5 6 2 2 2 2 3" xfId="13154"/>
    <cellStyle name="40% - Accent5 6 2 2 2 2 4" xfId="21109"/>
    <cellStyle name="40% - Accent5 6 2 2 2 3" xfId="6962"/>
    <cellStyle name="40% - Accent5 6 2 2 2 3 2" xfId="14934"/>
    <cellStyle name="40% - Accent5 6 2 2 2 3 3" xfId="22881"/>
    <cellStyle name="40% - Accent5 6 2 2 2 4" xfId="11398"/>
    <cellStyle name="40% - Accent5 6 2 2 2 5" xfId="19353"/>
    <cellStyle name="40% - Accent5 6 2 2 2_Exh G" xfId="3268"/>
    <cellStyle name="40% - Accent5 6 2 2 3" xfId="4251"/>
    <cellStyle name="40% - Accent5 6 2 2 3 2" xfId="7843"/>
    <cellStyle name="40% - Accent5 6 2 2 3 2 2" xfId="15814"/>
    <cellStyle name="40% - Accent5 6 2 2 3 2 3" xfId="23760"/>
    <cellStyle name="40% - Accent5 6 2 2 3 3" xfId="12276"/>
    <cellStyle name="40% - Accent5 6 2 2 3 4" xfId="20231"/>
    <cellStyle name="40% - Accent5 6 2 2 4" xfId="6071"/>
    <cellStyle name="40% - Accent5 6 2 2 4 2" xfId="14055"/>
    <cellStyle name="40% - Accent5 6 2 2 4 3" xfId="22003"/>
    <cellStyle name="40% - Accent5 6 2 2 5" xfId="9624"/>
    <cellStyle name="40% - Accent5 6 2 2 5 2" xfId="17582"/>
    <cellStyle name="40% - Accent5 6 2 2 5 3" xfId="25526"/>
    <cellStyle name="40% - Accent5 6 2 2 6" xfId="10520"/>
    <cellStyle name="40% - Accent5 6 2 2 7" xfId="18475"/>
    <cellStyle name="40% - Accent5 6 2 2_Exh G" xfId="3267"/>
    <cellStyle name="40% - Accent5 6 2 3" xfId="1599"/>
    <cellStyle name="40% - Accent5 6 2 3 2" xfId="5129"/>
    <cellStyle name="40% - Accent5 6 2 3 2 2" xfId="8720"/>
    <cellStyle name="40% - Accent5 6 2 3 2 2 2" xfId="16691"/>
    <cellStyle name="40% - Accent5 6 2 3 2 2 3" xfId="24637"/>
    <cellStyle name="40% - Accent5 6 2 3 2 3" xfId="13153"/>
    <cellStyle name="40% - Accent5 6 2 3 2 4" xfId="21108"/>
    <cellStyle name="40% - Accent5 6 2 3 3" xfId="6961"/>
    <cellStyle name="40% - Accent5 6 2 3 3 2" xfId="14933"/>
    <cellStyle name="40% - Accent5 6 2 3 3 3" xfId="22880"/>
    <cellStyle name="40% - Accent5 6 2 3 4" xfId="11397"/>
    <cellStyle name="40% - Accent5 6 2 3 5" xfId="19352"/>
    <cellStyle name="40% - Accent5 6 2 3_Exh G" xfId="3269"/>
    <cellStyle name="40% - Accent5 6 2 4" xfId="4250"/>
    <cellStyle name="40% - Accent5 6 2 4 2" xfId="7842"/>
    <cellStyle name="40% - Accent5 6 2 4 2 2" xfId="15813"/>
    <cellStyle name="40% - Accent5 6 2 4 2 3" xfId="23759"/>
    <cellStyle name="40% - Accent5 6 2 4 3" xfId="12275"/>
    <cellStyle name="40% - Accent5 6 2 4 4" xfId="20230"/>
    <cellStyle name="40% - Accent5 6 2 5" xfId="6070"/>
    <cellStyle name="40% - Accent5 6 2 5 2" xfId="14054"/>
    <cellStyle name="40% - Accent5 6 2 5 3" xfId="22002"/>
    <cellStyle name="40% - Accent5 6 2 6" xfId="9623"/>
    <cellStyle name="40% - Accent5 6 2 6 2" xfId="17581"/>
    <cellStyle name="40% - Accent5 6 2 6 3" xfId="25525"/>
    <cellStyle name="40% - Accent5 6 2 7" xfId="10519"/>
    <cellStyle name="40% - Accent5 6 2 8" xfId="18474"/>
    <cellStyle name="40% - Accent5 6 2_Exh G" xfId="3266"/>
    <cellStyle name="40% - Accent5 6 3" xfId="573"/>
    <cellStyle name="40% - Accent5 6 3 2" xfId="1601"/>
    <cellStyle name="40% - Accent5 6 3 2 2" xfId="5131"/>
    <cellStyle name="40% - Accent5 6 3 2 2 2" xfId="8722"/>
    <cellStyle name="40% - Accent5 6 3 2 2 2 2" xfId="16693"/>
    <cellStyle name="40% - Accent5 6 3 2 2 2 3" xfId="24639"/>
    <cellStyle name="40% - Accent5 6 3 2 2 3" xfId="13155"/>
    <cellStyle name="40% - Accent5 6 3 2 2 4" xfId="21110"/>
    <cellStyle name="40% - Accent5 6 3 2 3" xfId="6963"/>
    <cellStyle name="40% - Accent5 6 3 2 3 2" xfId="14935"/>
    <cellStyle name="40% - Accent5 6 3 2 3 3" xfId="22882"/>
    <cellStyle name="40% - Accent5 6 3 2 4" xfId="11399"/>
    <cellStyle name="40% - Accent5 6 3 2 5" xfId="19354"/>
    <cellStyle name="40% - Accent5 6 3 2_Exh G" xfId="3271"/>
    <cellStyle name="40% - Accent5 6 3 3" xfId="4252"/>
    <cellStyle name="40% - Accent5 6 3 3 2" xfId="7844"/>
    <cellStyle name="40% - Accent5 6 3 3 2 2" xfId="15815"/>
    <cellStyle name="40% - Accent5 6 3 3 2 3" xfId="23761"/>
    <cellStyle name="40% - Accent5 6 3 3 3" xfId="12277"/>
    <cellStyle name="40% - Accent5 6 3 3 4" xfId="20232"/>
    <cellStyle name="40% - Accent5 6 3 4" xfId="6072"/>
    <cellStyle name="40% - Accent5 6 3 4 2" xfId="14056"/>
    <cellStyle name="40% - Accent5 6 3 4 3" xfId="22004"/>
    <cellStyle name="40% - Accent5 6 3 5" xfId="9625"/>
    <cellStyle name="40% - Accent5 6 3 5 2" xfId="17583"/>
    <cellStyle name="40% - Accent5 6 3 5 3" xfId="25527"/>
    <cellStyle name="40% - Accent5 6 3 6" xfId="10521"/>
    <cellStyle name="40% - Accent5 6 3 7" xfId="18476"/>
    <cellStyle name="40% - Accent5 6 3_Exh G" xfId="3270"/>
    <cellStyle name="40% - Accent5 6 4" xfId="990"/>
    <cellStyle name="40% - Accent5 6 4 2" xfId="1905"/>
    <cellStyle name="40% - Accent5 6 4 2 2" xfId="5423"/>
    <cellStyle name="40% - Accent5 6 4 2 2 2" xfId="9014"/>
    <cellStyle name="40% - Accent5 6 4 2 2 2 2" xfId="16985"/>
    <cellStyle name="40% - Accent5 6 4 2 2 2 3" xfId="24931"/>
    <cellStyle name="40% - Accent5 6 4 2 2 3" xfId="13447"/>
    <cellStyle name="40% - Accent5 6 4 2 2 4" xfId="21402"/>
    <cellStyle name="40% - Accent5 6 4 2 3" xfId="7255"/>
    <cellStyle name="40% - Accent5 6 4 2 3 2" xfId="15227"/>
    <cellStyle name="40% - Accent5 6 4 2 3 3" xfId="23174"/>
    <cellStyle name="40% - Accent5 6 4 2 4" xfId="11691"/>
    <cellStyle name="40% - Accent5 6 4 2 5" xfId="19646"/>
    <cellStyle name="40% - Accent5 6 4 2_Exh G" xfId="3273"/>
    <cellStyle name="40% - Accent5 6 4 3" xfId="4544"/>
    <cellStyle name="40% - Accent5 6 4 3 2" xfId="8136"/>
    <cellStyle name="40% - Accent5 6 4 3 2 2" xfId="16107"/>
    <cellStyle name="40% - Accent5 6 4 3 2 3" xfId="24053"/>
    <cellStyle name="40% - Accent5 6 4 3 3" xfId="12569"/>
    <cellStyle name="40% - Accent5 6 4 3 4" xfId="20524"/>
    <cellStyle name="40% - Accent5 6 4 4" xfId="6374"/>
    <cellStyle name="40% - Accent5 6 4 4 2" xfId="14349"/>
    <cellStyle name="40% - Accent5 6 4 4 3" xfId="22296"/>
    <cellStyle name="40% - Accent5 6 4 5" xfId="9917"/>
    <cellStyle name="40% - Accent5 6 4 5 2" xfId="17875"/>
    <cellStyle name="40% - Accent5 6 4 5 3" xfId="25819"/>
    <cellStyle name="40% - Accent5 6 4 6" xfId="10813"/>
    <cellStyle name="40% - Accent5 6 4 7" xfId="18768"/>
    <cellStyle name="40% - Accent5 6 4_Exh G" xfId="3272"/>
    <cellStyle name="40% - Accent5 6 5" xfId="1598"/>
    <cellStyle name="40% - Accent5 6 5 2" xfId="5128"/>
    <cellStyle name="40% - Accent5 6 5 2 2" xfId="8719"/>
    <cellStyle name="40% - Accent5 6 5 2 2 2" xfId="16690"/>
    <cellStyle name="40% - Accent5 6 5 2 2 3" xfId="24636"/>
    <cellStyle name="40% - Accent5 6 5 2 3" xfId="13152"/>
    <cellStyle name="40% - Accent5 6 5 2 4" xfId="21107"/>
    <cellStyle name="40% - Accent5 6 5 3" xfId="6960"/>
    <cellStyle name="40% - Accent5 6 5 3 2" xfId="14932"/>
    <cellStyle name="40% - Accent5 6 5 3 3" xfId="22879"/>
    <cellStyle name="40% - Accent5 6 5 4" xfId="11396"/>
    <cellStyle name="40% - Accent5 6 5 5" xfId="19351"/>
    <cellStyle name="40% - Accent5 6 5_Exh G" xfId="3274"/>
    <cellStyle name="40% - Accent5 6 6" xfId="4249"/>
    <cellStyle name="40% - Accent5 6 6 2" xfId="7841"/>
    <cellStyle name="40% - Accent5 6 6 2 2" xfId="15812"/>
    <cellStyle name="40% - Accent5 6 6 2 3" xfId="23758"/>
    <cellStyle name="40% - Accent5 6 6 3" xfId="12274"/>
    <cellStyle name="40% - Accent5 6 6 4" xfId="20229"/>
    <cellStyle name="40% - Accent5 6 7" xfId="6069"/>
    <cellStyle name="40% - Accent5 6 7 2" xfId="14053"/>
    <cellStyle name="40% - Accent5 6 7 3" xfId="22001"/>
    <cellStyle name="40% - Accent5 6 8" xfId="9622"/>
    <cellStyle name="40% - Accent5 6 8 2" xfId="17580"/>
    <cellStyle name="40% - Accent5 6 8 3" xfId="25524"/>
    <cellStyle name="40% - Accent5 6 9" xfId="10518"/>
    <cellStyle name="40% - Accent5 6_Exh G" xfId="3265"/>
    <cellStyle name="40% - Accent5 7" xfId="574"/>
    <cellStyle name="40% - Accent5 7 10" xfId="18477"/>
    <cellStyle name="40% - Accent5 7 2" xfId="575"/>
    <cellStyle name="40% - Accent5 7 2 2" xfId="576"/>
    <cellStyle name="40% - Accent5 7 2 2 2" xfId="1604"/>
    <cellStyle name="40% - Accent5 7 2 2 2 2" xfId="5134"/>
    <cellStyle name="40% - Accent5 7 2 2 2 2 2" xfId="8725"/>
    <cellStyle name="40% - Accent5 7 2 2 2 2 2 2" xfId="16696"/>
    <cellStyle name="40% - Accent5 7 2 2 2 2 2 3" xfId="24642"/>
    <cellStyle name="40% - Accent5 7 2 2 2 2 3" xfId="13158"/>
    <cellStyle name="40% - Accent5 7 2 2 2 2 4" xfId="21113"/>
    <cellStyle name="40% - Accent5 7 2 2 2 3" xfId="6966"/>
    <cellStyle name="40% - Accent5 7 2 2 2 3 2" xfId="14938"/>
    <cellStyle name="40% - Accent5 7 2 2 2 3 3" xfId="22885"/>
    <cellStyle name="40% - Accent5 7 2 2 2 4" xfId="11402"/>
    <cellStyle name="40% - Accent5 7 2 2 2 5" xfId="19357"/>
    <cellStyle name="40% - Accent5 7 2 2 2_Exh G" xfId="3278"/>
    <cellStyle name="40% - Accent5 7 2 2 3" xfId="4255"/>
    <cellStyle name="40% - Accent5 7 2 2 3 2" xfId="7847"/>
    <cellStyle name="40% - Accent5 7 2 2 3 2 2" xfId="15818"/>
    <cellStyle name="40% - Accent5 7 2 2 3 2 3" xfId="23764"/>
    <cellStyle name="40% - Accent5 7 2 2 3 3" xfId="12280"/>
    <cellStyle name="40% - Accent5 7 2 2 3 4" xfId="20235"/>
    <cellStyle name="40% - Accent5 7 2 2 4" xfId="6075"/>
    <cellStyle name="40% - Accent5 7 2 2 4 2" xfId="14059"/>
    <cellStyle name="40% - Accent5 7 2 2 4 3" xfId="22007"/>
    <cellStyle name="40% - Accent5 7 2 2 5" xfId="9628"/>
    <cellStyle name="40% - Accent5 7 2 2 5 2" xfId="17586"/>
    <cellStyle name="40% - Accent5 7 2 2 5 3" xfId="25530"/>
    <cellStyle name="40% - Accent5 7 2 2 6" xfId="10524"/>
    <cellStyle name="40% - Accent5 7 2 2 7" xfId="18479"/>
    <cellStyle name="40% - Accent5 7 2 2_Exh G" xfId="3277"/>
    <cellStyle name="40% - Accent5 7 2 3" xfId="1603"/>
    <cellStyle name="40% - Accent5 7 2 3 2" xfId="5133"/>
    <cellStyle name="40% - Accent5 7 2 3 2 2" xfId="8724"/>
    <cellStyle name="40% - Accent5 7 2 3 2 2 2" xfId="16695"/>
    <cellStyle name="40% - Accent5 7 2 3 2 2 3" xfId="24641"/>
    <cellStyle name="40% - Accent5 7 2 3 2 3" xfId="13157"/>
    <cellStyle name="40% - Accent5 7 2 3 2 4" xfId="21112"/>
    <cellStyle name="40% - Accent5 7 2 3 3" xfId="6965"/>
    <cellStyle name="40% - Accent5 7 2 3 3 2" xfId="14937"/>
    <cellStyle name="40% - Accent5 7 2 3 3 3" xfId="22884"/>
    <cellStyle name="40% - Accent5 7 2 3 4" xfId="11401"/>
    <cellStyle name="40% - Accent5 7 2 3 5" xfId="19356"/>
    <cellStyle name="40% - Accent5 7 2 3_Exh G" xfId="3279"/>
    <cellStyle name="40% - Accent5 7 2 4" xfId="4254"/>
    <cellStyle name="40% - Accent5 7 2 4 2" xfId="7846"/>
    <cellStyle name="40% - Accent5 7 2 4 2 2" xfId="15817"/>
    <cellStyle name="40% - Accent5 7 2 4 2 3" xfId="23763"/>
    <cellStyle name="40% - Accent5 7 2 4 3" xfId="12279"/>
    <cellStyle name="40% - Accent5 7 2 4 4" xfId="20234"/>
    <cellStyle name="40% - Accent5 7 2 5" xfId="6074"/>
    <cellStyle name="40% - Accent5 7 2 5 2" xfId="14058"/>
    <cellStyle name="40% - Accent5 7 2 5 3" xfId="22006"/>
    <cellStyle name="40% - Accent5 7 2 6" xfId="9627"/>
    <cellStyle name="40% - Accent5 7 2 6 2" xfId="17585"/>
    <cellStyle name="40% - Accent5 7 2 6 3" xfId="25529"/>
    <cellStyle name="40% - Accent5 7 2 7" xfId="10523"/>
    <cellStyle name="40% - Accent5 7 2 8" xfId="18478"/>
    <cellStyle name="40% - Accent5 7 2_Exh G" xfId="3276"/>
    <cellStyle name="40% - Accent5 7 3" xfId="577"/>
    <cellStyle name="40% - Accent5 7 3 2" xfId="1605"/>
    <cellStyle name="40% - Accent5 7 3 2 2" xfId="5135"/>
    <cellStyle name="40% - Accent5 7 3 2 2 2" xfId="8726"/>
    <cellStyle name="40% - Accent5 7 3 2 2 2 2" xfId="16697"/>
    <cellStyle name="40% - Accent5 7 3 2 2 2 3" xfId="24643"/>
    <cellStyle name="40% - Accent5 7 3 2 2 3" xfId="13159"/>
    <cellStyle name="40% - Accent5 7 3 2 2 4" xfId="21114"/>
    <cellStyle name="40% - Accent5 7 3 2 3" xfId="6967"/>
    <cellStyle name="40% - Accent5 7 3 2 3 2" xfId="14939"/>
    <cellStyle name="40% - Accent5 7 3 2 3 3" xfId="22886"/>
    <cellStyle name="40% - Accent5 7 3 2 4" xfId="11403"/>
    <cellStyle name="40% - Accent5 7 3 2 5" xfId="19358"/>
    <cellStyle name="40% - Accent5 7 3 2_Exh G" xfId="3281"/>
    <cellStyle name="40% - Accent5 7 3 3" xfId="4256"/>
    <cellStyle name="40% - Accent5 7 3 3 2" xfId="7848"/>
    <cellStyle name="40% - Accent5 7 3 3 2 2" xfId="15819"/>
    <cellStyle name="40% - Accent5 7 3 3 2 3" xfId="23765"/>
    <cellStyle name="40% - Accent5 7 3 3 3" xfId="12281"/>
    <cellStyle name="40% - Accent5 7 3 3 4" xfId="20236"/>
    <cellStyle name="40% - Accent5 7 3 4" xfId="6076"/>
    <cellStyle name="40% - Accent5 7 3 4 2" xfId="14060"/>
    <cellStyle name="40% - Accent5 7 3 4 3" xfId="22008"/>
    <cellStyle name="40% - Accent5 7 3 5" xfId="9629"/>
    <cellStyle name="40% - Accent5 7 3 5 2" xfId="17587"/>
    <cellStyle name="40% - Accent5 7 3 5 3" xfId="25531"/>
    <cellStyle name="40% - Accent5 7 3 6" xfId="10525"/>
    <cellStyle name="40% - Accent5 7 3 7" xfId="18480"/>
    <cellStyle name="40% - Accent5 7 3_Exh G" xfId="3280"/>
    <cellStyle name="40% - Accent5 7 4" xfId="991"/>
    <cellStyle name="40% - Accent5 7 4 2" xfId="1906"/>
    <cellStyle name="40% - Accent5 7 4 2 2" xfId="5424"/>
    <cellStyle name="40% - Accent5 7 4 2 2 2" xfId="9015"/>
    <cellStyle name="40% - Accent5 7 4 2 2 2 2" xfId="16986"/>
    <cellStyle name="40% - Accent5 7 4 2 2 2 3" xfId="24932"/>
    <cellStyle name="40% - Accent5 7 4 2 2 3" xfId="13448"/>
    <cellStyle name="40% - Accent5 7 4 2 2 4" xfId="21403"/>
    <cellStyle name="40% - Accent5 7 4 2 3" xfId="7256"/>
    <cellStyle name="40% - Accent5 7 4 2 3 2" xfId="15228"/>
    <cellStyle name="40% - Accent5 7 4 2 3 3" xfId="23175"/>
    <cellStyle name="40% - Accent5 7 4 2 4" xfId="11692"/>
    <cellStyle name="40% - Accent5 7 4 2 5" xfId="19647"/>
    <cellStyle name="40% - Accent5 7 4 2_Exh G" xfId="3283"/>
    <cellStyle name="40% - Accent5 7 4 3" xfId="4545"/>
    <cellStyle name="40% - Accent5 7 4 3 2" xfId="8137"/>
    <cellStyle name="40% - Accent5 7 4 3 2 2" xfId="16108"/>
    <cellStyle name="40% - Accent5 7 4 3 2 3" xfId="24054"/>
    <cellStyle name="40% - Accent5 7 4 3 3" xfId="12570"/>
    <cellStyle name="40% - Accent5 7 4 3 4" xfId="20525"/>
    <cellStyle name="40% - Accent5 7 4 4" xfId="6375"/>
    <cellStyle name="40% - Accent5 7 4 4 2" xfId="14350"/>
    <cellStyle name="40% - Accent5 7 4 4 3" xfId="22297"/>
    <cellStyle name="40% - Accent5 7 4 5" xfId="9918"/>
    <cellStyle name="40% - Accent5 7 4 5 2" xfId="17876"/>
    <cellStyle name="40% - Accent5 7 4 5 3" xfId="25820"/>
    <cellStyle name="40% - Accent5 7 4 6" xfId="10814"/>
    <cellStyle name="40% - Accent5 7 4 7" xfId="18769"/>
    <cellStyle name="40% - Accent5 7 4_Exh G" xfId="3282"/>
    <cellStyle name="40% - Accent5 7 5" xfId="1602"/>
    <cellStyle name="40% - Accent5 7 5 2" xfId="5132"/>
    <cellStyle name="40% - Accent5 7 5 2 2" xfId="8723"/>
    <cellStyle name="40% - Accent5 7 5 2 2 2" xfId="16694"/>
    <cellStyle name="40% - Accent5 7 5 2 2 3" xfId="24640"/>
    <cellStyle name="40% - Accent5 7 5 2 3" xfId="13156"/>
    <cellStyle name="40% - Accent5 7 5 2 4" xfId="21111"/>
    <cellStyle name="40% - Accent5 7 5 3" xfId="6964"/>
    <cellStyle name="40% - Accent5 7 5 3 2" xfId="14936"/>
    <cellStyle name="40% - Accent5 7 5 3 3" xfId="22883"/>
    <cellStyle name="40% - Accent5 7 5 4" xfId="11400"/>
    <cellStyle name="40% - Accent5 7 5 5" xfId="19355"/>
    <cellStyle name="40% - Accent5 7 5_Exh G" xfId="3284"/>
    <cellStyle name="40% - Accent5 7 6" xfId="4253"/>
    <cellStyle name="40% - Accent5 7 6 2" xfId="7845"/>
    <cellStyle name="40% - Accent5 7 6 2 2" xfId="15816"/>
    <cellStyle name="40% - Accent5 7 6 2 3" xfId="23762"/>
    <cellStyle name="40% - Accent5 7 6 3" xfId="12278"/>
    <cellStyle name="40% - Accent5 7 6 4" xfId="20233"/>
    <cellStyle name="40% - Accent5 7 7" xfId="6073"/>
    <cellStyle name="40% - Accent5 7 7 2" xfId="14057"/>
    <cellStyle name="40% - Accent5 7 7 3" xfId="22005"/>
    <cellStyle name="40% - Accent5 7 8" xfId="9626"/>
    <cellStyle name="40% - Accent5 7 8 2" xfId="17584"/>
    <cellStyle name="40% - Accent5 7 8 3" xfId="25528"/>
    <cellStyle name="40% - Accent5 7 9" xfId="10522"/>
    <cellStyle name="40% - Accent5 7_Exh G" xfId="3275"/>
    <cellStyle name="40% - Accent5 8" xfId="578"/>
    <cellStyle name="40% - Accent5 8 10" xfId="18481"/>
    <cellStyle name="40% - Accent5 8 2" xfId="579"/>
    <cellStyle name="40% - Accent5 8 2 2" xfId="580"/>
    <cellStyle name="40% - Accent5 8 2 2 2" xfId="1608"/>
    <cellStyle name="40% - Accent5 8 2 2 2 2" xfId="5138"/>
    <cellStyle name="40% - Accent5 8 2 2 2 2 2" xfId="8729"/>
    <cellStyle name="40% - Accent5 8 2 2 2 2 2 2" xfId="16700"/>
    <cellStyle name="40% - Accent5 8 2 2 2 2 2 3" xfId="24646"/>
    <cellStyle name="40% - Accent5 8 2 2 2 2 3" xfId="13162"/>
    <cellStyle name="40% - Accent5 8 2 2 2 2 4" xfId="21117"/>
    <cellStyle name="40% - Accent5 8 2 2 2 3" xfId="6970"/>
    <cellStyle name="40% - Accent5 8 2 2 2 3 2" xfId="14942"/>
    <cellStyle name="40% - Accent5 8 2 2 2 3 3" xfId="22889"/>
    <cellStyle name="40% - Accent5 8 2 2 2 4" xfId="11406"/>
    <cellStyle name="40% - Accent5 8 2 2 2 5" xfId="19361"/>
    <cellStyle name="40% - Accent5 8 2 2 2_Exh G" xfId="3288"/>
    <cellStyle name="40% - Accent5 8 2 2 3" xfId="4259"/>
    <cellStyle name="40% - Accent5 8 2 2 3 2" xfId="7851"/>
    <cellStyle name="40% - Accent5 8 2 2 3 2 2" xfId="15822"/>
    <cellStyle name="40% - Accent5 8 2 2 3 2 3" xfId="23768"/>
    <cellStyle name="40% - Accent5 8 2 2 3 3" xfId="12284"/>
    <cellStyle name="40% - Accent5 8 2 2 3 4" xfId="20239"/>
    <cellStyle name="40% - Accent5 8 2 2 4" xfId="6079"/>
    <cellStyle name="40% - Accent5 8 2 2 4 2" xfId="14063"/>
    <cellStyle name="40% - Accent5 8 2 2 4 3" xfId="22011"/>
    <cellStyle name="40% - Accent5 8 2 2 5" xfId="9632"/>
    <cellStyle name="40% - Accent5 8 2 2 5 2" xfId="17590"/>
    <cellStyle name="40% - Accent5 8 2 2 5 3" xfId="25534"/>
    <cellStyle name="40% - Accent5 8 2 2 6" xfId="10528"/>
    <cellStyle name="40% - Accent5 8 2 2 7" xfId="18483"/>
    <cellStyle name="40% - Accent5 8 2 2_Exh G" xfId="3287"/>
    <cellStyle name="40% - Accent5 8 2 3" xfId="1607"/>
    <cellStyle name="40% - Accent5 8 2 3 2" xfId="5137"/>
    <cellStyle name="40% - Accent5 8 2 3 2 2" xfId="8728"/>
    <cellStyle name="40% - Accent5 8 2 3 2 2 2" xfId="16699"/>
    <cellStyle name="40% - Accent5 8 2 3 2 2 3" xfId="24645"/>
    <cellStyle name="40% - Accent5 8 2 3 2 3" xfId="13161"/>
    <cellStyle name="40% - Accent5 8 2 3 2 4" xfId="21116"/>
    <cellStyle name="40% - Accent5 8 2 3 3" xfId="6969"/>
    <cellStyle name="40% - Accent5 8 2 3 3 2" xfId="14941"/>
    <cellStyle name="40% - Accent5 8 2 3 3 3" xfId="22888"/>
    <cellStyle name="40% - Accent5 8 2 3 4" xfId="11405"/>
    <cellStyle name="40% - Accent5 8 2 3 5" xfId="19360"/>
    <cellStyle name="40% - Accent5 8 2 3_Exh G" xfId="3289"/>
    <cellStyle name="40% - Accent5 8 2 4" xfId="4258"/>
    <cellStyle name="40% - Accent5 8 2 4 2" xfId="7850"/>
    <cellStyle name="40% - Accent5 8 2 4 2 2" xfId="15821"/>
    <cellStyle name="40% - Accent5 8 2 4 2 3" xfId="23767"/>
    <cellStyle name="40% - Accent5 8 2 4 3" xfId="12283"/>
    <cellStyle name="40% - Accent5 8 2 4 4" xfId="20238"/>
    <cellStyle name="40% - Accent5 8 2 5" xfId="6078"/>
    <cellStyle name="40% - Accent5 8 2 5 2" xfId="14062"/>
    <cellStyle name="40% - Accent5 8 2 5 3" xfId="22010"/>
    <cellStyle name="40% - Accent5 8 2 6" xfId="9631"/>
    <cellStyle name="40% - Accent5 8 2 6 2" xfId="17589"/>
    <cellStyle name="40% - Accent5 8 2 6 3" xfId="25533"/>
    <cellStyle name="40% - Accent5 8 2 7" xfId="10527"/>
    <cellStyle name="40% - Accent5 8 2 8" xfId="18482"/>
    <cellStyle name="40% - Accent5 8 2_Exh G" xfId="3286"/>
    <cellStyle name="40% - Accent5 8 3" xfId="581"/>
    <cellStyle name="40% - Accent5 8 3 2" xfId="1609"/>
    <cellStyle name="40% - Accent5 8 3 2 2" xfId="5139"/>
    <cellStyle name="40% - Accent5 8 3 2 2 2" xfId="8730"/>
    <cellStyle name="40% - Accent5 8 3 2 2 2 2" xfId="16701"/>
    <cellStyle name="40% - Accent5 8 3 2 2 2 3" xfId="24647"/>
    <cellStyle name="40% - Accent5 8 3 2 2 3" xfId="13163"/>
    <cellStyle name="40% - Accent5 8 3 2 2 4" xfId="21118"/>
    <cellStyle name="40% - Accent5 8 3 2 3" xfId="6971"/>
    <cellStyle name="40% - Accent5 8 3 2 3 2" xfId="14943"/>
    <cellStyle name="40% - Accent5 8 3 2 3 3" xfId="22890"/>
    <cellStyle name="40% - Accent5 8 3 2 4" xfId="11407"/>
    <cellStyle name="40% - Accent5 8 3 2 5" xfId="19362"/>
    <cellStyle name="40% - Accent5 8 3 2_Exh G" xfId="3291"/>
    <cellStyle name="40% - Accent5 8 3 3" xfId="4260"/>
    <cellStyle name="40% - Accent5 8 3 3 2" xfId="7852"/>
    <cellStyle name="40% - Accent5 8 3 3 2 2" xfId="15823"/>
    <cellStyle name="40% - Accent5 8 3 3 2 3" xfId="23769"/>
    <cellStyle name="40% - Accent5 8 3 3 3" xfId="12285"/>
    <cellStyle name="40% - Accent5 8 3 3 4" xfId="20240"/>
    <cellStyle name="40% - Accent5 8 3 4" xfId="6080"/>
    <cellStyle name="40% - Accent5 8 3 4 2" xfId="14064"/>
    <cellStyle name="40% - Accent5 8 3 4 3" xfId="22012"/>
    <cellStyle name="40% - Accent5 8 3 5" xfId="9633"/>
    <cellStyle name="40% - Accent5 8 3 5 2" xfId="17591"/>
    <cellStyle name="40% - Accent5 8 3 5 3" xfId="25535"/>
    <cellStyle name="40% - Accent5 8 3 6" xfId="10529"/>
    <cellStyle name="40% - Accent5 8 3 7" xfId="18484"/>
    <cellStyle name="40% - Accent5 8 3_Exh G" xfId="3290"/>
    <cellStyle name="40% - Accent5 8 4" xfId="992"/>
    <cellStyle name="40% - Accent5 8 4 2" xfId="1907"/>
    <cellStyle name="40% - Accent5 8 4 2 2" xfId="5425"/>
    <cellStyle name="40% - Accent5 8 4 2 2 2" xfId="9016"/>
    <cellStyle name="40% - Accent5 8 4 2 2 2 2" xfId="16987"/>
    <cellStyle name="40% - Accent5 8 4 2 2 2 3" xfId="24933"/>
    <cellStyle name="40% - Accent5 8 4 2 2 3" xfId="13449"/>
    <cellStyle name="40% - Accent5 8 4 2 2 4" xfId="21404"/>
    <cellStyle name="40% - Accent5 8 4 2 3" xfId="7257"/>
    <cellStyle name="40% - Accent5 8 4 2 3 2" xfId="15229"/>
    <cellStyle name="40% - Accent5 8 4 2 3 3" xfId="23176"/>
    <cellStyle name="40% - Accent5 8 4 2 4" xfId="11693"/>
    <cellStyle name="40% - Accent5 8 4 2 5" xfId="19648"/>
    <cellStyle name="40% - Accent5 8 4 2_Exh G" xfId="3293"/>
    <cellStyle name="40% - Accent5 8 4 3" xfId="4546"/>
    <cellStyle name="40% - Accent5 8 4 3 2" xfId="8138"/>
    <cellStyle name="40% - Accent5 8 4 3 2 2" xfId="16109"/>
    <cellStyle name="40% - Accent5 8 4 3 2 3" xfId="24055"/>
    <cellStyle name="40% - Accent5 8 4 3 3" xfId="12571"/>
    <cellStyle name="40% - Accent5 8 4 3 4" xfId="20526"/>
    <cellStyle name="40% - Accent5 8 4 4" xfId="6376"/>
    <cellStyle name="40% - Accent5 8 4 4 2" xfId="14351"/>
    <cellStyle name="40% - Accent5 8 4 4 3" xfId="22298"/>
    <cellStyle name="40% - Accent5 8 4 5" xfId="9919"/>
    <cellStyle name="40% - Accent5 8 4 5 2" xfId="17877"/>
    <cellStyle name="40% - Accent5 8 4 5 3" xfId="25821"/>
    <cellStyle name="40% - Accent5 8 4 6" xfId="10815"/>
    <cellStyle name="40% - Accent5 8 4 7" xfId="18770"/>
    <cellStyle name="40% - Accent5 8 4_Exh G" xfId="3292"/>
    <cellStyle name="40% - Accent5 8 5" xfId="1606"/>
    <cellStyle name="40% - Accent5 8 5 2" xfId="5136"/>
    <cellStyle name="40% - Accent5 8 5 2 2" xfId="8727"/>
    <cellStyle name="40% - Accent5 8 5 2 2 2" xfId="16698"/>
    <cellStyle name="40% - Accent5 8 5 2 2 3" xfId="24644"/>
    <cellStyle name="40% - Accent5 8 5 2 3" xfId="13160"/>
    <cellStyle name="40% - Accent5 8 5 2 4" xfId="21115"/>
    <cellStyle name="40% - Accent5 8 5 3" xfId="6968"/>
    <cellStyle name="40% - Accent5 8 5 3 2" xfId="14940"/>
    <cellStyle name="40% - Accent5 8 5 3 3" xfId="22887"/>
    <cellStyle name="40% - Accent5 8 5 4" xfId="11404"/>
    <cellStyle name="40% - Accent5 8 5 5" xfId="19359"/>
    <cellStyle name="40% - Accent5 8 5_Exh G" xfId="3294"/>
    <cellStyle name="40% - Accent5 8 6" xfId="4257"/>
    <cellStyle name="40% - Accent5 8 6 2" xfId="7849"/>
    <cellStyle name="40% - Accent5 8 6 2 2" xfId="15820"/>
    <cellStyle name="40% - Accent5 8 6 2 3" xfId="23766"/>
    <cellStyle name="40% - Accent5 8 6 3" xfId="12282"/>
    <cellStyle name="40% - Accent5 8 6 4" xfId="20237"/>
    <cellStyle name="40% - Accent5 8 7" xfId="6077"/>
    <cellStyle name="40% - Accent5 8 7 2" xfId="14061"/>
    <cellStyle name="40% - Accent5 8 7 3" xfId="22009"/>
    <cellStyle name="40% - Accent5 8 8" xfId="9630"/>
    <cellStyle name="40% - Accent5 8 8 2" xfId="17588"/>
    <cellStyle name="40% - Accent5 8 8 3" xfId="25532"/>
    <cellStyle name="40% - Accent5 8 9" xfId="10526"/>
    <cellStyle name="40% - Accent5 8_Exh G" xfId="3285"/>
    <cellStyle name="40% - Accent5 9" xfId="582"/>
    <cellStyle name="40% - Accent5 9 10" xfId="18485"/>
    <cellStyle name="40% - Accent5 9 2" xfId="583"/>
    <cellStyle name="40% - Accent5 9 2 2" xfId="584"/>
    <cellStyle name="40% - Accent5 9 2 2 2" xfId="1612"/>
    <cellStyle name="40% - Accent5 9 2 2 2 2" xfId="5142"/>
    <cellStyle name="40% - Accent5 9 2 2 2 2 2" xfId="8733"/>
    <cellStyle name="40% - Accent5 9 2 2 2 2 2 2" xfId="16704"/>
    <cellStyle name="40% - Accent5 9 2 2 2 2 2 3" xfId="24650"/>
    <cellStyle name="40% - Accent5 9 2 2 2 2 3" xfId="13166"/>
    <cellStyle name="40% - Accent5 9 2 2 2 2 4" xfId="21121"/>
    <cellStyle name="40% - Accent5 9 2 2 2 3" xfId="6974"/>
    <cellStyle name="40% - Accent5 9 2 2 2 3 2" xfId="14946"/>
    <cellStyle name="40% - Accent5 9 2 2 2 3 3" xfId="22893"/>
    <cellStyle name="40% - Accent5 9 2 2 2 4" xfId="11410"/>
    <cellStyle name="40% - Accent5 9 2 2 2 5" xfId="19365"/>
    <cellStyle name="40% - Accent5 9 2 2 2_Exh G" xfId="3298"/>
    <cellStyle name="40% - Accent5 9 2 2 3" xfId="4263"/>
    <cellStyle name="40% - Accent5 9 2 2 3 2" xfId="7855"/>
    <cellStyle name="40% - Accent5 9 2 2 3 2 2" xfId="15826"/>
    <cellStyle name="40% - Accent5 9 2 2 3 2 3" xfId="23772"/>
    <cellStyle name="40% - Accent5 9 2 2 3 3" xfId="12288"/>
    <cellStyle name="40% - Accent5 9 2 2 3 4" xfId="20243"/>
    <cellStyle name="40% - Accent5 9 2 2 4" xfId="6083"/>
    <cellStyle name="40% - Accent5 9 2 2 4 2" xfId="14067"/>
    <cellStyle name="40% - Accent5 9 2 2 4 3" xfId="22015"/>
    <cellStyle name="40% - Accent5 9 2 2 5" xfId="9636"/>
    <cellStyle name="40% - Accent5 9 2 2 5 2" xfId="17594"/>
    <cellStyle name="40% - Accent5 9 2 2 5 3" xfId="25538"/>
    <cellStyle name="40% - Accent5 9 2 2 6" xfId="10532"/>
    <cellStyle name="40% - Accent5 9 2 2 7" xfId="18487"/>
    <cellStyle name="40% - Accent5 9 2 2_Exh G" xfId="3297"/>
    <cellStyle name="40% - Accent5 9 2 3" xfId="1611"/>
    <cellStyle name="40% - Accent5 9 2 3 2" xfId="5141"/>
    <cellStyle name="40% - Accent5 9 2 3 2 2" xfId="8732"/>
    <cellStyle name="40% - Accent5 9 2 3 2 2 2" xfId="16703"/>
    <cellStyle name="40% - Accent5 9 2 3 2 2 3" xfId="24649"/>
    <cellStyle name="40% - Accent5 9 2 3 2 3" xfId="13165"/>
    <cellStyle name="40% - Accent5 9 2 3 2 4" xfId="21120"/>
    <cellStyle name="40% - Accent5 9 2 3 3" xfId="6973"/>
    <cellStyle name="40% - Accent5 9 2 3 3 2" xfId="14945"/>
    <cellStyle name="40% - Accent5 9 2 3 3 3" xfId="22892"/>
    <cellStyle name="40% - Accent5 9 2 3 4" xfId="11409"/>
    <cellStyle name="40% - Accent5 9 2 3 5" xfId="19364"/>
    <cellStyle name="40% - Accent5 9 2 3_Exh G" xfId="3299"/>
    <cellStyle name="40% - Accent5 9 2 4" xfId="4262"/>
    <cellStyle name="40% - Accent5 9 2 4 2" xfId="7854"/>
    <cellStyle name="40% - Accent5 9 2 4 2 2" xfId="15825"/>
    <cellStyle name="40% - Accent5 9 2 4 2 3" xfId="23771"/>
    <cellStyle name="40% - Accent5 9 2 4 3" xfId="12287"/>
    <cellStyle name="40% - Accent5 9 2 4 4" xfId="20242"/>
    <cellStyle name="40% - Accent5 9 2 5" xfId="6082"/>
    <cellStyle name="40% - Accent5 9 2 5 2" xfId="14066"/>
    <cellStyle name="40% - Accent5 9 2 5 3" xfId="22014"/>
    <cellStyle name="40% - Accent5 9 2 6" xfId="9635"/>
    <cellStyle name="40% - Accent5 9 2 6 2" xfId="17593"/>
    <cellStyle name="40% - Accent5 9 2 6 3" xfId="25537"/>
    <cellStyle name="40% - Accent5 9 2 7" xfId="10531"/>
    <cellStyle name="40% - Accent5 9 2 8" xfId="18486"/>
    <cellStyle name="40% - Accent5 9 2_Exh G" xfId="3296"/>
    <cellStyle name="40% - Accent5 9 3" xfId="585"/>
    <cellStyle name="40% - Accent5 9 3 2" xfId="1613"/>
    <cellStyle name="40% - Accent5 9 3 2 2" xfId="5143"/>
    <cellStyle name="40% - Accent5 9 3 2 2 2" xfId="8734"/>
    <cellStyle name="40% - Accent5 9 3 2 2 2 2" xfId="16705"/>
    <cellStyle name="40% - Accent5 9 3 2 2 2 3" xfId="24651"/>
    <cellStyle name="40% - Accent5 9 3 2 2 3" xfId="13167"/>
    <cellStyle name="40% - Accent5 9 3 2 2 4" xfId="21122"/>
    <cellStyle name="40% - Accent5 9 3 2 3" xfId="6975"/>
    <cellStyle name="40% - Accent5 9 3 2 3 2" xfId="14947"/>
    <cellStyle name="40% - Accent5 9 3 2 3 3" xfId="22894"/>
    <cellStyle name="40% - Accent5 9 3 2 4" xfId="11411"/>
    <cellStyle name="40% - Accent5 9 3 2 5" xfId="19366"/>
    <cellStyle name="40% - Accent5 9 3 2_Exh G" xfId="3301"/>
    <cellStyle name="40% - Accent5 9 3 3" xfId="4264"/>
    <cellStyle name="40% - Accent5 9 3 3 2" xfId="7856"/>
    <cellStyle name="40% - Accent5 9 3 3 2 2" xfId="15827"/>
    <cellStyle name="40% - Accent5 9 3 3 2 3" xfId="23773"/>
    <cellStyle name="40% - Accent5 9 3 3 3" xfId="12289"/>
    <cellStyle name="40% - Accent5 9 3 3 4" xfId="20244"/>
    <cellStyle name="40% - Accent5 9 3 4" xfId="6084"/>
    <cellStyle name="40% - Accent5 9 3 4 2" xfId="14068"/>
    <cellStyle name="40% - Accent5 9 3 4 3" xfId="22016"/>
    <cellStyle name="40% - Accent5 9 3 5" xfId="9637"/>
    <cellStyle name="40% - Accent5 9 3 5 2" xfId="17595"/>
    <cellStyle name="40% - Accent5 9 3 5 3" xfId="25539"/>
    <cellStyle name="40% - Accent5 9 3 6" xfId="10533"/>
    <cellStyle name="40% - Accent5 9 3 7" xfId="18488"/>
    <cellStyle name="40% - Accent5 9 3_Exh G" xfId="3300"/>
    <cellStyle name="40% - Accent5 9 4" xfId="993"/>
    <cellStyle name="40% - Accent5 9 4 2" xfId="1908"/>
    <cellStyle name="40% - Accent5 9 4 2 2" xfId="5426"/>
    <cellStyle name="40% - Accent5 9 4 2 2 2" xfId="9017"/>
    <cellStyle name="40% - Accent5 9 4 2 2 2 2" xfId="16988"/>
    <cellStyle name="40% - Accent5 9 4 2 2 2 3" xfId="24934"/>
    <cellStyle name="40% - Accent5 9 4 2 2 3" xfId="13450"/>
    <cellStyle name="40% - Accent5 9 4 2 2 4" xfId="21405"/>
    <cellStyle name="40% - Accent5 9 4 2 3" xfId="7258"/>
    <cellStyle name="40% - Accent5 9 4 2 3 2" xfId="15230"/>
    <cellStyle name="40% - Accent5 9 4 2 3 3" xfId="23177"/>
    <cellStyle name="40% - Accent5 9 4 2 4" xfId="11694"/>
    <cellStyle name="40% - Accent5 9 4 2 5" xfId="19649"/>
    <cellStyle name="40% - Accent5 9 4 2_Exh G" xfId="3303"/>
    <cellStyle name="40% - Accent5 9 4 3" xfId="4547"/>
    <cellStyle name="40% - Accent5 9 4 3 2" xfId="8139"/>
    <cellStyle name="40% - Accent5 9 4 3 2 2" xfId="16110"/>
    <cellStyle name="40% - Accent5 9 4 3 2 3" xfId="24056"/>
    <cellStyle name="40% - Accent5 9 4 3 3" xfId="12572"/>
    <cellStyle name="40% - Accent5 9 4 3 4" xfId="20527"/>
    <cellStyle name="40% - Accent5 9 4 4" xfId="6377"/>
    <cellStyle name="40% - Accent5 9 4 4 2" xfId="14352"/>
    <cellStyle name="40% - Accent5 9 4 4 3" xfId="22299"/>
    <cellStyle name="40% - Accent5 9 4 5" xfId="9920"/>
    <cellStyle name="40% - Accent5 9 4 5 2" xfId="17878"/>
    <cellStyle name="40% - Accent5 9 4 5 3" xfId="25822"/>
    <cellStyle name="40% - Accent5 9 4 6" xfId="10816"/>
    <cellStyle name="40% - Accent5 9 4 7" xfId="18771"/>
    <cellStyle name="40% - Accent5 9 4_Exh G" xfId="3302"/>
    <cellStyle name="40% - Accent5 9 5" xfId="1610"/>
    <cellStyle name="40% - Accent5 9 5 2" xfId="5140"/>
    <cellStyle name="40% - Accent5 9 5 2 2" xfId="8731"/>
    <cellStyle name="40% - Accent5 9 5 2 2 2" xfId="16702"/>
    <cellStyle name="40% - Accent5 9 5 2 2 3" xfId="24648"/>
    <cellStyle name="40% - Accent5 9 5 2 3" xfId="13164"/>
    <cellStyle name="40% - Accent5 9 5 2 4" xfId="21119"/>
    <cellStyle name="40% - Accent5 9 5 3" xfId="6972"/>
    <cellStyle name="40% - Accent5 9 5 3 2" xfId="14944"/>
    <cellStyle name="40% - Accent5 9 5 3 3" xfId="22891"/>
    <cellStyle name="40% - Accent5 9 5 4" xfId="11408"/>
    <cellStyle name="40% - Accent5 9 5 5" xfId="19363"/>
    <cellStyle name="40% - Accent5 9 5_Exh G" xfId="3304"/>
    <cellStyle name="40% - Accent5 9 6" xfId="4261"/>
    <cellStyle name="40% - Accent5 9 6 2" xfId="7853"/>
    <cellStyle name="40% - Accent5 9 6 2 2" xfId="15824"/>
    <cellStyle name="40% - Accent5 9 6 2 3" xfId="23770"/>
    <cellStyle name="40% - Accent5 9 6 3" xfId="12286"/>
    <cellStyle name="40% - Accent5 9 6 4" xfId="20241"/>
    <cellStyle name="40% - Accent5 9 7" xfId="6081"/>
    <cellStyle name="40% - Accent5 9 7 2" xfId="14065"/>
    <cellStyle name="40% - Accent5 9 7 3" xfId="22013"/>
    <cellStyle name="40% - Accent5 9 8" xfId="9634"/>
    <cellStyle name="40% - Accent5 9 8 2" xfId="17592"/>
    <cellStyle name="40% - Accent5 9 8 3" xfId="25536"/>
    <cellStyle name="40% - Accent5 9 9" xfId="10530"/>
    <cellStyle name="40% - Accent5 9_Exh G" xfId="3295"/>
    <cellStyle name="40% - Accent6 10" xfId="586"/>
    <cellStyle name="40% - Accent6 10 10" xfId="18489"/>
    <cellStyle name="40% - Accent6 10 2" xfId="587"/>
    <cellStyle name="40% - Accent6 10 2 2" xfId="588"/>
    <cellStyle name="40% - Accent6 10 2 2 2" xfId="1616"/>
    <cellStyle name="40% - Accent6 10 2 2 2 2" xfId="5146"/>
    <cellStyle name="40% - Accent6 10 2 2 2 2 2" xfId="8737"/>
    <cellStyle name="40% - Accent6 10 2 2 2 2 2 2" xfId="16708"/>
    <cellStyle name="40% - Accent6 10 2 2 2 2 2 3" xfId="24654"/>
    <cellStyle name="40% - Accent6 10 2 2 2 2 3" xfId="13170"/>
    <cellStyle name="40% - Accent6 10 2 2 2 2 4" xfId="21125"/>
    <cellStyle name="40% - Accent6 10 2 2 2 3" xfId="6978"/>
    <cellStyle name="40% - Accent6 10 2 2 2 3 2" xfId="14950"/>
    <cellStyle name="40% - Accent6 10 2 2 2 3 3" xfId="22897"/>
    <cellStyle name="40% - Accent6 10 2 2 2 4" xfId="11414"/>
    <cellStyle name="40% - Accent6 10 2 2 2 5" xfId="19369"/>
    <cellStyle name="40% - Accent6 10 2 2 2_Exh G" xfId="3308"/>
    <cellStyle name="40% - Accent6 10 2 2 3" xfId="4267"/>
    <cellStyle name="40% - Accent6 10 2 2 3 2" xfId="7859"/>
    <cellStyle name="40% - Accent6 10 2 2 3 2 2" xfId="15830"/>
    <cellStyle name="40% - Accent6 10 2 2 3 2 3" xfId="23776"/>
    <cellStyle name="40% - Accent6 10 2 2 3 3" xfId="12292"/>
    <cellStyle name="40% - Accent6 10 2 2 3 4" xfId="20247"/>
    <cellStyle name="40% - Accent6 10 2 2 4" xfId="6087"/>
    <cellStyle name="40% - Accent6 10 2 2 4 2" xfId="14071"/>
    <cellStyle name="40% - Accent6 10 2 2 4 3" xfId="22019"/>
    <cellStyle name="40% - Accent6 10 2 2 5" xfId="9640"/>
    <cellStyle name="40% - Accent6 10 2 2 5 2" xfId="17598"/>
    <cellStyle name="40% - Accent6 10 2 2 5 3" xfId="25542"/>
    <cellStyle name="40% - Accent6 10 2 2 6" xfId="10536"/>
    <cellStyle name="40% - Accent6 10 2 2 7" xfId="18491"/>
    <cellStyle name="40% - Accent6 10 2 2_Exh G" xfId="3307"/>
    <cellStyle name="40% - Accent6 10 2 3" xfId="1615"/>
    <cellStyle name="40% - Accent6 10 2 3 2" xfId="5145"/>
    <cellStyle name="40% - Accent6 10 2 3 2 2" xfId="8736"/>
    <cellStyle name="40% - Accent6 10 2 3 2 2 2" xfId="16707"/>
    <cellStyle name="40% - Accent6 10 2 3 2 2 3" xfId="24653"/>
    <cellStyle name="40% - Accent6 10 2 3 2 3" xfId="13169"/>
    <cellStyle name="40% - Accent6 10 2 3 2 4" xfId="21124"/>
    <cellStyle name="40% - Accent6 10 2 3 3" xfId="6977"/>
    <cellStyle name="40% - Accent6 10 2 3 3 2" xfId="14949"/>
    <cellStyle name="40% - Accent6 10 2 3 3 3" xfId="22896"/>
    <cellStyle name="40% - Accent6 10 2 3 4" xfId="11413"/>
    <cellStyle name="40% - Accent6 10 2 3 5" xfId="19368"/>
    <cellStyle name="40% - Accent6 10 2 3_Exh G" xfId="3309"/>
    <cellStyle name="40% - Accent6 10 2 4" xfId="4266"/>
    <cellStyle name="40% - Accent6 10 2 4 2" xfId="7858"/>
    <cellStyle name="40% - Accent6 10 2 4 2 2" xfId="15829"/>
    <cellStyle name="40% - Accent6 10 2 4 2 3" xfId="23775"/>
    <cellStyle name="40% - Accent6 10 2 4 3" xfId="12291"/>
    <cellStyle name="40% - Accent6 10 2 4 4" xfId="20246"/>
    <cellStyle name="40% - Accent6 10 2 5" xfId="6086"/>
    <cellStyle name="40% - Accent6 10 2 5 2" xfId="14070"/>
    <cellStyle name="40% - Accent6 10 2 5 3" xfId="22018"/>
    <cellStyle name="40% - Accent6 10 2 6" xfId="9639"/>
    <cellStyle name="40% - Accent6 10 2 6 2" xfId="17597"/>
    <cellStyle name="40% - Accent6 10 2 6 3" xfId="25541"/>
    <cellStyle name="40% - Accent6 10 2 7" xfId="10535"/>
    <cellStyle name="40% - Accent6 10 2 8" xfId="18490"/>
    <cellStyle name="40% - Accent6 10 2_Exh G" xfId="3306"/>
    <cellStyle name="40% - Accent6 10 3" xfId="589"/>
    <cellStyle name="40% - Accent6 10 3 2" xfId="1617"/>
    <cellStyle name="40% - Accent6 10 3 2 2" xfId="5147"/>
    <cellStyle name="40% - Accent6 10 3 2 2 2" xfId="8738"/>
    <cellStyle name="40% - Accent6 10 3 2 2 2 2" xfId="16709"/>
    <cellStyle name="40% - Accent6 10 3 2 2 2 3" xfId="24655"/>
    <cellStyle name="40% - Accent6 10 3 2 2 3" xfId="13171"/>
    <cellStyle name="40% - Accent6 10 3 2 2 4" xfId="21126"/>
    <cellStyle name="40% - Accent6 10 3 2 3" xfId="6979"/>
    <cellStyle name="40% - Accent6 10 3 2 3 2" xfId="14951"/>
    <cellStyle name="40% - Accent6 10 3 2 3 3" xfId="22898"/>
    <cellStyle name="40% - Accent6 10 3 2 4" xfId="11415"/>
    <cellStyle name="40% - Accent6 10 3 2 5" xfId="19370"/>
    <cellStyle name="40% - Accent6 10 3 2_Exh G" xfId="3311"/>
    <cellStyle name="40% - Accent6 10 3 3" xfId="4268"/>
    <cellStyle name="40% - Accent6 10 3 3 2" xfId="7860"/>
    <cellStyle name="40% - Accent6 10 3 3 2 2" xfId="15831"/>
    <cellStyle name="40% - Accent6 10 3 3 2 3" xfId="23777"/>
    <cellStyle name="40% - Accent6 10 3 3 3" xfId="12293"/>
    <cellStyle name="40% - Accent6 10 3 3 4" xfId="20248"/>
    <cellStyle name="40% - Accent6 10 3 4" xfId="6088"/>
    <cellStyle name="40% - Accent6 10 3 4 2" xfId="14072"/>
    <cellStyle name="40% - Accent6 10 3 4 3" xfId="22020"/>
    <cellStyle name="40% - Accent6 10 3 5" xfId="9641"/>
    <cellStyle name="40% - Accent6 10 3 5 2" xfId="17599"/>
    <cellStyle name="40% - Accent6 10 3 5 3" xfId="25543"/>
    <cellStyle name="40% - Accent6 10 3 6" xfId="10537"/>
    <cellStyle name="40% - Accent6 10 3 7" xfId="18492"/>
    <cellStyle name="40% - Accent6 10 3_Exh G" xfId="3310"/>
    <cellStyle name="40% - Accent6 10 4" xfId="994"/>
    <cellStyle name="40% - Accent6 10 5" xfId="1614"/>
    <cellStyle name="40% - Accent6 10 5 2" xfId="5144"/>
    <cellStyle name="40% - Accent6 10 5 2 2" xfId="8735"/>
    <cellStyle name="40% - Accent6 10 5 2 2 2" xfId="16706"/>
    <cellStyle name="40% - Accent6 10 5 2 2 3" xfId="24652"/>
    <cellStyle name="40% - Accent6 10 5 2 3" xfId="13168"/>
    <cellStyle name="40% - Accent6 10 5 2 4" xfId="21123"/>
    <cellStyle name="40% - Accent6 10 5 3" xfId="6976"/>
    <cellStyle name="40% - Accent6 10 5 3 2" xfId="14948"/>
    <cellStyle name="40% - Accent6 10 5 3 3" xfId="22895"/>
    <cellStyle name="40% - Accent6 10 5 4" xfId="11412"/>
    <cellStyle name="40% - Accent6 10 5 5" xfId="19367"/>
    <cellStyle name="40% - Accent6 10 5_Exh G" xfId="3312"/>
    <cellStyle name="40% - Accent6 10 6" xfId="4265"/>
    <cellStyle name="40% - Accent6 10 6 2" xfId="7857"/>
    <cellStyle name="40% - Accent6 10 6 2 2" xfId="15828"/>
    <cellStyle name="40% - Accent6 10 6 2 3" xfId="23774"/>
    <cellStyle name="40% - Accent6 10 6 3" xfId="12290"/>
    <cellStyle name="40% - Accent6 10 6 4" xfId="20245"/>
    <cellStyle name="40% - Accent6 10 7" xfId="6085"/>
    <cellStyle name="40% - Accent6 10 7 2" xfId="14069"/>
    <cellStyle name="40% - Accent6 10 7 3" xfId="22017"/>
    <cellStyle name="40% - Accent6 10 8" xfId="9638"/>
    <cellStyle name="40% - Accent6 10 8 2" xfId="17596"/>
    <cellStyle name="40% - Accent6 10 8 3" xfId="25540"/>
    <cellStyle name="40% - Accent6 10 9" xfId="10534"/>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 2 2" xfId="8741"/>
    <cellStyle name="40% - Accent6 11 2 2 2 2 2 2" xfId="16712"/>
    <cellStyle name="40% - Accent6 11 2 2 2 2 2 3" xfId="24658"/>
    <cellStyle name="40% - Accent6 11 2 2 2 2 3" xfId="13174"/>
    <cellStyle name="40% - Accent6 11 2 2 2 2 4" xfId="21129"/>
    <cellStyle name="40% - Accent6 11 2 2 2 3" xfId="6982"/>
    <cellStyle name="40% - Accent6 11 2 2 2 3 2" xfId="14954"/>
    <cellStyle name="40% - Accent6 11 2 2 2 3 3" xfId="22901"/>
    <cellStyle name="40% - Accent6 11 2 2 2 4" xfId="11418"/>
    <cellStyle name="40% - Accent6 11 2 2 2 5" xfId="19373"/>
    <cellStyle name="40% - Accent6 11 2 2 2_Exh G" xfId="3316"/>
    <cellStyle name="40% - Accent6 11 2 2 3" xfId="4271"/>
    <cellStyle name="40% - Accent6 11 2 2 3 2" xfId="7863"/>
    <cellStyle name="40% - Accent6 11 2 2 3 2 2" xfId="15834"/>
    <cellStyle name="40% - Accent6 11 2 2 3 2 3" xfId="23780"/>
    <cellStyle name="40% - Accent6 11 2 2 3 3" xfId="12296"/>
    <cellStyle name="40% - Accent6 11 2 2 3 4" xfId="20251"/>
    <cellStyle name="40% - Accent6 11 2 2 4" xfId="6091"/>
    <cellStyle name="40% - Accent6 11 2 2 4 2" xfId="14075"/>
    <cellStyle name="40% - Accent6 11 2 2 4 3" xfId="22023"/>
    <cellStyle name="40% - Accent6 11 2 2 5" xfId="9644"/>
    <cellStyle name="40% - Accent6 11 2 2 5 2" xfId="17602"/>
    <cellStyle name="40% - Accent6 11 2 2 5 3" xfId="25546"/>
    <cellStyle name="40% - Accent6 11 2 2 6" xfId="10540"/>
    <cellStyle name="40% - Accent6 11 2 2 7" xfId="18495"/>
    <cellStyle name="40% - Accent6 11 2 2_Exh G" xfId="3315"/>
    <cellStyle name="40% - Accent6 11 2 3" xfId="1619"/>
    <cellStyle name="40% - Accent6 11 2 3 2" xfId="5149"/>
    <cellStyle name="40% - Accent6 11 2 3 2 2" xfId="8740"/>
    <cellStyle name="40% - Accent6 11 2 3 2 2 2" xfId="16711"/>
    <cellStyle name="40% - Accent6 11 2 3 2 2 3" xfId="24657"/>
    <cellStyle name="40% - Accent6 11 2 3 2 3" xfId="13173"/>
    <cellStyle name="40% - Accent6 11 2 3 2 4" xfId="21128"/>
    <cellStyle name="40% - Accent6 11 2 3 3" xfId="6981"/>
    <cellStyle name="40% - Accent6 11 2 3 3 2" xfId="14953"/>
    <cellStyle name="40% - Accent6 11 2 3 3 3" xfId="22900"/>
    <cellStyle name="40% - Accent6 11 2 3 4" xfId="11417"/>
    <cellStyle name="40% - Accent6 11 2 3 5" xfId="19372"/>
    <cellStyle name="40% - Accent6 11 2 3_Exh G" xfId="3317"/>
    <cellStyle name="40% - Accent6 11 2 4" xfId="4270"/>
    <cellStyle name="40% - Accent6 11 2 4 2" xfId="7862"/>
    <cellStyle name="40% - Accent6 11 2 4 2 2" xfId="15833"/>
    <cellStyle name="40% - Accent6 11 2 4 2 3" xfId="23779"/>
    <cellStyle name="40% - Accent6 11 2 4 3" xfId="12295"/>
    <cellStyle name="40% - Accent6 11 2 4 4" xfId="20250"/>
    <cellStyle name="40% - Accent6 11 2 5" xfId="6090"/>
    <cellStyle name="40% - Accent6 11 2 5 2" xfId="14074"/>
    <cellStyle name="40% - Accent6 11 2 5 3" xfId="22022"/>
    <cellStyle name="40% - Accent6 11 2 6" xfId="9643"/>
    <cellStyle name="40% - Accent6 11 2 6 2" xfId="17601"/>
    <cellStyle name="40% - Accent6 11 2 6 3" xfId="25545"/>
    <cellStyle name="40% - Accent6 11 2 7" xfId="10539"/>
    <cellStyle name="40% - Accent6 11 2 8" xfId="18494"/>
    <cellStyle name="40% - Accent6 11 2_Exh G" xfId="3314"/>
    <cellStyle name="40% - Accent6 11 3" xfId="593"/>
    <cellStyle name="40% - Accent6 11 3 2" xfId="1621"/>
    <cellStyle name="40% - Accent6 11 3 2 2" xfId="5151"/>
    <cellStyle name="40% - Accent6 11 3 2 2 2" xfId="8742"/>
    <cellStyle name="40% - Accent6 11 3 2 2 2 2" xfId="16713"/>
    <cellStyle name="40% - Accent6 11 3 2 2 2 3" xfId="24659"/>
    <cellStyle name="40% - Accent6 11 3 2 2 3" xfId="13175"/>
    <cellStyle name="40% - Accent6 11 3 2 2 4" xfId="21130"/>
    <cellStyle name="40% - Accent6 11 3 2 3" xfId="6983"/>
    <cellStyle name="40% - Accent6 11 3 2 3 2" xfId="14955"/>
    <cellStyle name="40% - Accent6 11 3 2 3 3" xfId="22902"/>
    <cellStyle name="40% - Accent6 11 3 2 4" xfId="11419"/>
    <cellStyle name="40% - Accent6 11 3 2 5" xfId="19374"/>
    <cellStyle name="40% - Accent6 11 3 2_Exh G" xfId="3319"/>
    <cellStyle name="40% - Accent6 11 3 3" xfId="4272"/>
    <cellStyle name="40% - Accent6 11 3 3 2" xfId="7864"/>
    <cellStyle name="40% - Accent6 11 3 3 2 2" xfId="15835"/>
    <cellStyle name="40% - Accent6 11 3 3 2 3" xfId="23781"/>
    <cellStyle name="40% - Accent6 11 3 3 3" xfId="12297"/>
    <cellStyle name="40% - Accent6 11 3 3 4" xfId="20252"/>
    <cellStyle name="40% - Accent6 11 3 4" xfId="6092"/>
    <cellStyle name="40% - Accent6 11 3 4 2" xfId="14076"/>
    <cellStyle name="40% - Accent6 11 3 4 3" xfId="22024"/>
    <cellStyle name="40% - Accent6 11 3 5" xfId="9645"/>
    <cellStyle name="40% - Accent6 11 3 5 2" xfId="17603"/>
    <cellStyle name="40% - Accent6 11 3 5 3" xfId="25547"/>
    <cellStyle name="40% - Accent6 11 3 6" xfId="10541"/>
    <cellStyle name="40% - Accent6 11 3 7" xfId="18496"/>
    <cellStyle name="40% - Accent6 11 3_Exh G" xfId="3318"/>
    <cellStyle name="40% - Accent6 11 4" xfId="1618"/>
    <cellStyle name="40% - Accent6 11 4 2" xfId="5148"/>
    <cellStyle name="40% - Accent6 11 4 2 2" xfId="8739"/>
    <cellStyle name="40% - Accent6 11 4 2 2 2" xfId="16710"/>
    <cellStyle name="40% - Accent6 11 4 2 2 3" xfId="24656"/>
    <cellStyle name="40% - Accent6 11 4 2 3" xfId="13172"/>
    <cellStyle name="40% - Accent6 11 4 2 4" xfId="21127"/>
    <cellStyle name="40% - Accent6 11 4 3" xfId="6980"/>
    <cellStyle name="40% - Accent6 11 4 3 2" xfId="14952"/>
    <cellStyle name="40% - Accent6 11 4 3 3" xfId="22899"/>
    <cellStyle name="40% - Accent6 11 4 4" xfId="11416"/>
    <cellStyle name="40% - Accent6 11 4 5" xfId="19371"/>
    <cellStyle name="40% - Accent6 11 4_Exh G" xfId="3320"/>
    <cellStyle name="40% - Accent6 11 5" xfId="4269"/>
    <cellStyle name="40% - Accent6 11 5 2" xfId="7861"/>
    <cellStyle name="40% - Accent6 11 5 2 2" xfId="15832"/>
    <cellStyle name="40% - Accent6 11 5 2 3" xfId="23778"/>
    <cellStyle name="40% - Accent6 11 5 3" xfId="12294"/>
    <cellStyle name="40% - Accent6 11 5 4" xfId="20249"/>
    <cellStyle name="40% - Accent6 11 6" xfId="6089"/>
    <cellStyle name="40% - Accent6 11 6 2" xfId="14073"/>
    <cellStyle name="40% - Accent6 11 6 3" xfId="22021"/>
    <cellStyle name="40% - Accent6 11 7" xfId="9642"/>
    <cellStyle name="40% - Accent6 11 7 2" xfId="17600"/>
    <cellStyle name="40% - Accent6 11 7 3" xfId="25544"/>
    <cellStyle name="40% - Accent6 11 8" xfId="10538"/>
    <cellStyle name="40% - Accent6 11 9" xfId="18493"/>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 2 2" xfId="8745"/>
    <cellStyle name="40% - Accent6 12 2 2 2 2 2 2" xfId="16716"/>
    <cellStyle name="40% - Accent6 12 2 2 2 2 2 3" xfId="24662"/>
    <cellStyle name="40% - Accent6 12 2 2 2 2 3" xfId="13178"/>
    <cellStyle name="40% - Accent6 12 2 2 2 2 4" xfId="21133"/>
    <cellStyle name="40% - Accent6 12 2 2 2 3" xfId="6986"/>
    <cellStyle name="40% - Accent6 12 2 2 2 3 2" xfId="14958"/>
    <cellStyle name="40% - Accent6 12 2 2 2 3 3" xfId="22905"/>
    <cellStyle name="40% - Accent6 12 2 2 2 4" xfId="11422"/>
    <cellStyle name="40% - Accent6 12 2 2 2 5" xfId="19377"/>
    <cellStyle name="40% - Accent6 12 2 2 2_Exh G" xfId="3324"/>
    <cellStyle name="40% - Accent6 12 2 2 3" xfId="4275"/>
    <cellStyle name="40% - Accent6 12 2 2 3 2" xfId="7867"/>
    <cellStyle name="40% - Accent6 12 2 2 3 2 2" xfId="15838"/>
    <cellStyle name="40% - Accent6 12 2 2 3 2 3" xfId="23784"/>
    <cellStyle name="40% - Accent6 12 2 2 3 3" xfId="12300"/>
    <cellStyle name="40% - Accent6 12 2 2 3 4" xfId="20255"/>
    <cellStyle name="40% - Accent6 12 2 2 4" xfId="6095"/>
    <cellStyle name="40% - Accent6 12 2 2 4 2" xfId="14079"/>
    <cellStyle name="40% - Accent6 12 2 2 4 3" xfId="22027"/>
    <cellStyle name="40% - Accent6 12 2 2 5" xfId="9648"/>
    <cellStyle name="40% - Accent6 12 2 2 5 2" xfId="17606"/>
    <cellStyle name="40% - Accent6 12 2 2 5 3" xfId="25550"/>
    <cellStyle name="40% - Accent6 12 2 2 6" xfId="10544"/>
    <cellStyle name="40% - Accent6 12 2 2 7" xfId="18499"/>
    <cellStyle name="40% - Accent6 12 2 2_Exh G" xfId="3323"/>
    <cellStyle name="40% - Accent6 12 2 3" xfId="1623"/>
    <cellStyle name="40% - Accent6 12 2 3 2" xfId="5153"/>
    <cellStyle name="40% - Accent6 12 2 3 2 2" xfId="8744"/>
    <cellStyle name="40% - Accent6 12 2 3 2 2 2" xfId="16715"/>
    <cellStyle name="40% - Accent6 12 2 3 2 2 3" xfId="24661"/>
    <cellStyle name="40% - Accent6 12 2 3 2 3" xfId="13177"/>
    <cellStyle name="40% - Accent6 12 2 3 2 4" xfId="21132"/>
    <cellStyle name="40% - Accent6 12 2 3 3" xfId="6985"/>
    <cellStyle name="40% - Accent6 12 2 3 3 2" xfId="14957"/>
    <cellStyle name="40% - Accent6 12 2 3 3 3" xfId="22904"/>
    <cellStyle name="40% - Accent6 12 2 3 4" xfId="11421"/>
    <cellStyle name="40% - Accent6 12 2 3 5" xfId="19376"/>
    <cellStyle name="40% - Accent6 12 2 3_Exh G" xfId="3325"/>
    <cellStyle name="40% - Accent6 12 2 4" xfId="4274"/>
    <cellStyle name="40% - Accent6 12 2 4 2" xfId="7866"/>
    <cellStyle name="40% - Accent6 12 2 4 2 2" xfId="15837"/>
    <cellStyle name="40% - Accent6 12 2 4 2 3" xfId="23783"/>
    <cellStyle name="40% - Accent6 12 2 4 3" xfId="12299"/>
    <cellStyle name="40% - Accent6 12 2 4 4" xfId="20254"/>
    <cellStyle name="40% - Accent6 12 2 5" xfId="6094"/>
    <cellStyle name="40% - Accent6 12 2 5 2" xfId="14078"/>
    <cellStyle name="40% - Accent6 12 2 5 3" xfId="22026"/>
    <cellStyle name="40% - Accent6 12 2 6" xfId="9647"/>
    <cellStyle name="40% - Accent6 12 2 6 2" xfId="17605"/>
    <cellStyle name="40% - Accent6 12 2 6 3" xfId="25549"/>
    <cellStyle name="40% - Accent6 12 2 7" xfId="10543"/>
    <cellStyle name="40% - Accent6 12 2 8" xfId="18498"/>
    <cellStyle name="40% - Accent6 12 2_Exh G" xfId="3322"/>
    <cellStyle name="40% - Accent6 12 3" xfId="597"/>
    <cellStyle name="40% - Accent6 12 3 2" xfId="1625"/>
    <cellStyle name="40% - Accent6 12 3 2 2" xfId="5155"/>
    <cellStyle name="40% - Accent6 12 3 2 2 2" xfId="8746"/>
    <cellStyle name="40% - Accent6 12 3 2 2 2 2" xfId="16717"/>
    <cellStyle name="40% - Accent6 12 3 2 2 2 3" xfId="24663"/>
    <cellStyle name="40% - Accent6 12 3 2 2 3" xfId="13179"/>
    <cellStyle name="40% - Accent6 12 3 2 2 4" xfId="21134"/>
    <cellStyle name="40% - Accent6 12 3 2 3" xfId="6987"/>
    <cellStyle name="40% - Accent6 12 3 2 3 2" xfId="14959"/>
    <cellStyle name="40% - Accent6 12 3 2 3 3" xfId="22906"/>
    <cellStyle name="40% - Accent6 12 3 2 4" xfId="11423"/>
    <cellStyle name="40% - Accent6 12 3 2 5" xfId="19378"/>
    <cellStyle name="40% - Accent6 12 3 2_Exh G" xfId="3327"/>
    <cellStyle name="40% - Accent6 12 3 3" xfId="4276"/>
    <cellStyle name="40% - Accent6 12 3 3 2" xfId="7868"/>
    <cellStyle name="40% - Accent6 12 3 3 2 2" xfId="15839"/>
    <cellStyle name="40% - Accent6 12 3 3 2 3" xfId="23785"/>
    <cellStyle name="40% - Accent6 12 3 3 3" xfId="12301"/>
    <cellStyle name="40% - Accent6 12 3 3 4" xfId="20256"/>
    <cellStyle name="40% - Accent6 12 3 4" xfId="6096"/>
    <cellStyle name="40% - Accent6 12 3 4 2" xfId="14080"/>
    <cellStyle name="40% - Accent6 12 3 4 3" xfId="22028"/>
    <cellStyle name="40% - Accent6 12 3 5" xfId="9649"/>
    <cellStyle name="40% - Accent6 12 3 5 2" xfId="17607"/>
    <cellStyle name="40% - Accent6 12 3 5 3" xfId="25551"/>
    <cellStyle name="40% - Accent6 12 3 6" xfId="10545"/>
    <cellStyle name="40% - Accent6 12 3 7" xfId="18500"/>
    <cellStyle name="40% - Accent6 12 3_Exh G" xfId="3326"/>
    <cellStyle name="40% - Accent6 12 4" xfId="1622"/>
    <cellStyle name="40% - Accent6 12 4 2" xfId="5152"/>
    <cellStyle name="40% - Accent6 12 4 2 2" xfId="8743"/>
    <cellStyle name="40% - Accent6 12 4 2 2 2" xfId="16714"/>
    <cellStyle name="40% - Accent6 12 4 2 2 3" xfId="24660"/>
    <cellStyle name="40% - Accent6 12 4 2 3" xfId="13176"/>
    <cellStyle name="40% - Accent6 12 4 2 4" xfId="21131"/>
    <cellStyle name="40% - Accent6 12 4 3" xfId="6984"/>
    <cellStyle name="40% - Accent6 12 4 3 2" xfId="14956"/>
    <cellStyle name="40% - Accent6 12 4 3 3" xfId="22903"/>
    <cellStyle name="40% - Accent6 12 4 4" xfId="11420"/>
    <cellStyle name="40% - Accent6 12 4 5" xfId="19375"/>
    <cellStyle name="40% - Accent6 12 4_Exh G" xfId="3328"/>
    <cellStyle name="40% - Accent6 12 5" xfId="4273"/>
    <cellStyle name="40% - Accent6 12 5 2" xfId="7865"/>
    <cellStyle name="40% - Accent6 12 5 2 2" xfId="15836"/>
    <cellStyle name="40% - Accent6 12 5 2 3" xfId="23782"/>
    <cellStyle name="40% - Accent6 12 5 3" xfId="12298"/>
    <cellStyle name="40% - Accent6 12 5 4" xfId="20253"/>
    <cellStyle name="40% - Accent6 12 6" xfId="6093"/>
    <cellStyle name="40% - Accent6 12 6 2" xfId="14077"/>
    <cellStyle name="40% - Accent6 12 6 3" xfId="22025"/>
    <cellStyle name="40% - Accent6 12 7" xfId="9646"/>
    <cellStyle name="40% - Accent6 12 7 2" xfId="17604"/>
    <cellStyle name="40% - Accent6 12 7 3" xfId="25548"/>
    <cellStyle name="40% - Accent6 12 8" xfId="10542"/>
    <cellStyle name="40% - Accent6 12 9" xfId="18497"/>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 2 2" xfId="8749"/>
    <cellStyle name="40% - Accent6 13 2 2 2 2 2 2" xfId="16720"/>
    <cellStyle name="40% - Accent6 13 2 2 2 2 2 3" xfId="24666"/>
    <cellStyle name="40% - Accent6 13 2 2 2 2 3" xfId="13182"/>
    <cellStyle name="40% - Accent6 13 2 2 2 2 4" xfId="21137"/>
    <cellStyle name="40% - Accent6 13 2 2 2 3" xfId="6990"/>
    <cellStyle name="40% - Accent6 13 2 2 2 3 2" xfId="14962"/>
    <cellStyle name="40% - Accent6 13 2 2 2 3 3" xfId="22909"/>
    <cellStyle name="40% - Accent6 13 2 2 2 4" xfId="11426"/>
    <cellStyle name="40% - Accent6 13 2 2 2 5" xfId="19381"/>
    <cellStyle name="40% - Accent6 13 2 2 2_Exh G" xfId="3332"/>
    <cellStyle name="40% - Accent6 13 2 2 3" xfId="4279"/>
    <cellStyle name="40% - Accent6 13 2 2 3 2" xfId="7871"/>
    <cellStyle name="40% - Accent6 13 2 2 3 2 2" xfId="15842"/>
    <cellStyle name="40% - Accent6 13 2 2 3 2 3" xfId="23788"/>
    <cellStyle name="40% - Accent6 13 2 2 3 3" xfId="12304"/>
    <cellStyle name="40% - Accent6 13 2 2 3 4" xfId="20259"/>
    <cellStyle name="40% - Accent6 13 2 2 4" xfId="6099"/>
    <cellStyle name="40% - Accent6 13 2 2 4 2" xfId="14083"/>
    <cellStyle name="40% - Accent6 13 2 2 4 3" xfId="22031"/>
    <cellStyle name="40% - Accent6 13 2 2 5" xfId="9652"/>
    <cellStyle name="40% - Accent6 13 2 2 5 2" xfId="17610"/>
    <cellStyle name="40% - Accent6 13 2 2 5 3" xfId="25554"/>
    <cellStyle name="40% - Accent6 13 2 2 6" xfId="10548"/>
    <cellStyle name="40% - Accent6 13 2 2 7" xfId="18503"/>
    <cellStyle name="40% - Accent6 13 2 2_Exh G" xfId="3331"/>
    <cellStyle name="40% - Accent6 13 2 3" xfId="1627"/>
    <cellStyle name="40% - Accent6 13 2 3 2" xfId="5157"/>
    <cellStyle name="40% - Accent6 13 2 3 2 2" xfId="8748"/>
    <cellStyle name="40% - Accent6 13 2 3 2 2 2" xfId="16719"/>
    <cellStyle name="40% - Accent6 13 2 3 2 2 3" xfId="24665"/>
    <cellStyle name="40% - Accent6 13 2 3 2 3" xfId="13181"/>
    <cellStyle name="40% - Accent6 13 2 3 2 4" xfId="21136"/>
    <cellStyle name="40% - Accent6 13 2 3 3" xfId="6989"/>
    <cellStyle name="40% - Accent6 13 2 3 3 2" xfId="14961"/>
    <cellStyle name="40% - Accent6 13 2 3 3 3" xfId="22908"/>
    <cellStyle name="40% - Accent6 13 2 3 4" xfId="11425"/>
    <cellStyle name="40% - Accent6 13 2 3 5" xfId="19380"/>
    <cellStyle name="40% - Accent6 13 2 3_Exh G" xfId="3333"/>
    <cellStyle name="40% - Accent6 13 2 4" xfId="4278"/>
    <cellStyle name="40% - Accent6 13 2 4 2" xfId="7870"/>
    <cellStyle name="40% - Accent6 13 2 4 2 2" xfId="15841"/>
    <cellStyle name="40% - Accent6 13 2 4 2 3" xfId="23787"/>
    <cellStyle name="40% - Accent6 13 2 4 3" xfId="12303"/>
    <cellStyle name="40% - Accent6 13 2 4 4" xfId="20258"/>
    <cellStyle name="40% - Accent6 13 2 5" xfId="6098"/>
    <cellStyle name="40% - Accent6 13 2 5 2" xfId="14082"/>
    <cellStyle name="40% - Accent6 13 2 5 3" xfId="22030"/>
    <cellStyle name="40% - Accent6 13 2 6" xfId="9651"/>
    <cellStyle name="40% - Accent6 13 2 6 2" xfId="17609"/>
    <cellStyle name="40% - Accent6 13 2 6 3" xfId="25553"/>
    <cellStyle name="40% - Accent6 13 2 7" xfId="10547"/>
    <cellStyle name="40% - Accent6 13 2 8" xfId="18502"/>
    <cellStyle name="40% - Accent6 13 2_Exh G" xfId="3330"/>
    <cellStyle name="40% - Accent6 13 3" xfId="601"/>
    <cellStyle name="40% - Accent6 13 3 2" xfId="1629"/>
    <cellStyle name="40% - Accent6 13 3 2 2" xfId="5159"/>
    <cellStyle name="40% - Accent6 13 3 2 2 2" xfId="8750"/>
    <cellStyle name="40% - Accent6 13 3 2 2 2 2" xfId="16721"/>
    <cellStyle name="40% - Accent6 13 3 2 2 2 3" xfId="24667"/>
    <cellStyle name="40% - Accent6 13 3 2 2 3" xfId="13183"/>
    <cellStyle name="40% - Accent6 13 3 2 2 4" xfId="21138"/>
    <cellStyle name="40% - Accent6 13 3 2 3" xfId="6991"/>
    <cellStyle name="40% - Accent6 13 3 2 3 2" xfId="14963"/>
    <cellStyle name="40% - Accent6 13 3 2 3 3" xfId="22910"/>
    <cellStyle name="40% - Accent6 13 3 2 4" xfId="11427"/>
    <cellStyle name="40% - Accent6 13 3 2 5" xfId="19382"/>
    <cellStyle name="40% - Accent6 13 3 2_Exh G" xfId="3335"/>
    <cellStyle name="40% - Accent6 13 3 3" xfId="4280"/>
    <cellStyle name="40% - Accent6 13 3 3 2" xfId="7872"/>
    <cellStyle name="40% - Accent6 13 3 3 2 2" xfId="15843"/>
    <cellStyle name="40% - Accent6 13 3 3 2 3" xfId="23789"/>
    <cellStyle name="40% - Accent6 13 3 3 3" xfId="12305"/>
    <cellStyle name="40% - Accent6 13 3 3 4" xfId="20260"/>
    <cellStyle name="40% - Accent6 13 3 4" xfId="6100"/>
    <cellStyle name="40% - Accent6 13 3 4 2" xfId="14084"/>
    <cellStyle name="40% - Accent6 13 3 4 3" xfId="22032"/>
    <cellStyle name="40% - Accent6 13 3 5" xfId="9653"/>
    <cellStyle name="40% - Accent6 13 3 5 2" xfId="17611"/>
    <cellStyle name="40% - Accent6 13 3 5 3" xfId="25555"/>
    <cellStyle name="40% - Accent6 13 3 6" xfId="10549"/>
    <cellStyle name="40% - Accent6 13 3 7" xfId="18504"/>
    <cellStyle name="40% - Accent6 13 3_Exh G" xfId="3334"/>
    <cellStyle name="40% - Accent6 13 4" xfId="1626"/>
    <cellStyle name="40% - Accent6 13 4 2" xfId="5156"/>
    <cellStyle name="40% - Accent6 13 4 2 2" xfId="8747"/>
    <cellStyle name="40% - Accent6 13 4 2 2 2" xfId="16718"/>
    <cellStyle name="40% - Accent6 13 4 2 2 3" xfId="24664"/>
    <cellStyle name="40% - Accent6 13 4 2 3" xfId="13180"/>
    <cellStyle name="40% - Accent6 13 4 2 4" xfId="21135"/>
    <cellStyle name="40% - Accent6 13 4 3" xfId="6988"/>
    <cellStyle name="40% - Accent6 13 4 3 2" xfId="14960"/>
    <cellStyle name="40% - Accent6 13 4 3 3" xfId="22907"/>
    <cellStyle name="40% - Accent6 13 4 4" xfId="11424"/>
    <cellStyle name="40% - Accent6 13 4 5" xfId="19379"/>
    <cellStyle name="40% - Accent6 13 4_Exh G" xfId="3336"/>
    <cellStyle name="40% - Accent6 13 5" xfId="4277"/>
    <cellStyle name="40% - Accent6 13 5 2" xfId="7869"/>
    <cellStyle name="40% - Accent6 13 5 2 2" xfId="15840"/>
    <cellStyle name="40% - Accent6 13 5 2 3" xfId="23786"/>
    <cellStyle name="40% - Accent6 13 5 3" xfId="12302"/>
    <cellStyle name="40% - Accent6 13 5 4" xfId="20257"/>
    <cellStyle name="40% - Accent6 13 6" xfId="6097"/>
    <cellStyle name="40% - Accent6 13 6 2" xfId="14081"/>
    <cellStyle name="40% - Accent6 13 6 3" xfId="22029"/>
    <cellStyle name="40% - Accent6 13 7" xfId="9650"/>
    <cellStyle name="40% - Accent6 13 7 2" xfId="17608"/>
    <cellStyle name="40% - Accent6 13 7 3" xfId="25552"/>
    <cellStyle name="40% - Accent6 13 8" xfId="10546"/>
    <cellStyle name="40% - Accent6 13 9" xfId="18501"/>
    <cellStyle name="40% - Accent6 13_Exh G" xfId="3329"/>
    <cellStyle name="40% - Accent6 14" xfId="602"/>
    <cellStyle name="40% - Accent6 14 2" xfId="603"/>
    <cellStyle name="40% - Accent6 14 2 2" xfId="1631"/>
    <cellStyle name="40% - Accent6 14 2 2 2" xfId="5161"/>
    <cellStyle name="40% - Accent6 14 2 2 2 2" xfId="8752"/>
    <cellStyle name="40% - Accent6 14 2 2 2 2 2" xfId="16723"/>
    <cellStyle name="40% - Accent6 14 2 2 2 2 3" xfId="24669"/>
    <cellStyle name="40% - Accent6 14 2 2 2 3" xfId="13185"/>
    <cellStyle name="40% - Accent6 14 2 2 2 4" xfId="21140"/>
    <cellStyle name="40% - Accent6 14 2 2 3" xfId="6993"/>
    <cellStyle name="40% - Accent6 14 2 2 3 2" xfId="14965"/>
    <cellStyle name="40% - Accent6 14 2 2 3 3" xfId="22912"/>
    <cellStyle name="40% - Accent6 14 2 2 4" xfId="11429"/>
    <cellStyle name="40% - Accent6 14 2 2 5" xfId="19384"/>
    <cellStyle name="40% - Accent6 14 2 2_Exh G" xfId="3339"/>
    <cellStyle name="40% - Accent6 14 2 3" xfId="4282"/>
    <cellStyle name="40% - Accent6 14 2 3 2" xfId="7874"/>
    <cellStyle name="40% - Accent6 14 2 3 2 2" xfId="15845"/>
    <cellStyle name="40% - Accent6 14 2 3 2 3" xfId="23791"/>
    <cellStyle name="40% - Accent6 14 2 3 3" xfId="12307"/>
    <cellStyle name="40% - Accent6 14 2 3 4" xfId="20262"/>
    <cellStyle name="40% - Accent6 14 2 4" xfId="6102"/>
    <cellStyle name="40% - Accent6 14 2 4 2" xfId="14086"/>
    <cellStyle name="40% - Accent6 14 2 4 3" xfId="22034"/>
    <cellStyle name="40% - Accent6 14 2 5" xfId="9655"/>
    <cellStyle name="40% - Accent6 14 2 5 2" xfId="17613"/>
    <cellStyle name="40% - Accent6 14 2 5 3" xfId="25557"/>
    <cellStyle name="40% - Accent6 14 2 6" xfId="10551"/>
    <cellStyle name="40% - Accent6 14 2 7" xfId="18506"/>
    <cellStyle name="40% - Accent6 14 2_Exh G" xfId="3338"/>
    <cellStyle name="40% - Accent6 14 3" xfId="1630"/>
    <cellStyle name="40% - Accent6 14 3 2" xfId="5160"/>
    <cellStyle name="40% - Accent6 14 3 2 2" xfId="8751"/>
    <cellStyle name="40% - Accent6 14 3 2 2 2" xfId="16722"/>
    <cellStyle name="40% - Accent6 14 3 2 2 3" xfId="24668"/>
    <cellStyle name="40% - Accent6 14 3 2 3" xfId="13184"/>
    <cellStyle name="40% - Accent6 14 3 2 4" xfId="21139"/>
    <cellStyle name="40% - Accent6 14 3 3" xfId="6992"/>
    <cellStyle name="40% - Accent6 14 3 3 2" xfId="14964"/>
    <cellStyle name="40% - Accent6 14 3 3 3" xfId="22911"/>
    <cellStyle name="40% - Accent6 14 3 4" xfId="11428"/>
    <cellStyle name="40% - Accent6 14 3 5" xfId="19383"/>
    <cellStyle name="40% - Accent6 14 3_Exh G" xfId="3340"/>
    <cellStyle name="40% - Accent6 14 4" xfId="4281"/>
    <cellStyle name="40% - Accent6 14 4 2" xfId="7873"/>
    <cellStyle name="40% - Accent6 14 4 2 2" xfId="15844"/>
    <cellStyle name="40% - Accent6 14 4 2 3" xfId="23790"/>
    <cellStyle name="40% - Accent6 14 4 3" xfId="12306"/>
    <cellStyle name="40% - Accent6 14 4 4" xfId="20261"/>
    <cellStyle name="40% - Accent6 14 5" xfId="6101"/>
    <cellStyle name="40% - Accent6 14 5 2" xfId="14085"/>
    <cellStyle name="40% - Accent6 14 5 3" xfId="22033"/>
    <cellStyle name="40% - Accent6 14 6" xfId="9654"/>
    <cellStyle name="40% - Accent6 14 6 2" xfId="17612"/>
    <cellStyle name="40% - Accent6 14 6 3" xfId="25556"/>
    <cellStyle name="40% - Accent6 14 7" xfId="10550"/>
    <cellStyle name="40% - Accent6 14 8" xfId="18505"/>
    <cellStyle name="40% - Accent6 14_Exh G" xfId="3337"/>
    <cellStyle name="40% - Accent6 15" xfId="604"/>
    <cellStyle name="40% - Accent6 15 2" xfId="1632"/>
    <cellStyle name="40% - Accent6 15 2 2" xfId="5162"/>
    <cellStyle name="40% - Accent6 15 2 2 2" xfId="8753"/>
    <cellStyle name="40% - Accent6 15 2 2 2 2" xfId="16724"/>
    <cellStyle name="40% - Accent6 15 2 2 2 3" xfId="24670"/>
    <cellStyle name="40% - Accent6 15 2 2 3" xfId="13186"/>
    <cellStyle name="40% - Accent6 15 2 2 4" xfId="21141"/>
    <cellStyle name="40% - Accent6 15 2 3" xfId="6994"/>
    <cellStyle name="40% - Accent6 15 2 3 2" xfId="14966"/>
    <cellStyle name="40% - Accent6 15 2 3 3" xfId="22913"/>
    <cellStyle name="40% - Accent6 15 2 4" xfId="11430"/>
    <cellStyle name="40% - Accent6 15 2 5" xfId="19385"/>
    <cellStyle name="40% - Accent6 15 2_Exh G" xfId="3342"/>
    <cellStyle name="40% - Accent6 15 3" xfId="4283"/>
    <cellStyle name="40% - Accent6 15 3 2" xfId="7875"/>
    <cellStyle name="40% - Accent6 15 3 2 2" xfId="15846"/>
    <cellStyle name="40% - Accent6 15 3 2 3" xfId="23792"/>
    <cellStyle name="40% - Accent6 15 3 3" xfId="12308"/>
    <cellStyle name="40% - Accent6 15 3 4" xfId="20263"/>
    <cellStyle name="40% - Accent6 15 4" xfId="6103"/>
    <cellStyle name="40% - Accent6 15 4 2" xfId="14087"/>
    <cellStyle name="40% - Accent6 15 4 3" xfId="22035"/>
    <cellStyle name="40% - Accent6 15 5" xfId="9656"/>
    <cellStyle name="40% - Accent6 15 5 2" xfId="17614"/>
    <cellStyle name="40% - Accent6 15 5 3" xfId="25558"/>
    <cellStyle name="40% - Accent6 15 6" xfId="10552"/>
    <cellStyle name="40% - Accent6 15 7" xfId="18507"/>
    <cellStyle name="40% - Accent6 15_Exh G" xfId="3341"/>
    <cellStyle name="40% - Accent6 16" xfId="854"/>
    <cellStyle name="40% - Accent6 16 2" xfId="1793"/>
    <cellStyle name="40% - Accent6 16 2 2" xfId="5314"/>
    <cellStyle name="40% - Accent6 16 2 2 2" xfId="8905"/>
    <cellStyle name="40% - Accent6 16 2 2 2 2" xfId="16876"/>
    <cellStyle name="40% - Accent6 16 2 2 2 3" xfId="24822"/>
    <cellStyle name="40% - Accent6 16 2 2 3" xfId="13338"/>
    <cellStyle name="40% - Accent6 16 2 2 4" xfId="21293"/>
    <cellStyle name="40% - Accent6 16 2 3" xfId="7146"/>
    <cellStyle name="40% - Accent6 16 2 3 2" xfId="15118"/>
    <cellStyle name="40% - Accent6 16 2 3 3" xfId="23065"/>
    <cellStyle name="40% - Accent6 16 2 4" xfId="11582"/>
    <cellStyle name="40% - Accent6 16 2 5" xfId="19537"/>
    <cellStyle name="40% - Accent6 16 2_Exh G" xfId="3344"/>
    <cellStyle name="40% - Accent6 16 3" xfId="4435"/>
    <cellStyle name="40% - Accent6 16 3 2" xfId="8027"/>
    <cellStyle name="40% - Accent6 16 3 2 2" xfId="15998"/>
    <cellStyle name="40% - Accent6 16 3 2 3" xfId="23944"/>
    <cellStyle name="40% - Accent6 16 3 3" xfId="12460"/>
    <cellStyle name="40% - Accent6 16 3 4" xfId="20415"/>
    <cellStyle name="40% - Accent6 16 4" xfId="6265"/>
    <cellStyle name="40% - Accent6 16 4 2" xfId="14240"/>
    <cellStyle name="40% - Accent6 16 4 3" xfId="22187"/>
    <cellStyle name="40% - Accent6 16 5" xfId="9808"/>
    <cellStyle name="40% - Accent6 16 5 2" xfId="17766"/>
    <cellStyle name="40% - Accent6 16 5 3" xfId="25710"/>
    <cellStyle name="40% - Accent6 16 6" xfId="10704"/>
    <cellStyle name="40% - Accent6 16 7" xfId="18659"/>
    <cellStyle name="40% - Accent6 16_Exh G" xfId="3343"/>
    <cellStyle name="40% - Accent6 2" xfId="605"/>
    <cellStyle name="40% - Accent6 2 10" xfId="18508"/>
    <cellStyle name="40% - Accent6 2 2" xfId="606"/>
    <cellStyle name="40% - Accent6 2 2 2" xfId="607"/>
    <cellStyle name="40% - Accent6 2 2 2 2" xfId="1635"/>
    <cellStyle name="40% - Accent6 2 2 2 2 2" xfId="5165"/>
    <cellStyle name="40% - Accent6 2 2 2 2 2 2" xfId="8756"/>
    <cellStyle name="40% - Accent6 2 2 2 2 2 2 2" xfId="16727"/>
    <cellStyle name="40% - Accent6 2 2 2 2 2 2 3" xfId="24673"/>
    <cellStyle name="40% - Accent6 2 2 2 2 2 3" xfId="13189"/>
    <cellStyle name="40% - Accent6 2 2 2 2 2 4" xfId="21144"/>
    <cellStyle name="40% - Accent6 2 2 2 2 3" xfId="6997"/>
    <cellStyle name="40% - Accent6 2 2 2 2 3 2" xfId="14969"/>
    <cellStyle name="40% - Accent6 2 2 2 2 3 3" xfId="22916"/>
    <cellStyle name="40% - Accent6 2 2 2 2 4" xfId="11433"/>
    <cellStyle name="40% - Accent6 2 2 2 2 5" xfId="19388"/>
    <cellStyle name="40% - Accent6 2 2 2 2_Exh G" xfId="3348"/>
    <cellStyle name="40% - Accent6 2 2 2 3" xfId="4286"/>
    <cellStyle name="40% - Accent6 2 2 2 3 2" xfId="7878"/>
    <cellStyle name="40% - Accent6 2 2 2 3 2 2" xfId="15849"/>
    <cellStyle name="40% - Accent6 2 2 2 3 2 3" xfId="23795"/>
    <cellStyle name="40% - Accent6 2 2 2 3 3" xfId="12311"/>
    <cellStyle name="40% - Accent6 2 2 2 3 4" xfId="20266"/>
    <cellStyle name="40% - Accent6 2 2 2 4" xfId="6106"/>
    <cellStyle name="40% - Accent6 2 2 2 4 2" xfId="14090"/>
    <cellStyle name="40% - Accent6 2 2 2 4 3" xfId="22038"/>
    <cellStyle name="40% - Accent6 2 2 2 5" xfId="9659"/>
    <cellStyle name="40% - Accent6 2 2 2 5 2" xfId="17617"/>
    <cellStyle name="40% - Accent6 2 2 2 5 3" xfId="25561"/>
    <cellStyle name="40% - Accent6 2 2 2 6" xfId="10555"/>
    <cellStyle name="40% - Accent6 2 2 2 7" xfId="18510"/>
    <cellStyle name="40% - Accent6 2 2 2_Exh G" xfId="3347"/>
    <cellStyle name="40% - Accent6 2 2 3" xfId="996"/>
    <cellStyle name="40% - Accent6 2 2 3 2" xfId="1910"/>
    <cellStyle name="40% - Accent6 2 2 3 2 2" xfId="5428"/>
    <cellStyle name="40% - Accent6 2 2 3 2 2 2" xfId="9019"/>
    <cellStyle name="40% - Accent6 2 2 3 2 2 2 2" xfId="16990"/>
    <cellStyle name="40% - Accent6 2 2 3 2 2 2 3" xfId="24936"/>
    <cellStyle name="40% - Accent6 2 2 3 2 2 3" xfId="13452"/>
    <cellStyle name="40% - Accent6 2 2 3 2 2 4" xfId="21407"/>
    <cellStyle name="40% - Accent6 2 2 3 2 3" xfId="7260"/>
    <cellStyle name="40% - Accent6 2 2 3 2 3 2" xfId="15232"/>
    <cellStyle name="40% - Accent6 2 2 3 2 3 3" xfId="23179"/>
    <cellStyle name="40% - Accent6 2 2 3 2 4" xfId="11696"/>
    <cellStyle name="40% - Accent6 2 2 3 2 5" xfId="19651"/>
    <cellStyle name="40% - Accent6 2 2 3 2_Exh G" xfId="3350"/>
    <cellStyle name="40% - Accent6 2 2 3 3" xfId="4549"/>
    <cellStyle name="40% - Accent6 2 2 3 3 2" xfId="8141"/>
    <cellStyle name="40% - Accent6 2 2 3 3 2 2" xfId="16112"/>
    <cellStyle name="40% - Accent6 2 2 3 3 2 3" xfId="24058"/>
    <cellStyle name="40% - Accent6 2 2 3 3 3" xfId="12574"/>
    <cellStyle name="40% - Accent6 2 2 3 3 4" xfId="20529"/>
    <cellStyle name="40% - Accent6 2 2 3 4" xfId="6379"/>
    <cellStyle name="40% - Accent6 2 2 3 4 2" xfId="14354"/>
    <cellStyle name="40% - Accent6 2 2 3 4 3" xfId="22301"/>
    <cellStyle name="40% - Accent6 2 2 3 5" xfId="9922"/>
    <cellStyle name="40% - Accent6 2 2 3 5 2" xfId="17880"/>
    <cellStyle name="40% - Accent6 2 2 3 5 3" xfId="25824"/>
    <cellStyle name="40% - Accent6 2 2 3 6" xfId="10818"/>
    <cellStyle name="40% - Accent6 2 2 3 7" xfId="18773"/>
    <cellStyle name="40% - Accent6 2 2 3_Exh G" xfId="3349"/>
    <cellStyle name="40% - Accent6 2 2 4" xfId="1634"/>
    <cellStyle name="40% - Accent6 2 2 4 2" xfId="5164"/>
    <cellStyle name="40% - Accent6 2 2 4 2 2" xfId="8755"/>
    <cellStyle name="40% - Accent6 2 2 4 2 2 2" xfId="16726"/>
    <cellStyle name="40% - Accent6 2 2 4 2 2 3" xfId="24672"/>
    <cellStyle name="40% - Accent6 2 2 4 2 3" xfId="13188"/>
    <cellStyle name="40% - Accent6 2 2 4 2 4" xfId="21143"/>
    <cellStyle name="40% - Accent6 2 2 4 3" xfId="6996"/>
    <cellStyle name="40% - Accent6 2 2 4 3 2" xfId="14968"/>
    <cellStyle name="40% - Accent6 2 2 4 3 3" xfId="22915"/>
    <cellStyle name="40% - Accent6 2 2 4 4" xfId="11432"/>
    <cellStyle name="40% - Accent6 2 2 4 5" xfId="19387"/>
    <cellStyle name="40% - Accent6 2 2 4_Exh G" xfId="3351"/>
    <cellStyle name="40% - Accent6 2 2 5" xfId="4285"/>
    <cellStyle name="40% - Accent6 2 2 5 2" xfId="7877"/>
    <cellStyle name="40% - Accent6 2 2 5 2 2" xfId="15848"/>
    <cellStyle name="40% - Accent6 2 2 5 2 3" xfId="23794"/>
    <cellStyle name="40% - Accent6 2 2 5 3" xfId="12310"/>
    <cellStyle name="40% - Accent6 2 2 5 4" xfId="20265"/>
    <cellStyle name="40% - Accent6 2 2 6" xfId="6105"/>
    <cellStyle name="40% - Accent6 2 2 6 2" xfId="14089"/>
    <cellStyle name="40% - Accent6 2 2 6 3" xfId="22037"/>
    <cellStyle name="40% - Accent6 2 2 7" xfId="9658"/>
    <cellStyle name="40% - Accent6 2 2 7 2" xfId="17616"/>
    <cellStyle name="40% - Accent6 2 2 7 3" xfId="25560"/>
    <cellStyle name="40% - Accent6 2 2 8" xfId="10554"/>
    <cellStyle name="40% - Accent6 2 2 9" xfId="18509"/>
    <cellStyle name="40% - Accent6 2 2_Exh G" xfId="3346"/>
    <cellStyle name="40% - Accent6 2 3" xfId="608"/>
    <cellStyle name="40% - Accent6 2 3 2" xfId="1636"/>
    <cellStyle name="40% - Accent6 2 3 2 2" xfId="5166"/>
    <cellStyle name="40% - Accent6 2 3 2 2 2" xfId="8757"/>
    <cellStyle name="40% - Accent6 2 3 2 2 2 2" xfId="16728"/>
    <cellStyle name="40% - Accent6 2 3 2 2 2 3" xfId="24674"/>
    <cellStyle name="40% - Accent6 2 3 2 2 3" xfId="13190"/>
    <cellStyle name="40% - Accent6 2 3 2 2 4" xfId="21145"/>
    <cellStyle name="40% - Accent6 2 3 2 3" xfId="6998"/>
    <cellStyle name="40% - Accent6 2 3 2 3 2" xfId="14970"/>
    <cellStyle name="40% - Accent6 2 3 2 3 3" xfId="22917"/>
    <cellStyle name="40% - Accent6 2 3 2 4" xfId="11434"/>
    <cellStyle name="40% - Accent6 2 3 2 5" xfId="19389"/>
    <cellStyle name="40% - Accent6 2 3 2_Exh G" xfId="3353"/>
    <cellStyle name="40% - Accent6 2 3 3" xfId="4287"/>
    <cellStyle name="40% - Accent6 2 3 3 2" xfId="7879"/>
    <cellStyle name="40% - Accent6 2 3 3 2 2" xfId="15850"/>
    <cellStyle name="40% - Accent6 2 3 3 2 3" xfId="23796"/>
    <cellStyle name="40% - Accent6 2 3 3 3" xfId="12312"/>
    <cellStyle name="40% - Accent6 2 3 3 4" xfId="20267"/>
    <cellStyle name="40% - Accent6 2 3 4" xfId="6107"/>
    <cellStyle name="40% - Accent6 2 3 4 2" xfId="14091"/>
    <cellStyle name="40% - Accent6 2 3 4 3" xfId="22039"/>
    <cellStyle name="40% - Accent6 2 3 5" xfId="9660"/>
    <cellStyle name="40% - Accent6 2 3 5 2" xfId="17618"/>
    <cellStyle name="40% - Accent6 2 3 5 3" xfId="25562"/>
    <cellStyle name="40% - Accent6 2 3 6" xfId="10556"/>
    <cellStyle name="40% - Accent6 2 3 7" xfId="18511"/>
    <cellStyle name="40% - Accent6 2 3_Exh G" xfId="3352"/>
    <cellStyle name="40% - Accent6 2 4" xfId="995"/>
    <cellStyle name="40% - Accent6 2 4 2" xfId="1909"/>
    <cellStyle name="40% - Accent6 2 4 2 2" xfId="5427"/>
    <cellStyle name="40% - Accent6 2 4 2 2 2" xfId="9018"/>
    <cellStyle name="40% - Accent6 2 4 2 2 2 2" xfId="16989"/>
    <cellStyle name="40% - Accent6 2 4 2 2 2 3" xfId="24935"/>
    <cellStyle name="40% - Accent6 2 4 2 2 3" xfId="13451"/>
    <cellStyle name="40% - Accent6 2 4 2 2 4" xfId="21406"/>
    <cellStyle name="40% - Accent6 2 4 2 3" xfId="7259"/>
    <cellStyle name="40% - Accent6 2 4 2 3 2" xfId="15231"/>
    <cellStyle name="40% - Accent6 2 4 2 3 3" xfId="23178"/>
    <cellStyle name="40% - Accent6 2 4 2 4" xfId="11695"/>
    <cellStyle name="40% - Accent6 2 4 2 5" xfId="19650"/>
    <cellStyle name="40% - Accent6 2 4 2_Exh G" xfId="3355"/>
    <cellStyle name="40% - Accent6 2 4 3" xfId="4548"/>
    <cellStyle name="40% - Accent6 2 4 3 2" xfId="8140"/>
    <cellStyle name="40% - Accent6 2 4 3 2 2" xfId="16111"/>
    <cellStyle name="40% - Accent6 2 4 3 2 3" xfId="24057"/>
    <cellStyle name="40% - Accent6 2 4 3 3" xfId="12573"/>
    <cellStyle name="40% - Accent6 2 4 3 4" xfId="20528"/>
    <cellStyle name="40% - Accent6 2 4 4" xfId="6378"/>
    <cellStyle name="40% - Accent6 2 4 4 2" xfId="14353"/>
    <cellStyle name="40% - Accent6 2 4 4 3" xfId="22300"/>
    <cellStyle name="40% - Accent6 2 4 5" xfId="9921"/>
    <cellStyle name="40% - Accent6 2 4 5 2" xfId="17879"/>
    <cellStyle name="40% - Accent6 2 4 5 3" xfId="25823"/>
    <cellStyle name="40% - Accent6 2 4 6" xfId="10817"/>
    <cellStyle name="40% - Accent6 2 4 7" xfId="18772"/>
    <cellStyle name="40% - Accent6 2 4_Exh G" xfId="3354"/>
    <cellStyle name="40% - Accent6 2 5" xfId="1633"/>
    <cellStyle name="40% - Accent6 2 5 2" xfId="5163"/>
    <cellStyle name="40% - Accent6 2 5 2 2" xfId="8754"/>
    <cellStyle name="40% - Accent6 2 5 2 2 2" xfId="16725"/>
    <cellStyle name="40% - Accent6 2 5 2 2 3" xfId="24671"/>
    <cellStyle name="40% - Accent6 2 5 2 3" xfId="13187"/>
    <cellStyle name="40% - Accent6 2 5 2 4" xfId="21142"/>
    <cellStyle name="40% - Accent6 2 5 3" xfId="6995"/>
    <cellStyle name="40% - Accent6 2 5 3 2" xfId="14967"/>
    <cellStyle name="40% - Accent6 2 5 3 3" xfId="22914"/>
    <cellStyle name="40% - Accent6 2 5 4" xfId="11431"/>
    <cellStyle name="40% - Accent6 2 5 5" xfId="19386"/>
    <cellStyle name="40% - Accent6 2 5_Exh G" xfId="3356"/>
    <cellStyle name="40% - Accent6 2 6" xfId="4284"/>
    <cellStyle name="40% - Accent6 2 6 2" xfId="7876"/>
    <cellStyle name="40% - Accent6 2 6 2 2" xfId="15847"/>
    <cellStyle name="40% - Accent6 2 6 2 3" xfId="23793"/>
    <cellStyle name="40% - Accent6 2 6 3" xfId="12309"/>
    <cellStyle name="40% - Accent6 2 6 4" xfId="20264"/>
    <cellStyle name="40% - Accent6 2 7" xfId="6104"/>
    <cellStyle name="40% - Accent6 2 7 2" xfId="14088"/>
    <cellStyle name="40% - Accent6 2 7 3" xfId="22036"/>
    <cellStyle name="40% - Accent6 2 8" xfId="9657"/>
    <cellStyle name="40% - Accent6 2 8 2" xfId="17615"/>
    <cellStyle name="40% - Accent6 2 8 3" xfId="25559"/>
    <cellStyle name="40% - Accent6 2 9" xfId="10553"/>
    <cellStyle name="40% - Accent6 2_Exh G" xfId="3345"/>
    <cellStyle name="40% - Accent6 3" xfId="609"/>
    <cellStyle name="40% - Accent6 3 10" xfId="18512"/>
    <cellStyle name="40% - Accent6 3 2" xfId="610"/>
    <cellStyle name="40% - Accent6 3 2 2" xfId="611"/>
    <cellStyle name="40% - Accent6 3 2 2 2" xfId="1639"/>
    <cellStyle name="40% - Accent6 3 2 2 2 2" xfId="5169"/>
    <cellStyle name="40% - Accent6 3 2 2 2 2 2" xfId="8760"/>
    <cellStyle name="40% - Accent6 3 2 2 2 2 2 2" xfId="16731"/>
    <cellStyle name="40% - Accent6 3 2 2 2 2 2 3" xfId="24677"/>
    <cellStyle name="40% - Accent6 3 2 2 2 2 3" xfId="13193"/>
    <cellStyle name="40% - Accent6 3 2 2 2 2 4" xfId="21148"/>
    <cellStyle name="40% - Accent6 3 2 2 2 3" xfId="7001"/>
    <cellStyle name="40% - Accent6 3 2 2 2 3 2" xfId="14973"/>
    <cellStyle name="40% - Accent6 3 2 2 2 3 3" xfId="22920"/>
    <cellStyle name="40% - Accent6 3 2 2 2 4" xfId="11437"/>
    <cellStyle name="40% - Accent6 3 2 2 2 5" xfId="19392"/>
    <cellStyle name="40% - Accent6 3 2 2 2_Exh G" xfId="3360"/>
    <cellStyle name="40% - Accent6 3 2 2 3" xfId="4290"/>
    <cellStyle name="40% - Accent6 3 2 2 3 2" xfId="7882"/>
    <cellStyle name="40% - Accent6 3 2 2 3 2 2" xfId="15853"/>
    <cellStyle name="40% - Accent6 3 2 2 3 2 3" xfId="23799"/>
    <cellStyle name="40% - Accent6 3 2 2 3 3" xfId="12315"/>
    <cellStyle name="40% - Accent6 3 2 2 3 4" xfId="20270"/>
    <cellStyle name="40% - Accent6 3 2 2 4" xfId="6110"/>
    <cellStyle name="40% - Accent6 3 2 2 4 2" xfId="14094"/>
    <cellStyle name="40% - Accent6 3 2 2 4 3" xfId="22042"/>
    <cellStyle name="40% - Accent6 3 2 2 5" xfId="9663"/>
    <cellStyle name="40% - Accent6 3 2 2 5 2" xfId="17621"/>
    <cellStyle name="40% - Accent6 3 2 2 5 3" xfId="25565"/>
    <cellStyle name="40% - Accent6 3 2 2 6" xfId="10559"/>
    <cellStyle name="40% - Accent6 3 2 2 7" xfId="18514"/>
    <cellStyle name="40% - Accent6 3 2 2_Exh G" xfId="3359"/>
    <cellStyle name="40% - Accent6 3 2 3" xfId="998"/>
    <cellStyle name="40% - Accent6 3 2 3 2" xfId="1912"/>
    <cellStyle name="40% - Accent6 3 2 3 2 2" xfId="5430"/>
    <cellStyle name="40% - Accent6 3 2 3 2 2 2" xfId="9021"/>
    <cellStyle name="40% - Accent6 3 2 3 2 2 2 2" xfId="16992"/>
    <cellStyle name="40% - Accent6 3 2 3 2 2 2 3" xfId="24938"/>
    <cellStyle name="40% - Accent6 3 2 3 2 2 3" xfId="13454"/>
    <cellStyle name="40% - Accent6 3 2 3 2 2 4" xfId="21409"/>
    <cellStyle name="40% - Accent6 3 2 3 2 3" xfId="7262"/>
    <cellStyle name="40% - Accent6 3 2 3 2 3 2" xfId="15234"/>
    <cellStyle name="40% - Accent6 3 2 3 2 3 3" xfId="23181"/>
    <cellStyle name="40% - Accent6 3 2 3 2 4" xfId="11698"/>
    <cellStyle name="40% - Accent6 3 2 3 2 5" xfId="19653"/>
    <cellStyle name="40% - Accent6 3 2 3 2_Exh G" xfId="3362"/>
    <cellStyle name="40% - Accent6 3 2 3 3" xfId="4551"/>
    <cellStyle name="40% - Accent6 3 2 3 3 2" xfId="8143"/>
    <cellStyle name="40% - Accent6 3 2 3 3 2 2" xfId="16114"/>
    <cellStyle name="40% - Accent6 3 2 3 3 2 3" xfId="24060"/>
    <cellStyle name="40% - Accent6 3 2 3 3 3" xfId="12576"/>
    <cellStyle name="40% - Accent6 3 2 3 3 4" xfId="20531"/>
    <cellStyle name="40% - Accent6 3 2 3 4" xfId="6381"/>
    <cellStyle name="40% - Accent6 3 2 3 4 2" xfId="14356"/>
    <cellStyle name="40% - Accent6 3 2 3 4 3" xfId="22303"/>
    <cellStyle name="40% - Accent6 3 2 3 5" xfId="9924"/>
    <cellStyle name="40% - Accent6 3 2 3 5 2" xfId="17882"/>
    <cellStyle name="40% - Accent6 3 2 3 5 3" xfId="25826"/>
    <cellStyle name="40% - Accent6 3 2 3 6" xfId="10820"/>
    <cellStyle name="40% - Accent6 3 2 3 7" xfId="18775"/>
    <cellStyle name="40% - Accent6 3 2 3_Exh G" xfId="3361"/>
    <cellStyle name="40% - Accent6 3 2 4" xfId="1638"/>
    <cellStyle name="40% - Accent6 3 2 4 2" xfId="5168"/>
    <cellStyle name="40% - Accent6 3 2 4 2 2" xfId="8759"/>
    <cellStyle name="40% - Accent6 3 2 4 2 2 2" xfId="16730"/>
    <cellStyle name="40% - Accent6 3 2 4 2 2 3" xfId="24676"/>
    <cellStyle name="40% - Accent6 3 2 4 2 3" xfId="13192"/>
    <cellStyle name="40% - Accent6 3 2 4 2 4" xfId="21147"/>
    <cellStyle name="40% - Accent6 3 2 4 3" xfId="7000"/>
    <cellStyle name="40% - Accent6 3 2 4 3 2" xfId="14972"/>
    <cellStyle name="40% - Accent6 3 2 4 3 3" xfId="22919"/>
    <cellStyle name="40% - Accent6 3 2 4 4" xfId="11436"/>
    <cellStyle name="40% - Accent6 3 2 4 5" xfId="19391"/>
    <cellStyle name="40% - Accent6 3 2 4_Exh G" xfId="3363"/>
    <cellStyle name="40% - Accent6 3 2 5" xfId="4289"/>
    <cellStyle name="40% - Accent6 3 2 5 2" xfId="7881"/>
    <cellStyle name="40% - Accent6 3 2 5 2 2" xfId="15852"/>
    <cellStyle name="40% - Accent6 3 2 5 2 3" xfId="23798"/>
    <cellStyle name="40% - Accent6 3 2 5 3" xfId="12314"/>
    <cellStyle name="40% - Accent6 3 2 5 4" xfId="20269"/>
    <cellStyle name="40% - Accent6 3 2 6" xfId="6109"/>
    <cellStyle name="40% - Accent6 3 2 6 2" xfId="14093"/>
    <cellStyle name="40% - Accent6 3 2 6 3" xfId="22041"/>
    <cellStyle name="40% - Accent6 3 2 7" xfId="9662"/>
    <cellStyle name="40% - Accent6 3 2 7 2" xfId="17620"/>
    <cellStyle name="40% - Accent6 3 2 7 3" xfId="25564"/>
    <cellStyle name="40% - Accent6 3 2 8" xfId="10558"/>
    <cellStyle name="40% - Accent6 3 2 9" xfId="18513"/>
    <cellStyle name="40% - Accent6 3 2_Exh G" xfId="3358"/>
    <cellStyle name="40% - Accent6 3 3" xfId="612"/>
    <cellStyle name="40% - Accent6 3 3 2" xfId="1640"/>
    <cellStyle name="40% - Accent6 3 3 2 2" xfId="5170"/>
    <cellStyle name="40% - Accent6 3 3 2 2 2" xfId="8761"/>
    <cellStyle name="40% - Accent6 3 3 2 2 2 2" xfId="16732"/>
    <cellStyle name="40% - Accent6 3 3 2 2 2 3" xfId="24678"/>
    <cellStyle name="40% - Accent6 3 3 2 2 3" xfId="13194"/>
    <cellStyle name="40% - Accent6 3 3 2 2 4" xfId="21149"/>
    <cellStyle name="40% - Accent6 3 3 2 3" xfId="7002"/>
    <cellStyle name="40% - Accent6 3 3 2 3 2" xfId="14974"/>
    <cellStyle name="40% - Accent6 3 3 2 3 3" xfId="22921"/>
    <cellStyle name="40% - Accent6 3 3 2 4" xfId="11438"/>
    <cellStyle name="40% - Accent6 3 3 2 5" xfId="19393"/>
    <cellStyle name="40% - Accent6 3 3 2_Exh G" xfId="3365"/>
    <cellStyle name="40% - Accent6 3 3 3" xfId="4291"/>
    <cellStyle name="40% - Accent6 3 3 3 2" xfId="7883"/>
    <cellStyle name="40% - Accent6 3 3 3 2 2" xfId="15854"/>
    <cellStyle name="40% - Accent6 3 3 3 2 3" xfId="23800"/>
    <cellStyle name="40% - Accent6 3 3 3 3" xfId="12316"/>
    <cellStyle name="40% - Accent6 3 3 3 4" xfId="20271"/>
    <cellStyle name="40% - Accent6 3 3 4" xfId="6111"/>
    <cellStyle name="40% - Accent6 3 3 4 2" xfId="14095"/>
    <cellStyle name="40% - Accent6 3 3 4 3" xfId="22043"/>
    <cellStyle name="40% - Accent6 3 3 5" xfId="9664"/>
    <cellStyle name="40% - Accent6 3 3 5 2" xfId="17622"/>
    <cellStyle name="40% - Accent6 3 3 5 3" xfId="25566"/>
    <cellStyle name="40% - Accent6 3 3 6" xfId="10560"/>
    <cellStyle name="40% - Accent6 3 3 7" xfId="18515"/>
    <cellStyle name="40% - Accent6 3 3_Exh G" xfId="3364"/>
    <cellStyle name="40% - Accent6 3 4" xfId="997"/>
    <cellStyle name="40% - Accent6 3 4 2" xfId="1911"/>
    <cellStyle name="40% - Accent6 3 4 2 2" xfId="5429"/>
    <cellStyle name="40% - Accent6 3 4 2 2 2" xfId="9020"/>
    <cellStyle name="40% - Accent6 3 4 2 2 2 2" xfId="16991"/>
    <cellStyle name="40% - Accent6 3 4 2 2 2 3" xfId="24937"/>
    <cellStyle name="40% - Accent6 3 4 2 2 3" xfId="13453"/>
    <cellStyle name="40% - Accent6 3 4 2 2 4" xfId="21408"/>
    <cellStyle name="40% - Accent6 3 4 2 3" xfId="7261"/>
    <cellStyle name="40% - Accent6 3 4 2 3 2" xfId="15233"/>
    <cellStyle name="40% - Accent6 3 4 2 3 3" xfId="23180"/>
    <cellStyle name="40% - Accent6 3 4 2 4" xfId="11697"/>
    <cellStyle name="40% - Accent6 3 4 2 5" xfId="19652"/>
    <cellStyle name="40% - Accent6 3 4 2_Exh G" xfId="3367"/>
    <cellStyle name="40% - Accent6 3 4 3" xfId="4550"/>
    <cellStyle name="40% - Accent6 3 4 3 2" xfId="8142"/>
    <cellStyle name="40% - Accent6 3 4 3 2 2" xfId="16113"/>
    <cellStyle name="40% - Accent6 3 4 3 2 3" xfId="24059"/>
    <cellStyle name="40% - Accent6 3 4 3 3" xfId="12575"/>
    <cellStyle name="40% - Accent6 3 4 3 4" xfId="20530"/>
    <cellStyle name="40% - Accent6 3 4 4" xfId="6380"/>
    <cellStyle name="40% - Accent6 3 4 4 2" xfId="14355"/>
    <cellStyle name="40% - Accent6 3 4 4 3" xfId="22302"/>
    <cellStyle name="40% - Accent6 3 4 5" xfId="9923"/>
    <cellStyle name="40% - Accent6 3 4 5 2" xfId="17881"/>
    <cellStyle name="40% - Accent6 3 4 5 3" xfId="25825"/>
    <cellStyle name="40% - Accent6 3 4 6" xfId="10819"/>
    <cellStyle name="40% - Accent6 3 4 7" xfId="18774"/>
    <cellStyle name="40% - Accent6 3 4_Exh G" xfId="3366"/>
    <cellStyle name="40% - Accent6 3 5" xfId="1637"/>
    <cellStyle name="40% - Accent6 3 5 2" xfId="5167"/>
    <cellStyle name="40% - Accent6 3 5 2 2" xfId="8758"/>
    <cellStyle name="40% - Accent6 3 5 2 2 2" xfId="16729"/>
    <cellStyle name="40% - Accent6 3 5 2 2 3" xfId="24675"/>
    <cellStyle name="40% - Accent6 3 5 2 3" xfId="13191"/>
    <cellStyle name="40% - Accent6 3 5 2 4" xfId="21146"/>
    <cellStyle name="40% - Accent6 3 5 3" xfId="6999"/>
    <cellStyle name="40% - Accent6 3 5 3 2" xfId="14971"/>
    <cellStyle name="40% - Accent6 3 5 3 3" xfId="22918"/>
    <cellStyle name="40% - Accent6 3 5 4" xfId="11435"/>
    <cellStyle name="40% - Accent6 3 5 5" xfId="19390"/>
    <cellStyle name="40% - Accent6 3 5_Exh G" xfId="3368"/>
    <cellStyle name="40% - Accent6 3 6" xfId="4288"/>
    <cellStyle name="40% - Accent6 3 6 2" xfId="7880"/>
    <cellStyle name="40% - Accent6 3 6 2 2" xfId="15851"/>
    <cellStyle name="40% - Accent6 3 6 2 3" xfId="23797"/>
    <cellStyle name="40% - Accent6 3 6 3" xfId="12313"/>
    <cellStyle name="40% - Accent6 3 6 4" xfId="20268"/>
    <cellStyle name="40% - Accent6 3 7" xfId="6108"/>
    <cellStyle name="40% - Accent6 3 7 2" xfId="14092"/>
    <cellStyle name="40% - Accent6 3 7 3" xfId="22040"/>
    <cellStyle name="40% - Accent6 3 8" xfId="9661"/>
    <cellStyle name="40% - Accent6 3 8 2" xfId="17619"/>
    <cellStyle name="40% - Accent6 3 8 3" xfId="25563"/>
    <cellStyle name="40% - Accent6 3 9" xfId="10557"/>
    <cellStyle name="40% - Accent6 3_Exh G" xfId="3357"/>
    <cellStyle name="40% - Accent6 4" xfId="613"/>
    <cellStyle name="40% - Accent6 4 10" xfId="18516"/>
    <cellStyle name="40% - Accent6 4 2" xfId="614"/>
    <cellStyle name="40% - Accent6 4 2 2" xfId="615"/>
    <cellStyle name="40% - Accent6 4 2 2 2" xfId="1643"/>
    <cellStyle name="40% - Accent6 4 2 2 2 2" xfId="5173"/>
    <cellStyle name="40% - Accent6 4 2 2 2 2 2" xfId="8764"/>
    <cellStyle name="40% - Accent6 4 2 2 2 2 2 2" xfId="16735"/>
    <cellStyle name="40% - Accent6 4 2 2 2 2 2 3" xfId="24681"/>
    <cellStyle name="40% - Accent6 4 2 2 2 2 3" xfId="13197"/>
    <cellStyle name="40% - Accent6 4 2 2 2 2 4" xfId="21152"/>
    <cellStyle name="40% - Accent6 4 2 2 2 3" xfId="7005"/>
    <cellStyle name="40% - Accent6 4 2 2 2 3 2" xfId="14977"/>
    <cellStyle name="40% - Accent6 4 2 2 2 3 3" xfId="22924"/>
    <cellStyle name="40% - Accent6 4 2 2 2 4" xfId="11441"/>
    <cellStyle name="40% - Accent6 4 2 2 2 5" xfId="19396"/>
    <cellStyle name="40% - Accent6 4 2 2 2_Exh G" xfId="3372"/>
    <cellStyle name="40% - Accent6 4 2 2 3" xfId="4294"/>
    <cellStyle name="40% - Accent6 4 2 2 3 2" xfId="7886"/>
    <cellStyle name="40% - Accent6 4 2 2 3 2 2" xfId="15857"/>
    <cellStyle name="40% - Accent6 4 2 2 3 2 3" xfId="23803"/>
    <cellStyle name="40% - Accent6 4 2 2 3 3" xfId="12319"/>
    <cellStyle name="40% - Accent6 4 2 2 3 4" xfId="20274"/>
    <cellStyle name="40% - Accent6 4 2 2 4" xfId="6114"/>
    <cellStyle name="40% - Accent6 4 2 2 4 2" xfId="14098"/>
    <cellStyle name="40% - Accent6 4 2 2 4 3" xfId="22046"/>
    <cellStyle name="40% - Accent6 4 2 2 5" xfId="9667"/>
    <cellStyle name="40% - Accent6 4 2 2 5 2" xfId="17625"/>
    <cellStyle name="40% - Accent6 4 2 2 5 3" xfId="25569"/>
    <cellStyle name="40% - Accent6 4 2 2 6" xfId="10563"/>
    <cellStyle name="40% - Accent6 4 2 2 7" xfId="18518"/>
    <cellStyle name="40% - Accent6 4 2 2_Exh G" xfId="3371"/>
    <cellStyle name="40% - Accent6 4 2 3" xfId="1000"/>
    <cellStyle name="40% - Accent6 4 2 3 2" xfId="1914"/>
    <cellStyle name="40% - Accent6 4 2 3 2 2" xfId="5432"/>
    <cellStyle name="40% - Accent6 4 2 3 2 2 2" xfId="9023"/>
    <cellStyle name="40% - Accent6 4 2 3 2 2 2 2" xfId="16994"/>
    <cellStyle name="40% - Accent6 4 2 3 2 2 2 3" xfId="24940"/>
    <cellStyle name="40% - Accent6 4 2 3 2 2 3" xfId="13456"/>
    <cellStyle name="40% - Accent6 4 2 3 2 2 4" xfId="21411"/>
    <cellStyle name="40% - Accent6 4 2 3 2 3" xfId="7264"/>
    <cellStyle name="40% - Accent6 4 2 3 2 3 2" xfId="15236"/>
    <cellStyle name="40% - Accent6 4 2 3 2 3 3" xfId="23183"/>
    <cellStyle name="40% - Accent6 4 2 3 2 4" xfId="11700"/>
    <cellStyle name="40% - Accent6 4 2 3 2 5" xfId="19655"/>
    <cellStyle name="40% - Accent6 4 2 3 2_Exh G" xfId="3374"/>
    <cellStyle name="40% - Accent6 4 2 3 3" xfId="4553"/>
    <cellStyle name="40% - Accent6 4 2 3 3 2" xfId="8145"/>
    <cellStyle name="40% - Accent6 4 2 3 3 2 2" xfId="16116"/>
    <cellStyle name="40% - Accent6 4 2 3 3 2 3" xfId="24062"/>
    <cellStyle name="40% - Accent6 4 2 3 3 3" xfId="12578"/>
    <cellStyle name="40% - Accent6 4 2 3 3 4" xfId="20533"/>
    <cellStyle name="40% - Accent6 4 2 3 4" xfId="6383"/>
    <cellStyle name="40% - Accent6 4 2 3 4 2" xfId="14358"/>
    <cellStyle name="40% - Accent6 4 2 3 4 3" xfId="22305"/>
    <cellStyle name="40% - Accent6 4 2 3 5" xfId="9926"/>
    <cellStyle name="40% - Accent6 4 2 3 5 2" xfId="17884"/>
    <cellStyle name="40% - Accent6 4 2 3 5 3" xfId="25828"/>
    <cellStyle name="40% - Accent6 4 2 3 6" xfId="10822"/>
    <cellStyle name="40% - Accent6 4 2 3 7" xfId="18777"/>
    <cellStyle name="40% - Accent6 4 2 3_Exh G" xfId="3373"/>
    <cellStyle name="40% - Accent6 4 2 4" xfId="1642"/>
    <cellStyle name="40% - Accent6 4 2 4 2" xfId="5172"/>
    <cellStyle name="40% - Accent6 4 2 4 2 2" xfId="8763"/>
    <cellStyle name="40% - Accent6 4 2 4 2 2 2" xfId="16734"/>
    <cellStyle name="40% - Accent6 4 2 4 2 2 3" xfId="24680"/>
    <cellStyle name="40% - Accent6 4 2 4 2 3" xfId="13196"/>
    <cellStyle name="40% - Accent6 4 2 4 2 4" xfId="21151"/>
    <cellStyle name="40% - Accent6 4 2 4 3" xfId="7004"/>
    <cellStyle name="40% - Accent6 4 2 4 3 2" xfId="14976"/>
    <cellStyle name="40% - Accent6 4 2 4 3 3" xfId="22923"/>
    <cellStyle name="40% - Accent6 4 2 4 4" xfId="11440"/>
    <cellStyle name="40% - Accent6 4 2 4 5" xfId="19395"/>
    <cellStyle name="40% - Accent6 4 2 4_Exh G" xfId="3375"/>
    <cellStyle name="40% - Accent6 4 2 5" xfId="4293"/>
    <cellStyle name="40% - Accent6 4 2 5 2" xfId="7885"/>
    <cellStyle name="40% - Accent6 4 2 5 2 2" xfId="15856"/>
    <cellStyle name="40% - Accent6 4 2 5 2 3" xfId="23802"/>
    <cellStyle name="40% - Accent6 4 2 5 3" xfId="12318"/>
    <cellStyle name="40% - Accent6 4 2 5 4" xfId="20273"/>
    <cellStyle name="40% - Accent6 4 2 6" xfId="6113"/>
    <cellStyle name="40% - Accent6 4 2 6 2" xfId="14097"/>
    <cellStyle name="40% - Accent6 4 2 6 3" xfId="22045"/>
    <cellStyle name="40% - Accent6 4 2 7" xfId="9666"/>
    <cellStyle name="40% - Accent6 4 2 7 2" xfId="17624"/>
    <cellStyle name="40% - Accent6 4 2 7 3" xfId="25568"/>
    <cellStyle name="40% - Accent6 4 2 8" xfId="10562"/>
    <cellStyle name="40% - Accent6 4 2 9" xfId="18517"/>
    <cellStyle name="40% - Accent6 4 2_Exh G" xfId="3370"/>
    <cellStyle name="40% - Accent6 4 3" xfId="616"/>
    <cellStyle name="40% - Accent6 4 3 2" xfId="1644"/>
    <cellStyle name="40% - Accent6 4 3 2 2" xfId="5174"/>
    <cellStyle name="40% - Accent6 4 3 2 2 2" xfId="8765"/>
    <cellStyle name="40% - Accent6 4 3 2 2 2 2" xfId="16736"/>
    <cellStyle name="40% - Accent6 4 3 2 2 2 3" xfId="24682"/>
    <cellStyle name="40% - Accent6 4 3 2 2 3" xfId="13198"/>
    <cellStyle name="40% - Accent6 4 3 2 2 4" xfId="21153"/>
    <cellStyle name="40% - Accent6 4 3 2 3" xfId="7006"/>
    <cellStyle name="40% - Accent6 4 3 2 3 2" xfId="14978"/>
    <cellStyle name="40% - Accent6 4 3 2 3 3" xfId="22925"/>
    <cellStyle name="40% - Accent6 4 3 2 4" xfId="11442"/>
    <cellStyle name="40% - Accent6 4 3 2 5" xfId="19397"/>
    <cellStyle name="40% - Accent6 4 3 2_Exh G" xfId="3377"/>
    <cellStyle name="40% - Accent6 4 3 3" xfId="4295"/>
    <cellStyle name="40% - Accent6 4 3 3 2" xfId="7887"/>
    <cellStyle name="40% - Accent6 4 3 3 2 2" xfId="15858"/>
    <cellStyle name="40% - Accent6 4 3 3 2 3" xfId="23804"/>
    <cellStyle name="40% - Accent6 4 3 3 3" xfId="12320"/>
    <cellStyle name="40% - Accent6 4 3 3 4" xfId="20275"/>
    <cellStyle name="40% - Accent6 4 3 4" xfId="6115"/>
    <cellStyle name="40% - Accent6 4 3 4 2" xfId="14099"/>
    <cellStyle name="40% - Accent6 4 3 4 3" xfId="22047"/>
    <cellStyle name="40% - Accent6 4 3 5" xfId="9668"/>
    <cellStyle name="40% - Accent6 4 3 5 2" xfId="17626"/>
    <cellStyle name="40% - Accent6 4 3 5 3" xfId="25570"/>
    <cellStyle name="40% - Accent6 4 3 6" xfId="10564"/>
    <cellStyle name="40% - Accent6 4 3 7" xfId="18519"/>
    <cellStyle name="40% - Accent6 4 3_Exh G" xfId="3376"/>
    <cellStyle name="40% - Accent6 4 4" xfId="999"/>
    <cellStyle name="40% - Accent6 4 4 2" xfId="1913"/>
    <cellStyle name="40% - Accent6 4 4 2 2" xfId="5431"/>
    <cellStyle name="40% - Accent6 4 4 2 2 2" xfId="9022"/>
    <cellStyle name="40% - Accent6 4 4 2 2 2 2" xfId="16993"/>
    <cellStyle name="40% - Accent6 4 4 2 2 2 3" xfId="24939"/>
    <cellStyle name="40% - Accent6 4 4 2 2 3" xfId="13455"/>
    <cellStyle name="40% - Accent6 4 4 2 2 4" xfId="21410"/>
    <cellStyle name="40% - Accent6 4 4 2 3" xfId="7263"/>
    <cellStyle name="40% - Accent6 4 4 2 3 2" xfId="15235"/>
    <cellStyle name="40% - Accent6 4 4 2 3 3" xfId="23182"/>
    <cellStyle name="40% - Accent6 4 4 2 4" xfId="11699"/>
    <cellStyle name="40% - Accent6 4 4 2 5" xfId="19654"/>
    <cellStyle name="40% - Accent6 4 4 2_Exh G" xfId="3379"/>
    <cellStyle name="40% - Accent6 4 4 3" xfId="4552"/>
    <cellStyle name="40% - Accent6 4 4 3 2" xfId="8144"/>
    <cellStyle name="40% - Accent6 4 4 3 2 2" xfId="16115"/>
    <cellStyle name="40% - Accent6 4 4 3 2 3" xfId="24061"/>
    <cellStyle name="40% - Accent6 4 4 3 3" xfId="12577"/>
    <cellStyle name="40% - Accent6 4 4 3 4" xfId="20532"/>
    <cellStyle name="40% - Accent6 4 4 4" xfId="6382"/>
    <cellStyle name="40% - Accent6 4 4 4 2" xfId="14357"/>
    <cellStyle name="40% - Accent6 4 4 4 3" xfId="22304"/>
    <cellStyle name="40% - Accent6 4 4 5" xfId="9925"/>
    <cellStyle name="40% - Accent6 4 4 5 2" xfId="17883"/>
    <cellStyle name="40% - Accent6 4 4 5 3" xfId="25827"/>
    <cellStyle name="40% - Accent6 4 4 6" xfId="10821"/>
    <cellStyle name="40% - Accent6 4 4 7" xfId="18776"/>
    <cellStyle name="40% - Accent6 4 4_Exh G" xfId="3378"/>
    <cellStyle name="40% - Accent6 4 5" xfId="1641"/>
    <cellStyle name="40% - Accent6 4 5 2" xfId="5171"/>
    <cellStyle name="40% - Accent6 4 5 2 2" xfId="8762"/>
    <cellStyle name="40% - Accent6 4 5 2 2 2" xfId="16733"/>
    <cellStyle name="40% - Accent6 4 5 2 2 3" xfId="24679"/>
    <cellStyle name="40% - Accent6 4 5 2 3" xfId="13195"/>
    <cellStyle name="40% - Accent6 4 5 2 4" xfId="21150"/>
    <cellStyle name="40% - Accent6 4 5 3" xfId="7003"/>
    <cellStyle name="40% - Accent6 4 5 3 2" xfId="14975"/>
    <cellStyle name="40% - Accent6 4 5 3 3" xfId="22922"/>
    <cellStyle name="40% - Accent6 4 5 4" xfId="11439"/>
    <cellStyle name="40% - Accent6 4 5 5" xfId="19394"/>
    <cellStyle name="40% - Accent6 4 5_Exh G" xfId="3380"/>
    <cellStyle name="40% - Accent6 4 6" xfId="4292"/>
    <cellStyle name="40% - Accent6 4 6 2" xfId="7884"/>
    <cellStyle name="40% - Accent6 4 6 2 2" xfId="15855"/>
    <cellStyle name="40% - Accent6 4 6 2 3" xfId="23801"/>
    <cellStyle name="40% - Accent6 4 6 3" xfId="12317"/>
    <cellStyle name="40% - Accent6 4 6 4" xfId="20272"/>
    <cellStyle name="40% - Accent6 4 7" xfId="6112"/>
    <cellStyle name="40% - Accent6 4 7 2" xfId="14096"/>
    <cellStyle name="40% - Accent6 4 7 3" xfId="22044"/>
    <cellStyle name="40% - Accent6 4 8" xfId="9665"/>
    <cellStyle name="40% - Accent6 4 8 2" xfId="17623"/>
    <cellStyle name="40% - Accent6 4 8 3" xfId="25567"/>
    <cellStyle name="40% - Accent6 4 9" xfId="10561"/>
    <cellStyle name="40% - Accent6 4_Exh G" xfId="3369"/>
    <cellStyle name="40% - Accent6 5" xfId="617"/>
    <cellStyle name="40% - Accent6 5 10" xfId="18520"/>
    <cellStyle name="40% - Accent6 5 2" xfId="618"/>
    <cellStyle name="40% - Accent6 5 2 2" xfId="619"/>
    <cellStyle name="40% - Accent6 5 2 2 2" xfId="1647"/>
    <cellStyle name="40% - Accent6 5 2 2 2 2" xfId="5177"/>
    <cellStyle name="40% - Accent6 5 2 2 2 2 2" xfId="8768"/>
    <cellStyle name="40% - Accent6 5 2 2 2 2 2 2" xfId="16739"/>
    <cellStyle name="40% - Accent6 5 2 2 2 2 2 3" xfId="24685"/>
    <cellStyle name="40% - Accent6 5 2 2 2 2 3" xfId="13201"/>
    <cellStyle name="40% - Accent6 5 2 2 2 2 4" xfId="21156"/>
    <cellStyle name="40% - Accent6 5 2 2 2 3" xfId="7009"/>
    <cellStyle name="40% - Accent6 5 2 2 2 3 2" xfId="14981"/>
    <cellStyle name="40% - Accent6 5 2 2 2 3 3" xfId="22928"/>
    <cellStyle name="40% - Accent6 5 2 2 2 4" xfId="11445"/>
    <cellStyle name="40% - Accent6 5 2 2 2 5" xfId="19400"/>
    <cellStyle name="40% - Accent6 5 2 2 2_Exh G" xfId="3384"/>
    <cellStyle name="40% - Accent6 5 2 2 3" xfId="4298"/>
    <cellStyle name="40% - Accent6 5 2 2 3 2" xfId="7890"/>
    <cellStyle name="40% - Accent6 5 2 2 3 2 2" xfId="15861"/>
    <cellStyle name="40% - Accent6 5 2 2 3 2 3" xfId="23807"/>
    <cellStyle name="40% - Accent6 5 2 2 3 3" xfId="12323"/>
    <cellStyle name="40% - Accent6 5 2 2 3 4" xfId="20278"/>
    <cellStyle name="40% - Accent6 5 2 2 4" xfId="6118"/>
    <cellStyle name="40% - Accent6 5 2 2 4 2" xfId="14102"/>
    <cellStyle name="40% - Accent6 5 2 2 4 3" xfId="22050"/>
    <cellStyle name="40% - Accent6 5 2 2 5" xfId="9671"/>
    <cellStyle name="40% - Accent6 5 2 2 5 2" xfId="17629"/>
    <cellStyle name="40% - Accent6 5 2 2 5 3" xfId="25573"/>
    <cellStyle name="40% - Accent6 5 2 2 6" xfId="10567"/>
    <cellStyle name="40% - Accent6 5 2 2 7" xfId="18522"/>
    <cellStyle name="40% - Accent6 5 2 2_Exh G" xfId="3383"/>
    <cellStyle name="40% - Accent6 5 2 3" xfId="1646"/>
    <cellStyle name="40% - Accent6 5 2 3 2" xfId="5176"/>
    <cellStyle name="40% - Accent6 5 2 3 2 2" xfId="8767"/>
    <cellStyle name="40% - Accent6 5 2 3 2 2 2" xfId="16738"/>
    <cellStyle name="40% - Accent6 5 2 3 2 2 3" xfId="24684"/>
    <cellStyle name="40% - Accent6 5 2 3 2 3" xfId="13200"/>
    <cellStyle name="40% - Accent6 5 2 3 2 4" xfId="21155"/>
    <cellStyle name="40% - Accent6 5 2 3 3" xfId="7008"/>
    <cellStyle name="40% - Accent6 5 2 3 3 2" xfId="14980"/>
    <cellStyle name="40% - Accent6 5 2 3 3 3" xfId="22927"/>
    <cellStyle name="40% - Accent6 5 2 3 4" xfId="11444"/>
    <cellStyle name="40% - Accent6 5 2 3 5" xfId="19399"/>
    <cellStyle name="40% - Accent6 5 2 3_Exh G" xfId="3385"/>
    <cellStyle name="40% - Accent6 5 2 4" xfId="4297"/>
    <cellStyle name="40% - Accent6 5 2 4 2" xfId="7889"/>
    <cellStyle name="40% - Accent6 5 2 4 2 2" xfId="15860"/>
    <cellStyle name="40% - Accent6 5 2 4 2 3" xfId="23806"/>
    <cellStyle name="40% - Accent6 5 2 4 3" xfId="12322"/>
    <cellStyle name="40% - Accent6 5 2 4 4" xfId="20277"/>
    <cellStyle name="40% - Accent6 5 2 5" xfId="6117"/>
    <cellStyle name="40% - Accent6 5 2 5 2" xfId="14101"/>
    <cellStyle name="40% - Accent6 5 2 5 3" xfId="22049"/>
    <cellStyle name="40% - Accent6 5 2 6" xfId="9670"/>
    <cellStyle name="40% - Accent6 5 2 6 2" xfId="17628"/>
    <cellStyle name="40% - Accent6 5 2 6 3" xfId="25572"/>
    <cellStyle name="40% - Accent6 5 2 7" xfId="10566"/>
    <cellStyle name="40% - Accent6 5 2 8" xfId="18521"/>
    <cellStyle name="40% - Accent6 5 2_Exh G" xfId="3382"/>
    <cellStyle name="40% - Accent6 5 3" xfId="620"/>
    <cellStyle name="40% - Accent6 5 3 2" xfId="1648"/>
    <cellStyle name="40% - Accent6 5 3 2 2" xfId="5178"/>
    <cellStyle name="40% - Accent6 5 3 2 2 2" xfId="8769"/>
    <cellStyle name="40% - Accent6 5 3 2 2 2 2" xfId="16740"/>
    <cellStyle name="40% - Accent6 5 3 2 2 2 3" xfId="24686"/>
    <cellStyle name="40% - Accent6 5 3 2 2 3" xfId="13202"/>
    <cellStyle name="40% - Accent6 5 3 2 2 4" xfId="21157"/>
    <cellStyle name="40% - Accent6 5 3 2 3" xfId="7010"/>
    <cellStyle name="40% - Accent6 5 3 2 3 2" xfId="14982"/>
    <cellStyle name="40% - Accent6 5 3 2 3 3" xfId="22929"/>
    <cellStyle name="40% - Accent6 5 3 2 4" xfId="11446"/>
    <cellStyle name="40% - Accent6 5 3 2 5" xfId="19401"/>
    <cellStyle name="40% - Accent6 5 3 2_Exh G" xfId="3387"/>
    <cellStyle name="40% - Accent6 5 3 3" xfId="4299"/>
    <cellStyle name="40% - Accent6 5 3 3 2" xfId="7891"/>
    <cellStyle name="40% - Accent6 5 3 3 2 2" xfId="15862"/>
    <cellStyle name="40% - Accent6 5 3 3 2 3" xfId="23808"/>
    <cellStyle name="40% - Accent6 5 3 3 3" xfId="12324"/>
    <cellStyle name="40% - Accent6 5 3 3 4" xfId="20279"/>
    <cellStyle name="40% - Accent6 5 3 4" xfId="6119"/>
    <cellStyle name="40% - Accent6 5 3 4 2" xfId="14103"/>
    <cellStyle name="40% - Accent6 5 3 4 3" xfId="22051"/>
    <cellStyle name="40% - Accent6 5 3 5" xfId="9672"/>
    <cellStyle name="40% - Accent6 5 3 5 2" xfId="17630"/>
    <cellStyle name="40% - Accent6 5 3 5 3" xfId="25574"/>
    <cellStyle name="40% - Accent6 5 3 6" xfId="10568"/>
    <cellStyle name="40% - Accent6 5 3 7" xfId="18523"/>
    <cellStyle name="40% - Accent6 5 3_Exh G" xfId="3386"/>
    <cellStyle name="40% - Accent6 5 4" xfId="1001"/>
    <cellStyle name="40% - Accent6 5 5" xfId="1645"/>
    <cellStyle name="40% - Accent6 5 5 2" xfId="5175"/>
    <cellStyle name="40% - Accent6 5 5 2 2" xfId="8766"/>
    <cellStyle name="40% - Accent6 5 5 2 2 2" xfId="16737"/>
    <cellStyle name="40% - Accent6 5 5 2 2 3" xfId="24683"/>
    <cellStyle name="40% - Accent6 5 5 2 3" xfId="13199"/>
    <cellStyle name="40% - Accent6 5 5 2 4" xfId="21154"/>
    <cellStyle name="40% - Accent6 5 5 3" xfId="7007"/>
    <cellStyle name="40% - Accent6 5 5 3 2" xfId="14979"/>
    <cellStyle name="40% - Accent6 5 5 3 3" xfId="22926"/>
    <cellStyle name="40% - Accent6 5 5 4" xfId="11443"/>
    <cellStyle name="40% - Accent6 5 5 5" xfId="19398"/>
    <cellStyle name="40% - Accent6 5 5_Exh G" xfId="3388"/>
    <cellStyle name="40% - Accent6 5 6" xfId="4296"/>
    <cellStyle name="40% - Accent6 5 6 2" xfId="7888"/>
    <cellStyle name="40% - Accent6 5 6 2 2" xfId="15859"/>
    <cellStyle name="40% - Accent6 5 6 2 3" xfId="23805"/>
    <cellStyle name="40% - Accent6 5 6 3" xfId="12321"/>
    <cellStyle name="40% - Accent6 5 6 4" xfId="20276"/>
    <cellStyle name="40% - Accent6 5 7" xfId="6116"/>
    <cellStyle name="40% - Accent6 5 7 2" xfId="14100"/>
    <cellStyle name="40% - Accent6 5 7 3" xfId="22048"/>
    <cellStyle name="40% - Accent6 5 8" xfId="9669"/>
    <cellStyle name="40% - Accent6 5 8 2" xfId="17627"/>
    <cellStyle name="40% - Accent6 5 8 3" xfId="25571"/>
    <cellStyle name="40% - Accent6 5 9" xfId="10565"/>
    <cellStyle name="40% - Accent6 5_Exh G" xfId="3381"/>
    <cellStyle name="40% - Accent6 6" xfId="621"/>
    <cellStyle name="40% - Accent6 6 10" xfId="18524"/>
    <cellStyle name="40% - Accent6 6 2" xfId="622"/>
    <cellStyle name="40% - Accent6 6 2 2" xfId="623"/>
    <cellStyle name="40% - Accent6 6 2 2 2" xfId="1651"/>
    <cellStyle name="40% - Accent6 6 2 2 2 2" xfId="5181"/>
    <cellStyle name="40% - Accent6 6 2 2 2 2 2" xfId="8772"/>
    <cellStyle name="40% - Accent6 6 2 2 2 2 2 2" xfId="16743"/>
    <cellStyle name="40% - Accent6 6 2 2 2 2 2 3" xfId="24689"/>
    <cellStyle name="40% - Accent6 6 2 2 2 2 3" xfId="13205"/>
    <cellStyle name="40% - Accent6 6 2 2 2 2 4" xfId="21160"/>
    <cellStyle name="40% - Accent6 6 2 2 2 3" xfId="7013"/>
    <cellStyle name="40% - Accent6 6 2 2 2 3 2" xfId="14985"/>
    <cellStyle name="40% - Accent6 6 2 2 2 3 3" xfId="22932"/>
    <cellStyle name="40% - Accent6 6 2 2 2 4" xfId="11449"/>
    <cellStyle name="40% - Accent6 6 2 2 2 5" xfId="19404"/>
    <cellStyle name="40% - Accent6 6 2 2 2_Exh G" xfId="3392"/>
    <cellStyle name="40% - Accent6 6 2 2 3" xfId="4302"/>
    <cellStyle name="40% - Accent6 6 2 2 3 2" xfId="7894"/>
    <cellStyle name="40% - Accent6 6 2 2 3 2 2" xfId="15865"/>
    <cellStyle name="40% - Accent6 6 2 2 3 2 3" xfId="23811"/>
    <cellStyle name="40% - Accent6 6 2 2 3 3" xfId="12327"/>
    <cellStyle name="40% - Accent6 6 2 2 3 4" xfId="20282"/>
    <cellStyle name="40% - Accent6 6 2 2 4" xfId="6122"/>
    <cellStyle name="40% - Accent6 6 2 2 4 2" xfId="14106"/>
    <cellStyle name="40% - Accent6 6 2 2 4 3" xfId="22054"/>
    <cellStyle name="40% - Accent6 6 2 2 5" xfId="9675"/>
    <cellStyle name="40% - Accent6 6 2 2 5 2" xfId="17633"/>
    <cellStyle name="40% - Accent6 6 2 2 5 3" xfId="25577"/>
    <cellStyle name="40% - Accent6 6 2 2 6" xfId="10571"/>
    <cellStyle name="40% - Accent6 6 2 2 7" xfId="18526"/>
    <cellStyle name="40% - Accent6 6 2 2_Exh G" xfId="3391"/>
    <cellStyle name="40% - Accent6 6 2 3" xfId="1650"/>
    <cellStyle name="40% - Accent6 6 2 3 2" xfId="5180"/>
    <cellStyle name="40% - Accent6 6 2 3 2 2" xfId="8771"/>
    <cellStyle name="40% - Accent6 6 2 3 2 2 2" xfId="16742"/>
    <cellStyle name="40% - Accent6 6 2 3 2 2 3" xfId="24688"/>
    <cellStyle name="40% - Accent6 6 2 3 2 3" xfId="13204"/>
    <cellStyle name="40% - Accent6 6 2 3 2 4" xfId="21159"/>
    <cellStyle name="40% - Accent6 6 2 3 3" xfId="7012"/>
    <cellStyle name="40% - Accent6 6 2 3 3 2" xfId="14984"/>
    <cellStyle name="40% - Accent6 6 2 3 3 3" xfId="22931"/>
    <cellStyle name="40% - Accent6 6 2 3 4" xfId="11448"/>
    <cellStyle name="40% - Accent6 6 2 3 5" xfId="19403"/>
    <cellStyle name="40% - Accent6 6 2 3_Exh G" xfId="3393"/>
    <cellStyle name="40% - Accent6 6 2 4" xfId="4301"/>
    <cellStyle name="40% - Accent6 6 2 4 2" xfId="7893"/>
    <cellStyle name="40% - Accent6 6 2 4 2 2" xfId="15864"/>
    <cellStyle name="40% - Accent6 6 2 4 2 3" xfId="23810"/>
    <cellStyle name="40% - Accent6 6 2 4 3" xfId="12326"/>
    <cellStyle name="40% - Accent6 6 2 4 4" xfId="20281"/>
    <cellStyle name="40% - Accent6 6 2 5" xfId="6121"/>
    <cellStyle name="40% - Accent6 6 2 5 2" xfId="14105"/>
    <cellStyle name="40% - Accent6 6 2 5 3" xfId="22053"/>
    <cellStyle name="40% - Accent6 6 2 6" xfId="9674"/>
    <cellStyle name="40% - Accent6 6 2 6 2" xfId="17632"/>
    <cellStyle name="40% - Accent6 6 2 6 3" xfId="25576"/>
    <cellStyle name="40% - Accent6 6 2 7" xfId="10570"/>
    <cellStyle name="40% - Accent6 6 2 8" xfId="18525"/>
    <cellStyle name="40% - Accent6 6 2_Exh G" xfId="3390"/>
    <cellStyle name="40% - Accent6 6 3" xfId="624"/>
    <cellStyle name="40% - Accent6 6 3 2" xfId="1652"/>
    <cellStyle name="40% - Accent6 6 3 2 2" xfId="5182"/>
    <cellStyle name="40% - Accent6 6 3 2 2 2" xfId="8773"/>
    <cellStyle name="40% - Accent6 6 3 2 2 2 2" xfId="16744"/>
    <cellStyle name="40% - Accent6 6 3 2 2 2 3" xfId="24690"/>
    <cellStyle name="40% - Accent6 6 3 2 2 3" xfId="13206"/>
    <cellStyle name="40% - Accent6 6 3 2 2 4" xfId="21161"/>
    <cellStyle name="40% - Accent6 6 3 2 3" xfId="7014"/>
    <cellStyle name="40% - Accent6 6 3 2 3 2" xfId="14986"/>
    <cellStyle name="40% - Accent6 6 3 2 3 3" xfId="22933"/>
    <cellStyle name="40% - Accent6 6 3 2 4" xfId="11450"/>
    <cellStyle name="40% - Accent6 6 3 2 5" xfId="19405"/>
    <cellStyle name="40% - Accent6 6 3 2_Exh G" xfId="3395"/>
    <cellStyle name="40% - Accent6 6 3 3" xfId="4303"/>
    <cellStyle name="40% - Accent6 6 3 3 2" xfId="7895"/>
    <cellStyle name="40% - Accent6 6 3 3 2 2" xfId="15866"/>
    <cellStyle name="40% - Accent6 6 3 3 2 3" xfId="23812"/>
    <cellStyle name="40% - Accent6 6 3 3 3" xfId="12328"/>
    <cellStyle name="40% - Accent6 6 3 3 4" xfId="20283"/>
    <cellStyle name="40% - Accent6 6 3 4" xfId="6123"/>
    <cellStyle name="40% - Accent6 6 3 4 2" xfId="14107"/>
    <cellStyle name="40% - Accent6 6 3 4 3" xfId="22055"/>
    <cellStyle name="40% - Accent6 6 3 5" xfId="9676"/>
    <cellStyle name="40% - Accent6 6 3 5 2" xfId="17634"/>
    <cellStyle name="40% - Accent6 6 3 5 3" xfId="25578"/>
    <cellStyle name="40% - Accent6 6 3 6" xfId="10572"/>
    <cellStyle name="40% - Accent6 6 3 7" xfId="18527"/>
    <cellStyle name="40% - Accent6 6 3_Exh G" xfId="3394"/>
    <cellStyle name="40% - Accent6 6 4" xfId="1002"/>
    <cellStyle name="40% - Accent6 6 4 2" xfId="1915"/>
    <cellStyle name="40% - Accent6 6 4 2 2" xfId="5433"/>
    <cellStyle name="40% - Accent6 6 4 2 2 2" xfId="9024"/>
    <cellStyle name="40% - Accent6 6 4 2 2 2 2" xfId="16995"/>
    <cellStyle name="40% - Accent6 6 4 2 2 2 3" xfId="24941"/>
    <cellStyle name="40% - Accent6 6 4 2 2 3" xfId="13457"/>
    <cellStyle name="40% - Accent6 6 4 2 2 4" xfId="21412"/>
    <cellStyle name="40% - Accent6 6 4 2 3" xfId="7265"/>
    <cellStyle name="40% - Accent6 6 4 2 3 2" xfId="15237"/>
    <cellStyle name="40% - Accent6 6 4 2 3 3" xfId="23184"/>
    <cellStyle name="40% - Accent6 6 4 2 4" xfId="11701"/>
    <cellStyle name="40% - Accent6 6 4 2 5" xfId="19656"/>
    <cellStyle name="40% - Accent6 6 4 2_Exh G" xfId="3397"/>
    <cellStyle name="40% - Accent6 6 4 3" xfId="4554"/>
    <cellStyle name="40% - Accent6 6 4 3 2" xfId="8146"/>
    <cellStyle name="40% - Accent6 6 4 3 2 2" xfId="16117"/>
    <cellStyle name="40% - Accent6 6 4 3 2 3" xfId="24063"/>
    <cellStyle name="40% - Accent6 6 4 3 3" xfId="12579"/>
    <cellStyle name="40% - Accent6 6 4 3 4" xfId="20534"/>
    <cellStyle name="40% - Accent6 6 4 4" xfId="6384"/>
    <cellStyle name="40% - Accent6 6 4 4 2" xfId="14359"/>
    <cellStyle name="40% - Accent6 6 4 4 3" xfId="22306"/>
    <cellStyle name="40% - Accent6 6 4 5" xfId="9927"/>
    <cellStyle name="40% - Accent6 6 4 5 2" xfId="17885"/>
    <cellStyle name="40% - Accent6 6 4 5 3" xfId="25829"/>
    <cellStyle name="40% - Accent6 6 4 6" xfId="10823"/>
    <cellStyle name="40% - Accent6 6 4 7" xfId="18778"/>
    <cellStyle name="40% - Accent6 6 4_Exh G" xfId="3396"/>
    <cellStyle name="40% - Accent6 6 5" xfId="1649"/>
    <cellStyle name="40% - Accent6 6 5 2" xfId="5179"/>
    <cellStyle name="40% - Accent6 6 5 2 2" xfId="8770"/>
    <cellStyle name="40% - Accent6 6 5 2 2 2" xfId="16741"/>
    <cellStyle name="40% - Accent6 6 5 2 2 3" xfId="24687"/>
    <cellStyle name="40% - Accent6 6 5 2 3" xfId="13203"/>
    <cellStyle name="40% - Accent6 6 5 2 4" xfId="21158"/>
    <cellStyle name="40% - Accent6 6 5 3" xfId="7011"/>
    <cellStyle name="40% - Accent6 6 5 3 2" xfId="14983"/>
    <cellStyle name="40% - Accent6 6 5 3 3" xfId="22930"/>
    <cellStyle name="40% - Accent6 6 5 4" xfId="11447"/>
    <cellStyle name="40% - Accent6 6 5 5" xfId="19402"/>
    <cellStyle name="40% - Accent6 6 5_Exh G" xfId="3398"/>
    <cellStyle name="40% - Accent6 6 6" xfId="4300"/>
    <cellStyle name="40% - Accent6 6 6 2" xfId="7892"/>
    <cellStyle name="40% - Accent6 6 6 2 2" xfId="15863"/>
    <cellStyle name="40% - Accent6 6 6 2 3" xfId="23809"/>
    <cellStyle name="40% - Accent6 6 6 3" xfId="12325"/>
    <cellStyle name="40% - Accent6 6 6 4" xfId="20280"/>
    <cellStyle name="40% - Accent6 6 7" xfId="6120"/>
    <cellStyle name="40% - Accent6 6 7 2" xfId="14104"/>
    <cellStyle name="40% - Accent6 6 7 3" xfId="22052"/>
    <cellStyle name="40% - Accent6 6 8" xfId="9673"/>
    <cellStyle name="40% - Accent6 6 8 2" xfId="17631"/>
    <cellStyle name="40% - Accent6 6 8 3" xfId="25575"/>
    <cellStyle name="40% - Accent6 6 9" xfId="10569"/>
    <cellStyle name="40% - Accent6 6_Exh G" xfId="3389"/>
    <cellStyle name="40% - Accent6 7" xfId="625"/>
    <cellStyle name="40% - Accent6 7 10" xfId="18528"/>
    <cellStyle name="40% - Accent6 7 2" xfId="626"/>
    <cellStyle name="40% - Accent6 7 2 2" xfId="627"/>
    <cellStyle name="40% - Accent6 7 2 2 2" xfId="1655"/>
    <cellStyle name="40% - Accent6 7 2 2 2 2" xfId="5185"/>
    <cellStyle name="40% - Accent6 7 2 2 2 2 2" xfId="8776"/>
    <cellStyle name="40% - Accent6 7 2 2 2 2 2 2" xfId="16747"/>
    <cellStyle name="40% - Accent6 7 2 2 2 2 2 3" xfId="24693"/>
    <cellStyle name="40% - Accent6 7 2 2 2 2 3" xfId="13209"/>
    <cellStyle name="40% - Accent6 7 2 2 2 2 4" xfId="21164"/>
    <cellStyle name="40% - Accent6 7 2 2 2 3" xfId="7017"/>
    <cellStyle name="40% - Accent6 7 2 2 2 3 2" xfId="14989"/>
    <cellStyle name="40% - Accent6 7 2 2 2 3 3" xfId="22936"/>
    <cellStyle name="40% - Accent6 7 2 2 2 4" xfId="11453"/>
    <cellStyle name="40% - Accent6 7 2 2 2 5" xfId="19408"/>
    <cellStyle name="40% - Accent6 7 2 2 2_Exh G" xfId="3402"/>
    <cellStyle name="40% - Accent6 7 2 2 3" xfId="4306"/>
    <cellStyle name="40% - Accent6 7 2 2 3 2" xfId="7898"/>
    <cellStyle name="40% - Accent6 7 2 2 3 2 2" xfId="15869"/>
    <cellStyle name="40% - Accent6 7 2 2 3 2 3" xfId="23815"/>
    <cellStyle name="40% - Accent6 7 2 2 3 3" xfId="12331"/>
    <cellStyle name="40% - Accent6 7 2 2 3 4" xfId="20286"/>
    <cellStyle name="40% - Accent6 7 2 2 4" xfId="6126"/>
    <cellStyle name="40% - Accent6 7 2 2 4 2" xfId="14110"/>
    <cellStyle name="40% - Accent6 7 2 2 4 3" xfId="22058"/>
    <cellStyle name="40% - Accent6 7 2 2 5" xfId="9679"/>
    <cellStyle name="40% - Accent6 7 2 2 5 2" xfId="17637"/>
    <cellStyle name="40% - Accent6 7 2 2 5 3" xfId="25581"/>
    <cellStyle name="40% - Accent6 7 2 2 6" xfId="10575"/>
    <cellStyle name="40% - Accent6 7 2 2 7" xfId="18530"/>
    <cellStyle name="40% - Accent6 7 2 2_Exh G" xfId="3401"/>
    <cellStyle name="40% - Accent6 7 2 3" xfId="1654"/>
    <cellStyle name="40% - Accent6 7 2 3 2" xfId="5184"/>
    <cellStyle name="40% - Accent6 7 2 3 2 2" xfId="8775"/>
    <cellStyle name="40% - Accent6 7 2 3 2 2 2" xfId="16746"/>
    <cellStyle name="40% - Accent6 7 2 3 2 2 3" xfId="24692"/>
    <cellStyle name="40% - Accent6 7 2 3 2 3" xfId="13208"/>
    <cellStyle name="40% - Accent6 7 2 3 2 4" xfId="21163"/>
    <cellStyle name="40% - Accent6 7 2 3 3" xfId="7016"/>
    <cellStyle name="40% - Accent6 7 2 3 3 2" xfId="14988"/>
    <cellStyle name="40% - Accent6 7 2 3 3 3" xfId="22935"/>
    <cellStyle name="40% - Accent6 7 2 3 4" xfId="11452"/>
    <cellStyle name="40% - Accent6 7 2 3 5" xfId="19407"/>
    <cellStyle name="40% - Accent6 7 2 3_Exh G" xfId="3403"/>
    <cellStyle name="40% - Accent6 7 2 4" xfId="4305"/>
    <cellStyle name="40% - Accent6 7 2 4 2" xfId="7897"/>
    <cellStyle name="40% - Accent6 7 2 4 2 2" xfId="15868"/>
    <cellStyle name="40% - Accent6 7 2 4 2 3" xfId="23814"/>
    <cellStyle name="40% - Accent6 7 2 4 3" xfId="12330"/>
    <cellStyle name="40% - Accent6 7 2 4 4" xfId="20285"/>
    <cellStyle name="40% - Accent6 7 2 5" xfId="6125"/>
    <cellStyle name="40% - Accent6 7 2 5 2" xfId="14109"/>
    <cellStyle name="40% - Accent6 7 2 5 3" xfId="22057"/>
    <cellStyle name="40% - Accent6 7 2 6" xfId="9678"/>
    <cellStyle name="40% - Accent6 7 2 6 2" xfId="17636"/>
    <cellStyle name="40% - Accent6 7 2 6 3" xfId="25580"/>
    <cellStyle name="40% - Accent6 7 2 7" xfId="10574"/>
    <cellStyle name="40% - Accent6 7 2 8" xfId="18529"/>
    <cellStyle name="40% - Accent6 7 2_Exh G" xfId="3400"/>
    <cellStyle name="40% - Accent6 7 3" xfId="628"/>
    <cellStyle name="40% - Accent6 7 3 2" xfId="1656"/>
    <cellStyle name="40% - Accent6 7 3 2 2" xfId="5186"/>
    <cellStyle name="40% - Accent6 7 3 2 2 2" xfId="8777"/>
    <cellStyle name="40% - Accent6 7 3 2 2 2 2" xfId="16748"/>
    <cellStyle name="40% - Accent6 7 3 2 2 2 3" xfId="24694"/>
    <cellStyle name="40% - Accent6 7 3 2 2 3" xfId="13210"/>
    <cellStyle name="40% - Accent6 7 3 2 2 4" xfId="21165"/>
    <cellStyle name="40% - Accent6 7 3 2 3" xfId="7018"/>
    <cellStyle name="40% - Accent6 7 3 2 3 2" xfId="14990"/>
    <cellStyle name="40% - Accent6 7 3 2 3 3" xfId="22937"/>
    <cellStyle name="40% - Accent6 7 3 2 4" xfId="11454"/>
    <cellStyle name="40% - Accent6 7 3 2 5" xfId="19409"/>
    <cellStyle name="40% - Accent6 7 3 2_Exh G" xfId="3405"/>
    <cellStyle name="40% - Accent6 7 3 3" xfId="4307"/>
    <cellStyle name="40% - Accent6 7 3 3 2" xfId="7899"/>
    <cellStyle name="40% - Accent6 7 3 3 2 2" xfId="15870"/>
    <cellStyle name="40% - Accent6 7 3 3 2 3" xfId="23816"/>
    <cellStyle name="40% - Accent6 7 3 3 3" xfId="12332"/>
    <cellStyle name="40% - Accent6 7 3 3 4" xfId="20287"/>
    <cellStyle name="40% - Accent6 7 3 4" xfId="6127"/>
    <cellStyle name="40% - Accent6 7 3 4 2" xfId="14111"/>
    <cellStyle name="40% - Accent6 7 3 4 3" xfId="22059"/>
    <cellStyle name="40% - Accent6 7 3 5" xfId="9680"/>
    <cellStyle name="40% - Accent6 7 3 5 2" xfId="17638"/>
    <cellStyle name="40% - Accent6 7 3 5 3" xfId="25582"/>
    <cellStyle name="40% - Accent6 7 3 6" xfId="10576"/>
    <cellStyle name="40% - Accent6 7 3 7" xfId="18531"/>
    <cellStyle name="40% - Accent6 7 3_Exh G" xfId="3404"/>
    <cellStyle name="40% - Accent6 7 4" xfId="1003"/>
    <cellStyle name="40% - Accent6 7 4 2" xfId="1916"/>
    <cellStyle name="40% - Accent6 7 4 2 2" xfId="5434"/>
    <cellStyle name="40% - Accent6 7 4 2 2 2" xfId="9025"/>
    <cellStyle name="40% - Accent6 7 4 2 2 2 2" xfId="16996"/>
    <cellStyle name="40% - Accent6 7 4 2 2 2 3" xfId="24942"/>
    <cellStyle name="40% - Accent6 7 4 2 2 3" xfId="13458"/>
    <cellStyle name="40% - Accent6 7 4 2 2 4" xfId="21413"/>
    <cellStyle name="40% - Accent6 7 4 2 3" xfId="7266"/>
    <cellStyle name="40% - Accent6 7 4 2 3 2" xfId="15238"/>
    <cellStyle name="40% - Accent6 7 4 2 3 3" xfId="23185"/>
    <cellStyle name="40% - Accent6 7 4 2 4" xfId="11702"/>
    <cellStyle name="40% - Accent6 7 4 2 5" xfId="19657"/>
    <cellStyle name="40% - Accent6 7 4 2_Exh G" xfId="3407"/>
    <cellStyle name="40% - Accent6 7 4 3" xfId="4555"/>
    <cellStyle name="40% - Accent6 7 4 3 2" xfId="8147"/>
    <cellStyle name="40% - Accent6 7 4 3 2 2" xfId="16118"/>
    <cellStyle name="40% - Accent6 7 4 3 2 3" xfId="24064"/>
    <cellStyle name="40% - Accent6 7 4 3 3" xfId="12580"/>
    <cellStyle name="40% - Accent6 7 4 3 4" xfId="20535"/>
    <cellStyle name="40% - Accent6 7 4 4" xfId="6385"/>
    <cellStyle name="40% - Accent6 7 4 4 2" xfId="14360"/>
    <cellStyle name="40% - Accent6 7 4 4 3" xfId="22307"/>
    <cellStyle name="40% - Accent6 7 4 5" xfId="9928"/>
    <cellStyle name="40% - Accent6 7 4 5 2" xfId="17886"/>
    <cellStyle name="40% - Accent6 7 4 5 3" xfId="25830"/>
    <cellStyle name="40% - Accent6 7 4 6" xfId="10824"/>
    <cellStyle name="40% - Accent6 7 4 7" xfId="18779"/>
    <cellStyle name="40% - Accent6 7 4_Exh G" xfId="3406"/>
    <cellStyle name="40% - Accent6 7 5" xfId="1653"/>
    <cellStyle name="40% - Accent6 7 5 2" xfId="5183"/>
    <cellStyle name="40% - Accent6 7 5 2 2" xfId="8774"/>
    <cellStyle name="40% - Accent6 7 5 2 2 2" xfId="16745"/>
    <cellStyle name="40% - Accent6 7 5 2 2 3" xfId="24691"/>
    <cellStyle name="40% - Accent6 7 5 2 3" xfId="13207"/>
    <cellStyle name="40% - Accent6 7 5 2 4" xfId="21162"/>
    <cellStyle name="40% - Accent6 7 5 3" xfId="7015"/>
    <cellStyle name="40% - Accent6 7 5 3 2" xfId="14987"/>
    <cellStyle name="40% - Accent6 7 5 3 3" xfId="22934"/>
    <cellStyle name="40% - Accent6 7 5 4" xfId="11451"/>
    <cellStyle name="40% - Accent6 7 5 5" xfId="19406"/>
    <cellStyle name="40% - Accent6 7 5_Exh G" xfId="3408"/>
    <cellStyle name="40% - Accent6 7 6" xfId="4304"/>
    <cellStyle name="40% - Accent6 7 6 2" xfId="7896"/>
    <cellStyle name="40% - Accent6 7 6 2 2" xfId="15867"/>
    <cellStyle name="40% - Accent6 7 6 2 3" xfId="23813"/>
    <cellStyle name="40% - Accent6 7 6 3" xfId="12329"/>
    <cellStyle name="40% - Accent6 7 6 4" xfId="20284"/>
    <cellStyle name="40% - Accent6 7 7" xfId="6124"/>
    <cellStyle name="40% - Accent6 7 7 2" xfId="14108"/>
    <cellStyle name="40% - Accent6 7 7 3" xfId="22056"/>
    <cellStyle name="40% - Accent6 7 8" xfId="9677"/>
    <cellStyle name="40% - Accent6 7 8 2" xfId="17635"/>
    <cellStyle name="40% - Accent6 7 8 3" xfId="25579"/>
    <cellStyle name="40% - Accent6 7 9" xfId="10573"/>
    <cellStyle name="40% - Accent6 7_Exh G" xfId="3399"/>
    <cellStyle name="40% - Accent6 8" xfId="629"/>
    <cellStyle name="40% - Accent6 8 10" xfId="18532"/>
    <cellStyle name="40% - Accent6 8 2" xfId="630"/>
    <cellStyle name="40% - Accent6 8 2 2" xfId="631"/>
    <cellStyle name="40% - Accent6 8 2 2 2" xfId="1659"/>
    <cellStyle name="40% - Accent6 8 2 2 2 2" xfId="5189"/>
    <cellStyle name="40% - Accent6 8 2 2 2 2 2" xfId="8780"/>
    <cellStyle name="40% - Accent6 8 2 2 2 2 2 2" xfId="16751"/>
    <cellStyle name="40% - Accent6 8 2 2 2 2 2 3" xfId="24697"/>
    <cellStyle name="40% - Accent6 8 2 2 2 2 3" xfId="13213"/>
    <cellStyle name="40% - Accent6 8 2 2 2 2 4" xfId="21168"/>
    <cellStyle name="40% - Accent6 8 2 2 2 3" xfId="7021"/>
    <cellStyle name="40% - Accent6 8 2 2 2 3 2" xfId="14993"/>
    <cellStyle name="40% - Accent6 8 2 2 2 3 3" xfId="22940"/>
    <cellStyle name="40% - Accent6 8 2 2 2 4" xfId="11457"/>
    <cellStyle name="40% - Accent6 8 2 2 2 5" xfId="19412"/>
    <cellStyle name="40% - Accent6 8 2 2 2_Exh G" xfId="3412"/>
    <cellStyle name="40% - Accent6 8 2 2 3" xfId="4310"/>
    <cellStyle name="40% - Accent6 8 2 2 3 2" xfId="7902"/>
    <cellStyle name="40% - Accent6 8 2 2 3 2 2" xfId="15873"/>
    <cellStyle name="40% - Accent6 8 2 2 3 2 3" xfId="23819"/>
    <cellStyle name="40% - Accent6 8 2 2 3 3" xfId="12335"/>
    <cellStyle name="40% - Accent6 8 2 2 3 4" xfId="20290"/>
    <cellStyle name="40% - Accent6 8 2 2 4" xfId="6130"/>
    <cellStyle name="40% - Accent6 8 2 2 4 2" xfId="14114"/>
    <cellStyle name="40% - Accent6 8 2 2 4 3" xfId="22062"/>
    <cellStyle name="40% - Accent6 8 2 2 5" xfId="9683"/>
    <cellStyle name="40% - Accent6 8 2 2 5 2" xfId="17641"/>
    <cellStyle name="40% - Accent6 8 2 2 5 3" xfId="25585"/>
    <cellStyle name="40% - Accent6 8 2 2 6" xfId="10579"/>
    <cellStyle name="40% - Accent6 8 2 2 7" xfId="18534"/>
    <cellStyle name="40% - Accent6 8 2 2_Exh G" xfId="3411"/>
    <cellStyle name="40% - Accent6 8 2 3" xfId="1658"/>
    <cellStyle name="40% - Accent6 8 2 3 2" xfId="5188"/>
    <cellStyle name="40% - Accent6 8 2 3 2 2" xfId="8779"/>
    <cellStyle name="40% - Accent6 8 2 3 2 2 2" xfId="16750"/>
    <cellStyle name="40% - Accent6 8 2 3 2 2 3" xfId="24696"/>
    <cellStyle name="40% - Accent6 8 2 3 2 3" xfId="13212"/>
    <cellStyle name="40% - Accent6 8 2 3 2 4" xfId="21167"/>
    <cellStyle name="40% - Accent6 8 2 3 3" xfId="7020"/>
    <cellStyle name="40% - Accent6 8 2 3 3 2" xfId="14992"/>
    <cellStyle name="40% - Accent6 8 2 3 3 3" xfId="22939"/>
    <cellStyle name="40% - Accent6 8 2 3 4" xfId="11456"/>
    <cellStyle name="40% - Accent6 8 2 3 5" xfId="19411"/>
    <cellStyle name="40% - Accent6 8 2 3_Exh G" xfId="3413"/>
    <cellStyle name="40% - Accent6 8 2 4" xfId="4309"/>
    <cellStyle name="40% - Accent6 8 2 4 2" xfId="7901"/>
    <cellStyle name="40% - Accent6 8 2 4 2 2" xfId="15872"/>
    <cellStyle name="40% - Accent6 8 2 4 2 3" xfId="23818"/>
    <cellStyle name="40% - Accent6 8 2 4 3" xfId="12334"/>
    <cellStyle name="40% - Accent6 8 2 4 4" xfId="20289"/>
    <cellStyle name="40% - Accent6 8 2 5" xfId="6129"/>
    <cellStyle name="40% - Accent6 8 2 5 2" xfId="14113"/>
    <cellStyle name="40% - Accent6 8 2 5 3" xfId="22061"/>
    <cellStyle name="40% - Accent6 8 2 6" xfId="9682"/>
    <cellStyle name="40% - Accent6 8 2 6 2" xfId="17640"/>
    <cellStyle name="40% - Accent6 8 2 6 3" xfId="25584"/>
    <cellStyle name="40% - Accent6 8 2 7" xfId="10578"/>
    <cellStyle name="40% - Accent6 8 2 8" xfId="18533"/>
    <cellStyle name="40% - Accent6 8 2_Exh G" xfId="3410"/>
    <cellStyle name="40% - Accent6 8 3" xfId="632"/>
    <cellStyle name="40% - Accent6 8 3 2" xfId="1660"/>
    <cellStyle name="40% - Accent6 8 3 2 2" xfId="5190"/>
    <cellStyle name="40% - Accent6 8 3 2 2 2" xfId="8781"/>
    <cellStyle name="40% - Accent6 8 3 2 2 2 2" xfId="16752"/>
    <cellStyle name="40% - Accent6 8 3 2 2 2 3" xfId="24698"/>
    <cellStyle name="40% - Accent6 8 3 2 2 3" xfId="13214"/>
    <cellStyle name="40% - Accent6 8 3 2 2 4" xfId="21169"/>
    <cellStyle name="40% - Accent6 8 3 2 3" xfId="7022"/>
    <cellStyle name="40% - Accent6 8 3 2 3 2" xfId="14994"/>
    <cellStyle name="40% - Accent6 8 3 2 3 3" xfId="22941"/>
    <cellStyle name="40% - Accent6 8 3 2 4" xfId="11458"/>
    <cellStyle name="40% - Accent6 8 3 2 5" xfId="19413"/>
    <cellStyle name="40% - Accent6 8 3 2_Exh G" xfId="3415"/>
    <cellStyle name="40% - Accent6 8 3 3" xfId="4311"/>
    <cellStyle name="40% - Accent6 8 3 3 2" xfId="7903"/>
    <cellStyle name="40% - Accent6 8 3 3 2 2" xfId="15874"/>
    <cellStyle name="40% - Accent6 8 3 3 2 3" xfId="23820"/>
    <cellStyle name="40% - Accent6 8 3 3 3" xfId="12336"/>
    <cellStyle name="40% - Accent6 8 3 3 4" xfId="20291"/>
    <cellStyle name="40% - Accent6 8 3 4" xfId="6131"/>
    <cellStyle name="40% - Accent6 8 3 4 2" xfId="14115"/>
    <cellStyle name="40% - Accent6 8 3 4 3" xfId="22063"/>
    <cellStyle name="40% - Accent6 8 3 5" xfId="9684"/>
    <cellStyle name="40% - Accent6 8 3 5 2" xfId="17642"/>
    <cellStyle name="40% - Accent6 8 3 5 3" xfId="25586"/>
    <cellStyle name="40% - Accent6 8 3 6" xfId="10580"/>
    <cellStyle name="40% - Accent6 8 3 7" xfId="18535"/>
    <cellStyle name="40% - Accent6 8 3_Exh G" xfId="3414"/>
    <cellStyle name="40% - Accent6 8 4" xfId="1004"/>
    <cellStyle name="40% - Accent6 8 4 2" xfId="1917"/>
    <cellStyle name="40% - Accent6 8 4 2 2" xfId="5435"/>
    <cellStyle name="40% - Accent6 8 4 2 2 2" xfId="9026"/>
    <cellStyle name="40% - Accent6 8 4 2 2 2 2" xfId="16997"/>
    <cellStyle name="40% - Accent6 8 4 2 2 2 3" xfId="24943"/>
    <cellStyle name="40% - Accent6 8 4 2 2 3" xfId="13459"/>
    <cellStyle name="40% - Accent6 8 4 2 2 4" xfId="21414"/>
    <cellStyle name="40% - Accent6 8 4 2 3" xfId="7267"/>
    <cellStyle name="40% - Accent6 8 4 2 3 2" xfId="15239"/>
    <cellStyle name="40% - Accent6 8 4 2 3 3" xfId="23186"/>
    <cellStyle name="40% - Accent6 8 4 2 4" xfId="11703"/>
    <cellStyle name="40% - Accent6 8 4 2 5" xfId="19658"/>
    <cellStyle name="40% - Accent6 8 4 2_Exh G" xfId="3417"/>
    <cellStyle name="40% - Accent6 8 4 3" xfId="4556"/>
    <cellStyle name="40% - Accent6 8 4 3 2" xfId="8148"/>
    <cellStyle name="40% - Accent6 8 4 3 2 2" xfId="16119"/>
    <cellStyle name="40% - Accent6 8 4 3 2 3" xfId="24065"/>
    <cellStyle name="40% - Accent6 8 4 3 3" xfId="12581"/>
    <cellStyle name="40% - Accent6 8 4 3 4" xfId="20536"/>
    <cellStyle name="40% - Accent6 8 4 4" xfId="6386"/>
    <cellStyle name="40% - Accent6 8 4 4 2" xfId="14361"/>
    <cellStyle name="40% - Accent6 8 4 4 3" xfId="22308"/>
    <cellStyle name="40% - Accent6 8 4 5" xfId="9929"/>
    <cellStyle name="40% - Accent6 8 4 5 2" xfId="17887"/>
    <cellStyle name="40% - Accent6 8 4 5 3" xfId="25831"/>
    <cellStyle name="40% - Accent6 8 4 6" xfId="10825"/>
    <cellStyle name="40% - Accent6 8 4 7" xfId="18780"/>
    <cellStyle name="40% - Accent6 8 4_Exh G" xfId="3416"/>
    <cellStyle name="40% - Accent6 8 5" xfId="1657"/>
    <cellStyle name="40% - Accent6 8 5 2" xfId="5187"/>
    <cellStyle name="40% - Accent6 8 5 2 2" xfId="8778"/>
    <cellStyle name="40% - Accent6 8 5 2 2 2" xfId="16749"/>
    <cellStyle name="40% - Accent6 8 5 2 2 3" xfId="24695"/>
    <cellStyle name="40% - Accent6 8 5 2 3" xfId="13211"/>
    <cellStyle name="40% - Accent6 8 5 2 4" xfId="21166"/>
    <cellStyle name="40% - Accent6 8 5 3" xfId="7019"/>
    <cellStyle name="40% - Accent6 8 5 3 2" xfId="14991"/>
    <cellStyle name="40% - Accent6 8 5 3 3" xfId="22938"/>
    <cellStyle name="40% - Accent6 8 5 4" xfId="11455"/>
    <cellStyle name="40% - Accent6 8 5 5" xfId="19410"/>
    <cellStyle name="40% - Accent6 8 5_Exh G" xfId="3418"/>
    <cellStyle name="40% - Accent6 8 6" xfId="4308"/>
    <cellStyle name="40% - Accent6 8 6 2" xfId="7900"/>
    <cellStyle name="40% - Accent6 8 6 2 2" xfId="15871"/>
    <cellStyle name="40% - Accent6 8 6 2 3" xfId="23817"/>
    <cellStyle name="40% - Accent6 8 6 3" xfId="12333"/>
    <cellStyle name="40% - Accent6 8 6 4" xfId="20288"/>
    <cellStyle name="40% - Accent6 8 7" xfId="6128"/>
    <cellStyle name="40% - Accent6 8 7 2" xfId="14112"/>
    <cellStyle name="40% - Accent6 8 7 3" xfId="22060"/>
    <cellStyle name="40% - Accent6 8 8" xfId="9681"/>
    <cellStyle name="40% - Accent6 8 8 2" xfId="17639"/>
    <cellStyle name="40% - Accent6 8 8 3" xfId="25583"/>
    <cellStyle name="40% - Accent6 8 9" xfId="10577"/>
    <cellStyle name="40% - Accent6 8_Exh G" xfId="3409"/>
    <cellStyle name="40% - Accent6 9" xfId="633"/>
    <cellStyle name="40% - Accent6 9 10" xfId="18536"/>
    <cellStyle name="40% - Accent6 9 2" xfId="634"/>
    <cellStyle name="40% - Accent6 9 2 2" xfId="635"/>
    <cellStyle name="40% - Accent6 9 2 2 2" xfId="1663"/>
    <cellStyle name="40% - Accent6 9 2 2 2 2" xfId="5193"/>
    <cellStyle name="40% - Accent6 9 2 2 2 2 2" xfId="8784"/>
    <cellStyle name="40% - Accent6 9 2 2 2 2 2 2" xfId="16755"/>
    <cellStyle name="40% - Accent6 9 2 2 2 2 2 3" xfId="24701"/>
    <cellStyle name="40% - Accent6 9 2 2 2 2 3" xfId="13217"/>
    <cellStyle name="40% - Accent6 9 2 2 2 2 4" xfId="21172"/>
    <cellStyle name="40% - Accent6 9 2 2 2 3" xfId="7025"/>
    <cellStyle name="40% - Accent6 9 2 2 2 3 2" xfId="14997"/>
    <cellStyle name="40% - Accent6 9 2 2 2 3 3" xfId="22944"/>
    <cellStyle name="40% - Accent6 9 2 2 2 4" xfId="11461"/>
    <cellStyle name="40% - Accent6 9 2 2 2 5" xfId="19416"/>
    <cellStyle name="40% - Accent6 9 2 2 2_Exh G" xfId="3422"/>
    <cellStyle name="40% - Accent6 9 2 2 3" xfId="4314"/>
    <cellStyle name="40% - Accent6 9 2 2 3 2" xfId="7906"/>
    <cellStyle name="40% - Accent6 9 2 2 3 2 2" xfId="15877"/>
    <cellStyle name="40% - Accent6 9 2 2 3 2 3" xfId="23823"/>
    <cellStyle name="40% - Accent6 9 2 2 3 3" xfId="12339"/>
    <cellStyle name="40% - Accent6 9 2 2 3 4" xfId="20294"/>
    <cellStyle name="40% - Accent6 9 2 2 4" xfId="6134"/>
    <cellStyle name="40% - Accent6 9 2 2 4 2" xfId="14118"/>
    <cellStyle name="40% - Accent6 9 2 2 4 3" xfId="22066"/>
    <cellStyle name="40% - Accent6 9 2 2 5" xfId="9687"/>
    <cellStyle name="40% - Accent6 9 2 2 5 2" xfId="17645"/>
    <cellStyle name="40% - Accent6 9 2 2 5 3" xfId="25589"/>
    <cellStyle name="40% - Accent6 9 2 2 6" xfId="10583"/>
    <cellStyle name="40% - Accent6 9 2 2 7" xfId="18538"/>
    <cellStyle name="40% - Accent6 9 2 2_Exh G" xfId="3421"/>
    <cellStyle name="40% - Accent6 9 2 3" xfId="1662"/>
    <cellStyle name="40% - Accent6 9 2 3 2" xfId="5192"/>
    <cellStyle name="40% - Accent6 9 2 3 2 2" xfId="8783"/>
    <cellStyle name="40% - Accent6 9 2 3 2 2 2" xfId="16754"/>
    <cellStyle name="40% - Accent6 9 2 3 2 2 3" xfId="24700"/>
    <cellStyle name="40% - Accent6 9 2 3 2 3" xfId="13216"/>
    <cellStyle name="40% - Accent6 9 2 3 2 4" xfId="21171"/>
    <cellStyle name="40% - Accent6 9 2 3 3" xfId="7024"/>
    <cellStyle name="40% - Accent6 9 2 3 3 2" xfId="14996"/>
    <cellStyle name="40% - Accent6 9 2 3 3 3" xfId="22943"/>
    <cellStyle name="40% - Accent6 9 2 3 4" xfId="11460"/>
    <cellStyle name="40% - Accent6 9 2 3 5" xfId="19415"/>
    <cellStyle name="40% - Accent6 9 2 3_Exh G" xfId="3423"/>
    <cellStyle name="40% - Accent6 9 2 4" xfId="4313"/>
    <cellStyle name="40% - Accent6 9 2 4 2" xfId="7905"/>
    <cellStyle name="40% - Accent6 9 2 4 2 2" xfId="15876"/>
    <cellStyle name="40% - Accent6 9 2 4 2 3" xfId="23822"/>
    <cellStyle name="40% - Accent6 9 2 4 3" xfId="12338"/>
    <cellStyle name="40% - Accent6 9 2 4 4" xfId="20293"/>
    <cellStyle name="40% - Accent6 9 2 5" xfId="6133"/>
    <cellStyle name="40% - Accent6 9 2 5 2" xfId="14117"/>
    <cellStyle name="40% - Accent6 9 2 5 3" xfId="22065"/>
    <cellStyle name="40% - Accent6 9 2 6" xfId="9686"/>
    <cellStyle name="40% - Accent6 9 2 6 2" xfId="17644"/>
    <cellStyle name="40% - Accent6 9 2 6 3" xfId="25588"/>
    <cellStyle name="40% - Accent6 9 2 7" xfId="10582"/>
    <cellStyle name="40% - Accent6 9 2 8" xfId="18537"/>
    <cellStyle name="40% - Accent6 9 2_Exh G" xfId="3420"/>
    <cellStyle name="40% - Accent6 9 3" xfId="636"/>
    <cellStyle name="40% - Accent6 9 3 2" xfId="1664"/>
    <cellStyle name="40% - Accent6 9 3 2 2" xfId="5194"/>
    <cellStyle name="40% - Accent6 9 3 2 2 2" xfId="8785"/>
    <cellStyle name="40% - Accent6 9 3 2 2 2 2" xfId="16756"/>
    <cellStyle name="40% - Accent6 9 3 2 2 2 3" xfId="24702"/>
    <cellStyle name="40% - Accent6 9 3 2 2 3" xfId="13218"/>
    <cellStyle name="40% - Accent6 9 3 2 2 4" xfId="21173"/>
    <cellStyle name="40% - Accent6 9 3 2 3" xfId="7026"/>
    <cellStyle name="40% - Accent6 9 3 2 3 2" xfId="14998"/>
    <cellStyle name="40% - Accent6 9 3 2 3 3" xfId="22945"/>
    <cellStyle name="40% - Accent6 9 3 2 4" xfId="11462"/>
    <cellStyle name="40% - Accent6 9 3 2 5" xfId="19417"/>
    <cellStyle name="40% - Accent6 9 3 2_Exh G" xfId="3425"/>
    <cellStyle name="40% - Accent6 9 3 3" xfId="4315"/>
    <cellStyle name="40% - Accent6 9 3 3 2" xfId="7907"/>
    <cellStyle name="40% - Accent6 9 3 3 2 2" xfId="15878"/>
    <cellStyle name="40% - Accent6 9 3 3 2 3" xfId="23824"/>
    <cellStyle name="40% - Accent6 9 3 3 3" xfId="12340"/>
    <cellStyle name="40% - Accent6 9 3 3 4" xfId="20295"/>
    <cellStyle name="40% - Accent6 9 3 4" xfId="6135"/>
    <cellStyle name="40% - Accent6 9 3 4 2" xfId="14119"/>
    <cellStyle name="40% - Accent6 9 3 4 3" xfId="22067"/>
    <cellStyle name="40% - Accent6 9 3 5" xfId="9688"/>
    <cellStyle name="40% - Accent6 9 3 5 2" xfId="17646"/>
    <cellStyle name="40% - Accent6 9 3 5 3" xfId="25590"/>
    <cellStyle name="40% - Accent6 9 3 6" xfId="10584"/>
    <cellStyle name="40% - Accent6 9 3 7" xfId="18539"/>
    <cellStyle name="40% - Accent6 9 3_Exh G" xfId="3424"/>
    <cellStyle name="40% - Accent6 9 4" xfId="1005"/>
    <cellStyle name="40% - Accent6 9 4 2" xfId="1918"/>
    <cellStyle name="40% - Accent6 9 4 2 2" xfId="5436"/>
    <cellStyle name="40% - Accent6 9 4 2 2 2" xfId="9027"/>
    <cellStyle name="40% - Accent6 9 4 2 2 2 2" xfId="16998"/>
    <cellStyle name="40% - Accent6 9 4 2 2 2 3" xfId="24944"/>
    <cellStyle name="40% - Accent6 9 4 2 2 3" xfId="13460"/>
    <cellStyle name="40% - Accent6 9 4 2 2 4" xfId="21415"/>
    <cellStyle name="40% - Accent6 9 4 2 3" xfId="7268"/>
    <cellStyle name="40% - Accent6 9 4 2 3 2" xfId="15240"/>
    <cellStyle name="40% - Accent6 9 4 2 3 3" xfId="23187"/>
    <cellStyle name="40% - Accent6 9 4 2 4" xfId="11704"/>
    <cellStyle name="40% - Accent6 9 4 2 5" xfId="19659"/>
    <cellStyle name="40% - Accent6 9 4 2_Exh G" xfId="3427"/>
    <cellStyle name="40% - Accent6 9 4 3" xfId="4557"/>
    <cellStyle name="40% - Accent6 9 4 3 2" xfId="8149"/>
    <cellStyle name="40% - Accent6 9 4 3 2 2" xfId="16120"/>
    <cellStyle name="40% - Accent6 9 4 3 2 3" xfId="24066"/>
    <cellStyle name="40% - Accent6 9 4 3 3" xfId="12582"/>
    <cellStyle name="40% - Accent6 9 4 3 4" xfId="20537"/>
    <cellStyle name="40% - Accent6 9 4 4" xfId="6387"/>
    <cellStyle name="40% - Accent6 9 4 4 2" xfId="14362"/>
    <cellStyle name="40% - Accent6 9 4 4 3" xfId="22309"/>
    <cellStyle name="40% - Accent6 9 4 5" xfId="9930"/>
    <cellStyle name="40% - Accent6 9 4 5 2" xfId="17888"/>
    <cellStyle name="40% - Accent6 9 4 5 3" xfId="25832"/>
    <cellStyle name="40% - Accent6 9 4 6" xfId="10826"/>
    <cellStyle name="40% - Accent6 9 4 7" xfId="18781"/>
    <cellStyle name="40% - Accent6 9 4_Exh G" xfId="3426"/>
    <cellStyle name="40% - Accent6 9 5" xfId="1661"/>
    <cellStyle name="40% - Accent6 9 5 2" xfId="5191"/>
    <cellStyle name="40% - Accent6 9 5 2 2" xfId="8782"/>
    <cellStyle name="40% - Accent6 9 5 2 2 2" xfId="16753"/>
    <cellStyle name="40% - Accent6 9 5 2 2 3" xfId="24699"/>
    <cellStyle name="40% - Accent6 9 5 2 3" xfId="13215"/>
    <cellStyle name="40% - Accent6 9 5 2 4" xfId="21170"/>
    <cellStyle name="40% - Accent6 9 5 3" xfId="7023"/>
    <cellStyle name="40% - Accent6 9 5 3 2" xfId="14995"/>
    <cellStyle name="40% - Accent6 9 5 3 3" xfId="22942"/>
    <cellStyle name="40% - Accent6 9 5 4" xfId="11459"/>
    <cellStyle name="40% - Accent6 9 5 5" xfId="19414"/>
    <cellStyle name="40% - Accent6 9 5_Exh G" xfId="3428"/>
    <cellStyle name="40% - Accent6 9 6" xfId="4312"/>
    <cellStyle name="40% - Accent6 9 6 2" xfId="7904"/>
    <cellStyle name="40% - Accent6 9 6 2 2" xfId="15875"/>
    <cellStyle name="40% - Accent6 9 6 2 3" xfId="23821"/>
    <cellStyle name="40% - Accent6 9 6 3" xfId="12337"/>
    <cellStyle name="40% - Accent6 9 6 4" xfId="20292"/>
    <cellStyle name="40% - Accent6 9 7" xfId="6132"/>
    <cellStyle name="40% - Accent6 9 7 2" xfId="14116"/>
    <cellStyle name="40% - Accent6 9 7 3" xfId="22064"/>
    <cellStyle name="40% - Accent6 9 8" xfId="9685"/>
    <cellStyle name="40% - Accent6 9 8 2" xfId="17643"/>
    <cellStyle name="40% - Accent6 9 8 3" xfId="25587"/>
    <cellStyle name="40% - Accent6 9 9" xfId="10581"/>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3 2" xfId="6238"/>
    <cellStyle name="Calculation 4" xfId="783"/>
    <cellStyle name="Calculation 4 2" xfId="6239"/>
    <cellStyle name="Check Cell 2" xfId="784"/>
    <cellStyle name="Check Cell 3" xfId="785"/>
    <cellStyle name="Check Cell 4" xfId="786"/>
    <cellStyle name="Comma" xfId="17924" builtinId="3"/>
    <cellStyle name="Comma 10" xfId="9049"/>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7"/>
    <cellStyle name="Comma 2 9" xfId="5497"/>
    <cellStyle name="Comma 2 9 2" xfId="5514"/>
    <cellStyle name="Comma 3" xfId="5"/>
    <cellStyle name="Comma 3 2" xfId="1008"/>
    <cellStyle name="Comma 3 2 2" xfId="1919"/>
    <cellStyle name="Comma 3 2 2 2" xfId="5437"/>
    <cellStyle name="Comma 3 2 2 2 2" xfId="9028"/>
    <cellStyle name="Comma 3 2 2 2 2 2" xfId="16999"/>
    <cellStyle name="Comma 3 2 2 2 2 3" xfId="24945"/>
    <cellStyle name="Comma 3 2 2 2 3" xfId="13461"/>
    <cellStyle name="Comma 3 2 2 2 4" xfId="21416"/>
    <cellStyle name="Comma 3 2 2 3" xfId="7269"/>
    <cellStyle name="Comma 3 2 2 3 2" xfId="15241"/>
    <cellStyle name="Comma 3 2 2 3 3" xfId="23188"/>
    <cellStyle name="Comma 3 2 2 4" xfId="11705"/>
    <cellStyle name="Comma 3 2 2 5" xfId="19660"/>
    <cellStyle name="Comma 3 2 3" xfId="4558"/>
    <cellStyle name="Comma 3 2 3 2" xfId="8150"/>
    <cellStyle name="Comma 3 2 3 2 2" xfId="16121"/>
    <cellStyle name="Comma 3 2 3 2 3" xfId="24067"/>
    <cellStyle name="Comma 3 2 3 3" xfId="12583"/>
    <cellStyle name="Comma 3 2 3 4" xfId="20538"/>
    <cellStyle name="Comma 3 2 4" xfId="5473"/>
    <cellStyle name="Comma 3 2 5" xfId="6388"/>
    <cellStyle name="Comma 3 2 5 2" xfId="14363"/>
    <cellStyle name="Comma 3 2 5 3" xfId="22310"/>
    <cellStyle name="Comma 3 2 6" xfId="9931"/>
    <cellStyle name="Comma 3 2 6 2" xfId="17889"/>
    <cellStyle name="Comma 3 2 6 3" xfId="25833"/>
    <cellStyle name="Comma 3 2 7" xfId="10827"/>
    <cellStyle name="Comma 3 2 8" xfId="18782"/>
    <cellStyle name="Comma 3 3" xfId="1046"/>
    <cellStyle name="Comma 3 4" xfId="5469"/>
    <cellStyle name="Comma 3 5" xfId="5518"/>
    <cellStyle name="Comma 4" xfId="9"/>
    <cellStyle name="Comma 4 2" xfId="1009"/>
    <cellStyle name="Comma 5" xfId="11"/>
    <cellStyle name="Comma 6" xfId="21"/>
    <cellStyle name="Comma 6 2" xfId="1051"/>
    <cellStyle name="Comma 6 2 2" xfId="4581"/>
    <cellStyle name="Comma 6 2 2 2" xfId="8172"/>
    <cellStyle name="Comma 6 2 2 2 2" xfId="16143"/>
    <cellStyle name="Comma 6 2 2 2 3" xfId="24089"/>
    <cellStyle name="Comma 6 2 2 3" xfId="12605"/>
    <cellStyle name="Comma 6 2 2 4" xfId="20560"/>
    <cellStyle name="Comma 6 2 3" xfId="6413"/>
    <cellStyle name="Comma 6 2 3 2" xfId="14385"/>
    <cellStyle name="Comma 6 2 3 3" xfId="22332"/>
    <cellStyle name="Comma 6 2 4" xfId="10849"/>
    <cellStyle name="Comma 6 2 5" xfId="18804"/>
    <cellStyle name="Comma 6 3" xfId="3702"/>
    <cellStyle name="Comma 6 3 2" xfId="7294"/>
    <cellStyle name="Comma 6 3 2 2" xfId="15265"/>
    <cellStyle name="Comma 6 3 2 3" xfId="23211"/>
    <cellStyle name="Comma 6 3 3" xfId="11727"/>
    <cellStyle name="Comma 6 3 4" xfId="19682"/>
    <cellStyle name="Comma 6 4" xfId="5522"/>
    <cellStyle name="Comma 6 4 2" xfId="13506"/>
    <cellStyle name="Comma 6 4 3" xfId="21454"/>
    <cellStyle name="Comma 6 5" xfId="9075"/>
    <cellStyle name="Comma 6 5 2" xfId="17033"/>
    <cellStyle name="Comma 6 5 3" xfId="24977"/>
    <cellStyle name="Comma 6 6" xfId="9971"/>
    <cellStyle name="Comma 6 7" xfId="17926"/>
    <cellStyle name="Comma 7" xfId="24"/>
    <cellStyle name="Comma 8" xfId="832"/>
    <cellStyle name="Comma 8 2" xfId="1772"/>
    <cellStyle name="Comma 8 2 2" xfId="5300"/>
    <cellStyle name="Comma 8 2 2 2" xfId="8891"/>
    <cellStyle name="Comma 8 2 2 2 2" xfId="16862"/>
    <cellStyle name="Comma 8 2 2 2 3" xfId="24808"/>
    <cellStyle name="Comma 8 2 2 3" xfId="13324"/>
    <cellStyle name="Comma 8 2 2 4" xfId="21279"/>
    <cellStyle name="Comma 8 2 3" xfId="7132"/>
    <cellStyle name="Comma 8 2 3 2" xfId="15104"/>
    <cellStyle name="Comma 8 2 3 3" xfId="23051"/>
    <cellStyle name="Comma 8 2 4" xfId="11568"/>
    <cellStyle name="Comma 8 2 5" xfId="19523"/>
    <cellStyle name="Comma 8 3" xfId="4421"/>
    <cellStyle name="Comma 8 3 2" xfId="8013"/>
    <cellStyle name="Comma 8 3 2 2" xfId="15984"/>
    <cellStyle name="Comma 8 3 2 3" xfId="23930"/>
    <cellStyle name="Comma 8 3 3" xfId="12446"/>
    <cellStyle name="Comma 8 3 4" xfId="20401"/>
    <cellStyle name="Comma 8 4" xfId="6251"/>
    <cellStyle name="Comma 8 4 2" xfId="14226"/>
    <cellStyle name="Comma 8 4 3" xfId="22173"/>
    <cellStyle name="Comma 8 5" xfId="9794"/>
    <cellStyle name="Comma 8 5 2" xfId="17752"/>
    <cellStyle name="Comma 8 5 3" xfId="25696"/>
    <cellStyle name="Comma 8 6" xfId="10690"/>
    <cellStyle name="Comma 8 7" xfId="18645"/>
    <cellStyle name="Comma 9" xfId="842"/>
    <cellStyle name="Comma 9 2" xfId="1781"/>
    <cellStyle name="Comma 9 2 2" xfId="5302"/>
    <cellStyle name="Comma 9 2 2 2" xfId="8893"/>
    <cellStyle name="Comma 9 2 2 2 2" xfId="16864"/>
    <cellStyle name="Comma 9 2 2 2 3" xfId="24810"/>
    <cellStyle name="Comma 9 2 2 3" xfId="13326"/>
    <cellStyle name="Comma 9 2 2 4" xfId="21281"/>
    <cellStyle name="Comma 9 2 3" xfId="7134"/>
    <cellStyle name="Comma 9 2 3 2" xfId="15106"/>
    <cellStyle name="Comma 9 2 3 3" xfId="23053"/>
    <cellStyle name="Comma 9 2 4" xfId="11570"/>
    <cellStyle name="Comma 9 2 5" xfId="19525"/>
    <cellStyle name="Comma 9 3" xfId="4423"/>
    <cellStyle name="Comma 9 3 2" xfId="8015"/>
    <cellStyle name="Comma 9 3 2 2" xfId="15986"/>
    <cellStyle name="Comma 9 3 2 3" xfId="23932"/>
    <cellStyle name="Comma 9 3 3" xfId="12448"/>
    <cellStyle name="Comma 9 3 4" xfId="20403"/>
    <cellStyle name="Comma 9 4" xfId="6253"/>
    <cellStyle name="Comma 9 4 2" xfId="14228"/>
    <cellStyle name="Comma 9 4 3" xfId="22175"/>
    <cellStyle name="Comma 9 5" xfId="9796"/>
    <cellStyle name="Comma 9 5 2" xfId="17754"/>
    <cellStyle name="Comma 9 5 3" xfId="25698"/>
    <cellStyle name="Comma 9 6" xfId="10692"/>
    <cellStyle name="Comma 9 7" xfId="18647"/>
    <cellStyle name="Currency 2" xfId="6"/>
    <cellStyle name="Currency 2 2" xfId="1010"/>
    <cellStyle name="Currency 2 3" xfId="1047"/>
    <cellStyle name="Currency 3" xfId="738"/>
    <cellStyle name="Currency 3 2" xfId="1011"/>
    <cellStyle name="Currency 3 3" xfId="1766"/>
    <cellStyle name="Currency 3 3 2" xfId="5296"/>
    <cellStyle name="Currency 3 3 2 2" xfId="8887"/>
    <cellStyle name="Currency 3 3 2 2 2" xfId="16858"/>
    <cellStyle name="Currency 3 3 2 2 3" xfId="24804"/>
    <cellStyle name="Currency 3 3 2 3" xfId="13320"/>
    <cellStyle name="Currency 3 3 2 4" xfId="21275"/>
    <cellStyle name="Currency 3 3 3" xfId="7128"/>
    <cellStyle name="Currency 3 3 3 2" xfId="15100"/>
    <cellStyle name="Currency 3 3 3 3" xfId="23047"/>
    <cellStyle name="Currency 3 3 4" xfId="11564"/>
    <cellStyle name="Currency 3 3 5" xfId="19519"/>
    <cellStyle name="Currency 3 4" xfId="4417"/>
    <cellStyle name="Currency 3 4 2" xfId="8009"/>
    <cellStyle name="Currency 3 4 2 2" xfId="15980"/>
    <cellStyle name="Currency 3 4 2 3" xfId="23926"/>
    <cellStyle name="Currency 3 4 3" xfId="12442"/>
    <cellStyle name="Currency 3 4 4" xfId="20397"/>
    <cellStyle name="Currency 3 5" xfId="6237"/>
    <cellStyle name="Currency 3 5 2" xfId="14221"/>
    <cellStyle name="Currency 3 5 3" xfId="22169"/>
    <cellStyle name="Currency 3 6" xfId="9790"/>
    <cellStyle name="Currency 3 6 2" xfId="17748"/>
    <cellStyle name="Currency 3 6 3" xfId="25692"/>
    <cellStyle name="Currency 3 7" xfId="10686"/>
    <cellStyle name="Currency 3 8" xfId="18641"/>
    <cellStyle name="Currency 4" xfId="856"/>
    <cellStyle name="Currency 4 2" xfId="1795"/>
    <cellStyle name="Currency 4 2 2" xfId="5316"/>
    <cellStyle name="Currency 4 2 2 2" xfId="8907"/>
    <cellStyle name="Currency 4 2 2 2 2" xfId="16878"/>
    <cellStyle name="Currency 4 2 2 2 3" xfId="24824"/>
    <cellStyle name="Currency 4 2 2 3" xfId="13340"/>
    <cellStyle name="Currency 4 2 2 4" xfId="21295"/>
    <cellStyle name="Currency 4 2 3" xfId="7148"/>
    <cellStyle name="Currency 4 2 3 2" xfId="15120"/>
    <cellStyle name="Currency 4 2 3 3" xfId="23067"/>
    <cellStyle name="Currency 4 2 4" xfId="11584"/>
    <cellStyle name="Currency 4 2 5" xfId="19539"/>
    <cellStyle name="Currency 4 3" xfId="4437"/>
    <cellStyle name="Currency 4 3 2" xfId="8029"/>
    <cellStyle name="Currency 4 3 2 2" xfId="16000"/>
    <cellStyle name="Currency 4 3 2 3" xfId="23946"/>
    <cellStyle name="Currency 4 3 3" xfId="12462"/>
    <cellStyle name="Currency 4 3 4" xfId="20417"/>
    <cellStyle name="Currency 4 4" xfId="6267"/>
    <cellStyle name="Currency 4 4 2" xfId="14242"/>
    <cellStyle name="Currency 4 4 3" xfId="22189"/>
    <cellStyle name="Currency 4 5" xfId="9810"/>
    <cellStyle name="Currency 4 5 2" xfId="17768"/>
    <cellStyle name="Currency 4 5 3" xfId="25712"/>
    <cellStyle name="Currency 4 6" xfId="10706"/>
    <cellStyle name="Currency 4 7" xfId="18661"/>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3 2" xfId="6240"/>
    <cellStyle name="Input 4" xfId="807"/>
    <cellStyle name="Input 4 2" xfId="6241"/>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10" xfId="18540"/>
    <cellStyle name="Normal 10 2" xfId="638"/>
    <cellStyle name="Normal 10 2 2" xfId="639"/>
    <cellStyle name="Normal 10 2 2 2" xfId="1667"/>
    <cellStyle name="Normal 10 2 2 2 2" xfId="5197"/>
    <cellStyle name="Normal 10 2 2 2 2 2" xfId="8788"/>
    <cellStyle name="Normal 10 2 2 2 2 2 2" xfId="16759"/>
    <cellStyle name="Normal 10 2 2 2 2 2 3" xfId="24705"/>
    <cellStyle name="Normal 10 2 2 2 2 3" xfId="13221"/>
    <cellStyle name="Normal 10 2 2 2 2 4" xfId="21176"/>
    <cellStyle name="Normal 10 2 2 2 3" xfId="7029"/>
    <cellStyle name="Normal 10 2 2 2 3 2" xfId="15001"/>
    <cellStyle name="Normal 10 2 2 2 3 3" xfId="22948"/>
    <cellStyle name="Normal 10 2 2 2 4" xfId="11465"/>
    <cellStyle name="Normal 10 2 2 2 5" xfId="19420"/>
    <cellStyle name="Normal 10 2 2 2_Exh G" xfId="3432"/>
    <cellStyle name="Normal 10 2 2 3" xfId="4318"/>
    <cellStyle name="Normal 10 2 2 3 2" xfId="7910"/>
    <cellStyle name="Normal 10 2 2 3 2 2" xfId="15881"/>
    <cellStyle name="Normal 10 2 2 3 2 3" xfId="23827"/>
    <cellStyle name="Normal 10 2 2 3 3" xfId="12343"/>
    <cellStyle name="Normal 10 2 2 3 4" xfId="20298"/>
    <cellStyle name="Normal 10 2 2 4" xfId="6138"/>
    <cellStyle name="Normal 10 2 2 4 2" xfId="14122"/>
    <cellStyle name="Normal 10 2 2 4 3" xfId="22070"/>
    <cellStyle name="Normal 10 2 2 5" xfId="9691"/>
    <cellStyle name="Normal 10 2 2 5 2" xfId="17649"/>
    <cellStyle name="Normal 10 2 2 5 3" xfId="25593"/>
    <cellStyle name="Normal 10 2 2 6" xfId="10587"/>
    <cellStyle name="Normal 10 2 2 7" xfId="18542"/>
    <cellStyle name="Normal 10 2 2_Exh G" xfId="3431"/>
    <cellStyle name="Normal 10 2 3" xfId="1666"/>
    <cellStyle name="Normal 10 2 3 2" xfId="5196"/>
    <cellStyle name="Normal 10 2 3 2 2" xfId="8787"/>
    <cellStyle name="Normal 10 2 3 2 2 2" xfId="16758"/>
    <cellStyle name="Normal 10 2 3 2 2 3" xfId="24704"/>
    <cellStyle name="Normal 10 2 3 2 3" xfId="13220"/>
    <cellStyle name="Normal 10 2 3 2 4" xfId="21175"/>
    <cellStyle name="Normal 10 2 3 3" xfId="7028"/>
    <cellStyle name="Normal 10 2 3 3 2" xfId="15000"/>
    <cellStyle name="Normal 10 2 3 3 3" xfId="22947"/>
    <cellStyle name="Normal 10 2 3 4" xfId="11464"/>
    <cellStyle name="Normal 10 2 3 5" xfId="19419"/>
    <cellStyle name="Normal 10 2 3_Exh G" xfId="3433"/>
    <cellStyle name="Normal 10 2 4" xfId="4317"/>
    <cellStyle name="Normal 10 2 4 2" xfId="7909"/>
    <cellStyle name="Normal 10 2 4 2 2" xfId="15880"/>
    <cellStyle name="Normal 10 2 4 2 3" xfId="23826"/>
    <cellStyle name="Normal 10 2 4 3" xfId="12342"/>
    <cellStyle name="Normal 10 2 4 4" xfId="20297"/>
    <cellStyle name="Normal 10 2 5" xfId="6137"/>
    <cellStyle name="Normal 10 2 5 2" xfId="14121"/>
    <cellStyle name="Normal 10 2 5 3" xfId="22069"/>
    <cellStyle name="Normal 10 2 6" xfId="9690"/>
    <cellStyle name="Normal 10 2 6 2" xfId="17648"/>
    <cellStyle name="Normal 10 2 6 3" xfId="25592"/>
    <cellStyle name="Normal 10 2 7" xfId="10586"/>
    <cellStyle name="Normal 10 2 8" xfId="18541"/>
    <cellStyle name="Normal 10 2_Exh G" xfId="3430"/>
    <cellStyle name="Normal 10 3" xfId="640"/>
    <cellStyle name="Normal 10 3 2" xfId="1668"/>
    <cellStyle name="Normal 10 3 2 2" xfId="5198"/>
    <cellStyle name="Normal 10 3 2 2 2" xfId="8789"/>
    <cellStyle name="Normal 10 3 2 2 2 2" xfId="16760"/>
    <cellStyle name="Normal 10 3 2 2 2 3" xfId="24706"/>
    <cellStyle name="Normal 10 3 2 2 3" xfId="13222"/>
    <cellStyle name="Normal 10 3 2 2 4" xfId="21177"/>
    <cellStyle name="Normal 10 3 2 3" xfId="7030"/>
    <cellStyle name="Normal 10 3 2 3 2" xfId="15002"/>
    <cellStyle name="Normal 10 3 2 3 3" xfId="22949"/>
    <cellStyle name="Normal 10 3 2 4" xfId="11466"/>
    <cellStyle name="Normal 10 3 2 5" xfId="19421"/>
    <cellStyle name="Normal 10 3 2_Exh G" xfId="3435"/>
    <cellStyle name="Normal 10 3 3" xfId="4319"/>
    <cellStyle name="Normal 10 3 3 2" xfId="7911"/>
    <cellStyle name="Normal 10 3 3 2 2" xfId="15882"/>
    <cellStyle name="Normal 10 3 3 2 3" xfId="23828"/>
    <cellStyle name="Normal 10 3 3 3" xfId="12344"/>
    <cellStyle name="Normal 10 3 3 4" xfId="20299"/>
    <cellStyle name="Normal 10 3 4" xfId="6139"/>
    <cellStyle name="Normal 10 3 4 2" xfId="14123"/>
    <cellStyle name="Normal 10 3 4 3" xfId="22071"/>
    <cellStyle name="Normal 10 3 5" xfId="9692"/>
    <cellStyle name="Normal 10 3 5 2" xfId="17650"/>
    <cellStyle name="Normal 10 3 5 3" xfId="25594"/>
    <cellStyle name="Normal 10 3 6" xfId="10588"/>
    <cellStyle name="Normal 10 3 7" xfId="18543"/>
    <cellStyle name="Normal 10 3_Exh G" xfId="3434"/>
    <cellStyle name="Normal 10 4" xfId="1012"/>
    <cellStyle name="Normal 10 5" xfId="1665"/>
    <cellStyle name="Normal 10 5 2" xfId="5195"/>
    <cellStyle name="Normal 10 5 2 2" xfId="8786"/>
    <cellStyle name="Normal 10 5 2 2 2" xfId="16757"/>
    <cellStyle name="Normal 10 5 2 2 3" xfId="24703"/>
    <cellStyle name="Normal 10 5 2 3" xfId="13219"/>
    <cellStyle name="Normal 10 5 2 4" xfId="21174"/>
    <cellStyle name="Normal 10 5 3" xfId="7027"/>
    <cellStyle name="Normal 10 5 3 2" xfId="14999"/>
    <cellStyle name="Normal 10 5 3 3" xfId="22946"/>
    <cellStyle name="Normal 10 5 4" xfId="11463"/>
    <cellStyle name="Normal 10 5 5" xfId="19418"/>
    <cellStyle name="Normal 10 5_Exh G" xfId="3436"/>
    <cellStyle name="Normal 10 6" xfId="4316"/>
    <cellStyle name="Normal 10 6 2" xfId="7908"/>
    <cellStyle name="Normal 10 6 2 2" xfId="15879"/>
    <cellStyle name="Normal 10 6 2 3" xfId="23825"/>
    <cellStyle name="Normal 10 6 3" xfId="12341"/>
    <cellStyle name="Normal 10 6 4" xfId="20296"/>
    <cellStyle name="Normal 10 7" xfId="6136"/>
    <cellStyle name="Normal 10 7 2" xfId="14120"/>
    <cellStyle name="Normal 10 7 3" xfId="22068"/>
    <cellStyle name="Normal 10 8" xfId="9689"/>
    <cellStyle name="Normal 10 8 2" xfId="17647"/>
    <cellStyle name="Normal 10 8 3" xfId="25591"/>
    <cellStyle name="Normal 10 9" xfId="10585"/>
    <cellStyle name="Normal 10_Exh G" xfId="3429"/>
    <cellStyle name="Normal 11" xfId="641"/>
    <cellStyle name="Normal 11 10" xfId="18544"/>
    <cellStyle name="Normal 11 2" xfId="642"/>
    <cellStyle name="Normal 11 2 2" xfId="643"/>
    <cellStyle name="Normal 11 2 2 2" xfId="1671"/>
    <cellStyle name="Normal 11 2 2 2 2" xfId="5201"/>
    <cellStyle name="Normal 11 2 2 2 2 2" xfId="8792"/>
    <cellStyle name="Normal 11 2 2 2 2 2 2" xfId="16763"/>
    <cellStyle name="Normal 11 2 2 2 2 2 3" xfId="24709"/>
    <cellStyle name="Normal 11 2 2 2 2 3" xfId="13225"/>
    <cellStyle name="Normal 11 2 2 2 2 4" xfId="21180"/>
    <cellStyle name="Normal 11 2 2 2 3" xfId="7033"/>
    <cellStyle name="Normal 11 2 2 2 3 2" xfId="15005"/>
    <cellStyle name="Normal 11 2 2 2 3 3" xfId="22952"/>
    <cellStyle name="Normal 11 2 2 2 4" xfId="11469"/>
    <cellStyle name="Normal 11 2 2 2 5" xfId="19424"/>
    <cellStyle name="Normal 11 2 2 2_Exh G" xfId="3440"/>
    <cellStyle name="Normal 11 2 2 3" xfId="4322"/>
    <cellStyle name="Normal 11 2 2 3 2" xfId="7914"/>
    <cellStyle name="Normal 11 2 2 3 2 2" xfId="15885"/>
    <cellStyle name="Normal 11 2 2 3 2 3" xfId="23831"/>
    <cellStyle name="Normal 11 2 2 3 3" xfId="12347"/>
    <cellStyle name="Normal 11 2 2 3 4" xfId="20302"/>
    <cellStyle name="Normal 11 2 2 4" xfId="6142"/>
    <cellStyle name="Normal 11 2 2 4 2" xfId="14126"/>
    <cellStyle name="Normal 11 2 2 4 3" xfId="22074"/>
    <cellStyle name="Normal 11 2 2 5" xfId="9695"/>
    <cellStyle name="Normal 11 2 2 5 2" xfId="17653"/>
    <cellStyle name="Normal 11 2 2 5 3" xfId="25597"/>
    <cellStyle name="Normal 11 2 2 6" xfId="10591"/>
    <cellStyle name="Normal 11 2 2 7" xfId="18546"/>
    <cellStyle name="Normal 11 2 2_Exh G" xfId="3439"/>
    <cellStyle name="Normal 11 2 3" xfId="1670"/>
    <cellStyle name="Normal 11 2 3 2" xfId="5200"/>
    <cellStyle name="Normal 11 2 3 2 2" xfId="8791"/>
    <cellStyle name="Normal 11 2 3 2 2 2" xfId="16762"/>
    <cellStyle name="Normal 11 2 3 2 2 3" xfId="24708"/>
    <cellStyle name="Normal 11 2 3 2 3" xfId="13224"/>
    <cellStyle name="Normal 11 2 3 2 4" xfId="21179"/>
    <cellStyle name="Normal 11 2 3 3" xfId="7032"/>
    <cellStyle name="Normal 11 2 3 3 2" xfId="15004"/>
    <cellStyle name="Normal 11 2 3 3 3" xfId="22951"/>
    <cellStyle name="Normal 11 2 3 4" xfId="11468"/>
    <cellStyle name="Normal 11 2 3 5" xfId="19423"/>
    <cellStyle name="Normal 11 2 3_Exh G" xfId="3441"/>
    <cellStyle name="Normal 11 2 4" xfId="4321"/>
    <cellStyle name="Normal 11 2 4 2" xfId="7913"/>
    <cellStyle name="Normal 11 2 4 2 2" xfId="15884"/>
    <cellStyle name="Normal 11 2 4 2 3" xfId="23830"/>
    <cellStyle name="Normal 11 2 4 3" xfId="12346"/>
    <cellStyle name="Normal 11 2 4 4" xfId="20301"/>
    <cellStyle name="Normal 11 2 5" xfId="6141"/>
    <cellStyle name="Normal 11 2 5 2" xfId="14125"/>
    <cellStyle name="Normal 11 2 5 3" xfId="22073"/>
    <cellStyle name="Normal 11 2 6" xfId="9694"/>
    <cellStyle name="Normal 11 2 6 2" xfId="17652"/>
    <cellStyle name="Normal 11 2 6 3" xfId="25596"/>
    <cellStyle name="Normal 11 2 7" xfId="10590"/>
    <cellStyle name="Normal 11 2 8" xfId="18545"/>
    <cellStyle name="Normal 11 2_Exh G" xfId="3438"/>
    <cellStyle name="Normal 11 3" xfId="644"/>
    <cellStyle name="Normal 11 3 2" xfId="1672"/>
    <cellStyle name="Normal 11 3 2 2" xfId="5202"/>
    <cellStyle name="Normal 11 3 2 2 2" xfId="8793"/>
    <cellStyle name="Normal 11 3 2 2 2 2" xfId="16764"/>
    <cellStyle name="Normal 11 3 2 2 2 3" xfId="24710"/>
    <cellStyle name="Normal 11 3 2 2 3" xfId="13226"/>
    <cellStyle name="Normal 11 3 2 2 4" xfId="21181"/>
    <cellStyle name="Normal 11 3 2 3" xfId="7034"/>
    <cellStyle name="Normal 11 3 2 3 2" xfId="15006"/>
    <cellStyle name="Normal 11 3 2 3 3" xfId="22953"/>
    <cellStyle name="Normal 11 3 2 4" xfId="11470"/>
    <cellStyle name="Normal 11 3 2 5" xfId="19425"/>
    <cellStyle name="Normal 11 3 2_Exh G" xfId="3443"/>
    <cellStyle name="Normal 11 3 3" xfId="4323"/>
    <cellStyle name="Normal 11 3 3 2" xfId="7915"/>
    <cellStyle name="Normal 11 3 3 2 2" xfId="15886"/>
    <cellStyle name="Normal 11 3 3 2 3" xfId="23832"/>
    <cellStyle name="Normal 11 3 3 3" xfId="12348"/>
    <cellStyle name="Normal 11 3 3 4" xfId="20303"/>
    <cellStyle name="Normal 11 3 4" xfId="6143"/>
    <cellStyle name="Normal 11 3 4 2" xfId="14127"/>
    <cellStyle name="Normal 11 3 4 3" xfId="22075"/>
    <cellStyle name="Normal 11 3 5" xfId="9696"/>
    <cellStyle name="Normal 11 3 5 2" xfId="17654"/>
    <cellStyle name="Normal 11 3 5 3" xfId="25598"/>
    <cellStyle name="Normal 11 3 6" xfId="10592"/>
    <cellStyle name="Normal 11 3 7" xfId="18547"/>
    <cellStyle name="Normal 11 3_Exh G" xfId="3442"/>
    <cellStyle name="Normal 11 4" xfId="1013"/>
    <cellStyle name="Normal 11 4 2" xfId="1920"/>
    <cellStyle name="Normal 11 4 2 2" xfId="5438"/>
    <cellStyle name="Normal 11 4 2 2 2" xfId="9029"/>
    <cellStyle name="Normal 11 4 2 2 2 2" xfId="17000"/>
    <cellStyle name="Normal 11 4 2 2 2 3" xfId="24946"/>
    <cellStyle name="Normal 11 4 2 2 3" xfId="13462"/>
    <cellStyle name="Normal 11 4 2 2 4" xfId="21417"/>
    <cellStyle name="Normal 11 4 2 3" xfId="7270"/>
    <cellStyle name="Normal 11 4 2 3 2" xfId="15242"/>
    <cellStyle name="Normal 11 4 2 3 3" xfId="23189"/>
    <cellStyle name="Normal 11 4 2 4" xfId="11706"/>
    <cellStyle name="Normal 11 4 2 5" xfId="19661"/>
    <cellStyle name="Normal 11 4 2_Exh G" xfId="3445"/>
    <cellStyle name="Normal 11 4 3" xfId="4559"/>
    <cellStyle name="Normal 11 4 3 2" xfId="8151"/>
    <cellStyle name="Normal 11 4 3 2 2" xfId="16122"/>
    <cellStyle name="Normal 11 4 3 2 3" xfId="24068"/>
    <cellStyle name="Normal 11 4 3 3" xfId="12584"/>
    <cellStyle name="Normal 11 4 3 4" xfId="20539"/>
    <cellStyle name="Normal 11 4 4" xfId="6389"/>
    <cellStyle name="Normal 11 4 4 2" xfId="14364"/>
    <cellStyle name="Normal 11 4 4 3" xfId="22311"/>
    <cellStyle name="Normal 11 4 5" xfId="9932"/>
    <cellStyle name="Normal 11 4 5 2" xfId="17890"/>
    <cellStyle name="Normal 11 4 5 3" xfId="25834"/>
    <cellStyle name="Normal 11 4 6" xfId="10828"/>
    <cellStyle name="Normal 11 4 7" xfId="18783"/>
    <cellStyle name="Normal 11 4_Exh G" xfId="3444"/>
    <cellStyle name="Normal 11 5" xfId="1669"/>
    <cellStyle name="Normal 11 5 2" xfId="5199"/>
    <cellStyle name="Normal 11 5 2 2" xfId="8790"/>
    <cellStyle name="Normal 11 5 2 2 2" xfId="16761"/>
    <cellStyle name="Normal 11 5 2 2 3" xfId="24707"/>
    <cellStyle name="Normal 11 5 2 3" xfId="13223"/>
    <cellStyle name="Normal 11 5 2 4" xfId="21178"/>
    <cellStyle name="Normal 11 5 3" xfId="7031"/>
    <cellStyle name="Normal 11 5 3 2" xfId="15003"/>
    <cellStyle name="Normal 11 5 3 3" xfId="22950"/>
    <cellStyle name="Normal 11 5 4" xfId="11467"/>
    <cellStyle name="Normal 11 5 5" xfId="19422"/>
    <cellStyle name="Normal 11 5_Exh G" xfId="3446"/>
    <cellStyle name="Normal 11 6" xfId="4320"/>
    <cellStyle name="Normal 11 6 2" xfId="7912"/>
    <cellStyle name="Normal 11 6 2 2" xfId="15883"/>
    <cellStyle name="Normal 11 6 2 3" xfId="23829"/>
    <cellStyle name="Normal 11 6 3" xfId="12345"/>
    <cellStyle name="Normal 11 6 4" xfId="20300"/>
    <cellStyle name="Normal 11 7" xfId="6140"/>
    <cellStyle name="Normal 11 7 2" xfId="14124"/>
    <cellStyle name="Normal 11 7 3" xfId="22072"/>
    <cellStyle name="Normal 11 8" xfId="9693"/>
    <cellStyle name="Normal 11 8 2" xfId="17651"/>
    <cellStyle name="Normal 11 8 3" xfId="25595"/>
    <cellStyle name="Normal 11 9" xfId="10589"/>
    <cellStyle name="Normal 11_Exh G" xfId="3437"/>
    <cellStyle name="Normal 12" xfId="645"/>
    <cellStyle name="Normal 12 10" xfId="18548"/>
    <cellStyle name="Normal 12 2" xfId="646"/>
    <cellStyle name="Normal 12 2 2" xfId="647"/>
    <cellStyle name="Normal 12 2 2 2" xfId="1675"/>
    <cellStyle name="Normal 12 2 2 2 2" xfId="5205"/>
    <cellStyle name="Normal 12 2 2 2 2 2" xfId="8796"/>
    <cellStyle name="Normal 12 2 2 2 2 2 2" xfId="16767"/>
    <cellStyle name="Normal 12 2 2 2 2 2 3" xfId="24713"/>
    <cellStyle name="Normal 12 2 2 2 2 3" xfId="13229"/>
    <cellStyle name="Normal 12 2 2 2 2 4" xfId="21184"/>
    <cellStyle name="Normal 12 2 2 2 3" xfId="7037"/>
    <cellStyle name="Normal 12 2 2 2 3 2" xfId="15009"/>
    <cellStyle name="Normal 12 2 2 2 3 3" xfId="22956"/>
    <cellStyle name="Normal 12 2 2 2 4" xfId="11473"/>
    <cellStyle name="Normal 12 2 2 2 5" xfId="19428"/>
    <cellStyle name="Normal 12 2 2 2_Exh G" xfId="3450"/>
    <cellStyle name="Normal 12 2 2 3" xfId="4326"/>
    <cellStyle name="Normal 12 2 2 3 2" xfId="7918"/>
    <cellStyle name="Normal 12 2 2 3 2 2" xfId="15889"/>
    <cellStyle name="Normal 12 2 2 3 2 3" xfId="23835"/>
    <cellStyle name="Normal 12 2 2 3 3" xfId="12351"/>
    <cellStyle name="Normal 12 2 2 3 4" xfId="20306"/>
    <cellStyle name="Normal 12 2 2 4" xfId="6146"/>
    <cellStyle name="Normal 12 2 2 4 2" xfId="14130"/>
    <cellStyle name="Normal 12 2 2 4 3" xfId="22078"/>
    <cellStyle name="Normal 12 2 2 5" xfId="9699"/>
    <cellStyle name="Normal 12 2 2 5 2" xfId="17657"/>
    <cellStyle name="Normal 12 2 2 5 3" xfId="25601"/>
    <cellStyle name="Normal 12 2 2 6" xfId="10595"/>
    <cellStyle name="Normal 12 2 2 7" xfId="18550"/>
    <cellStyle name="Normal 12 2 2_Exh G" xfId="3449"/>
    <cellStyle name="Normal 12 2 3" xfId="1674"/>
    <cellStyle name="Normal 12 2 3 2" xfId="5204"/>
    <cellStyle name="Normal 12 2 3 2 2" xfId="8795"/>
    <cellStyle name="Normal 12 2 3 2 2 2" xfId="16766"/>
    <cellStyle name="Normal 12 2 3 2 2 3" xfId="24712"/>
    <cellStyle name="Normal 12 2 3 2 3" xfId="13228"/>
    <cellStyle name="Normal 12 2 3 2 4" xfId="21183"/>
    <cellStyle name="Normal 12 2 3 3" xfId="7036"/>
    <cellStyle name="Normal 12 2 3 3 2" xfId="15008"/>
    <cellStyle name="Normal 12 2 3 3 3" xfId="22955"/>
    <cellStyle name="Normal 12 2 3 4" xfId="11472"/>
    <cellStyle name="Normal 12 2 3 5" xfId="19427"/>
    <cellStyle name="Normal 12 2 3_Exh G" xfId="3451"/>
    <cellStyle name="Normal 12 2 4" xfId="4325"/>
    <cellStyle name="Normal 12 2 4 2" xfId="7917"/>
    <cellStyle name="Normal 12 2 4 2 2" xfId="15888"/>
    <cellStyle name="Normal 12 2 4 2 3" xfId="23834"/>
    <cellStyle name="Normal 12 2 4 3" xfId="12350"/>
    <cellStyle name="Normal 12 2 4 4" xfId="20305"/>
    <cellStyle name="Normal 12 2 5" xfId="6145"/>
    <cellStyle name="Normal 12 2 5 2" xfId="14129"/>
    <cellStyle name="Normal 12 2 5 3" xfId="22077"/>
    <cellStyle name="Normal 12 2 6" xfId="9698"/>
    <cellStyle name="Normal 12 2 6 2" xfId="17656"/>
    <cellStyle name="Normal 12 2 6 3" xfId="25600"/>
    <cellStyle name="Normal 12 2 7" xfId="10594"/>
    <cellStyle name="Normal 12 2 8" xfId="18549"/>
    <cellStyle name="Normal 12 2_Exh G" xfId="3448"/>
    <cellStyle name="Normal 12 3" xfId="648"/>
    <cellStyle name="Normal 12 3 2" xfId="1676"/>
    <cellStyle name="Normal 12 3 2 2" xfId="5206"/>
    <cellStyle name="Normal 12 3 2 2 2" xfId="8797"/>
    <cellStyle name="Normal 12 3 2 2 2 2" xfId="16768"/>
    <cellStyle name="Normal 12 3 2 2 2 3" xfId="24714"/>
    <cellStyle name="Normal 12 3 2 2 3" xfId="13230"/>
    <cellStyle name="Normal 12 3 2 2 4" xfId="21185"/>
    <cellStyle name="Normal 12 3 2 3" xfId="7038"/>
    <cellStyle name="Normal 12 3 2 3 2" xfId="15010"/>
    <cellStyle name="Normal 12 3 2 3 3" xfId="22957"/>
    <cellStyle name="Normal 12 3 2 4" xfId="11474"/>
    <cellStyle name="Normal 12 3 2 5" xfId="19429"/>
    <cellStyle name="Normal 12 3 2_Exh G" xfId="3453"/>
    <cellStyle name="Normal 12 3 3" xfId="4327"/>
    <cellStyle name="Normal 12 3 3 2" xfId="7919"/>
    <cellStyle name="Normal 12 3 3 2 2" xfId="15890"/>
    <cellStyle name="Normal 12 3 3 2 3" xfId="23836"/>
    <cellStyle name="Normal 12 3 3 3" xfId="12352"/>
    <cellStyle name="Normal 12 3 3 4" xfId="20307"/>
    <cellStyle name="Normal 12 3 4" xfId="6147"/>
    <cellStyle name="Normal 12 3 4 2" xfId="14131"/>
    <cellStyle name="Normal 12 3 4 3" xfId="22079"/>
    <cellStyle name="Normal 12 3 5" xfId="9700"/>
    <cellStyle name="Normal 12 3 5 2" xfId="17658"/>
    <cellStyle name="Normal 12 3 5 3" xfId="25602"/>
    <cellStyle name="Normal 12 3 6" xfId="10596"/>
    <cellStyle name="Normal 12 3 7" xfId="18551"/>
    <cellStyle name="Normal 12 3_Exh G" xfId="3452"/>
    <cellStyle name="Normal 12 4" xfId="1014"/>
    <cellStyle name="Normal 12 4 2" xfId="1921"/>
    <cellStyle name="Normal 12 4 2 2" xfId="5439"/>
    <cellStyle name="Normal 12 4 2 2 2" xfId="9030"/>
    <cellStyle name="Normal 12 4 2 2 2 2" xfId="17001"/>
    <cellStyle name="Normal 12 4 2 2 2 3" xfId="24947"/>
    <cellStyle name="Normal 12 4 2 2 3" xfId="13463"/>
    <cellStyle name="Normal 12 4 2 2 4" xfId="21418"/>
    <cellStyle name="Normal 12 4 2 3" xfId="7271"/>
    <cellStyle name="Normal 12 4 2 3 2" xfId="15243"/>
    <cellStyle name="Normal 12 4 2 3 3" xfId="23190"/>
    <cellStyle name="Normal 12 4 2 4" xfId="11707"/>
    <cellStyle name="Normal 12 4 2 5" xfId="19662"/>
    <cellStyle name="Normal 12 4 2_Exh G" xfId="3455"/>
    <cellStyle name="Normal 12 4 3" xfId="4560"/>
    <cellStyle name="Normal 12 4 3 2" xfId="8152"/>
    <cellStyle name="Normal 12 4 3 2 2" xfId="16123"/>
    <cellStyle name="Normal 12 4 3 2 3" xfId="24069"/>
    <cellStyle name="Normal 12 4 3 3" xfId="12585"/>
    <cellStyle name="Normal 12 4 3 4" xfId="20540"/>
    <cellStyle name="Normal 12 4 4" xfId="6390"/>
    <cellStyle name="Normal 12 4 4 2" xfId="14365"/>
    <cellStyle name="Normal 12 4 4 3" xfId="22312"/>
    <cellStyle name="Normal 12 4 5" xfId="9933"/>
    <cellStyle name="Normal 12 4 5 2" xfId="17891"/>
    <cellStyle name="Normal 12 4 5 3" xfId="25835"/>
    <cellStyle name="Normal 12 4 6" xfId="10829"/>
    <cellStyle name="Normal 12 4 7" xfId="18784"/>
    <cellStyle name="Normal 12 4_Exh G" xfId="3454"/>
    <cellStyle name="Normal 12 5" xfId="1673"/>
    <cellStyle name="Normal 12 5 2" xfId="5203"/>
    <cellStyle name="Normal 12 5 2 2" xfId="8794"/>
    <cellStyle name="Normal 12 5 2 2 2" xfId="16765"/>
    <cellStyle name="Normal 12 5 2 2 3" xfId="24711"/>
    <cellStyle name="Normal 12 5 2 3" xfId="13227"/>
    <cellStyle name="Normal 12 5 2 4" xfId="21182"/>
    <cellStyle name="Normal 12 5 3" xfId="7035"/>
    <cellStyle name="Normal 12 5 3 2" xfId="15007"/>
    <cellStyle name="Normal 12 5 3 3" xfId="22954"/>
    <cellStyle name="Normal 12 5 4" xfId="11471"/>
    <cellStyle name="Normal 12 5 5" xfId="19426"/>
    <cellStyle name="Normal 12 5_Exh G" xfId="3456"/>
    <cellStyle name="Normal 12 6" xfId="4324"/>
    <cellStyle name="Normal 12 6 2" xfId="7916"/>
    <cellStyle name="Normal 12 6 2 2" xfId="15887"/>
    <cellStyle name="Normal 12 6 2 3" xfId="23833"/>
    <cellStyle name="Normal 12 6 3" xfId="12349"/>
    <cellStyle name="Normal 12 6 4" xfId="20304"/>
    <cellStyle name="Normal 12 7" xfId="6144"/>
    <cellStyle name="Normal 12 7 2" xfId="14128"/>
    <cellStyle name="Normal 12 7 3" xfId="22076"/>
    <cellStyle name="Normal 12 8" xfId="9697"/>
    <cellStyle name="Normal 12 8 2" xfId="17655"/>
    <cellStyle name="Normal 12 8 3" xfId="25599"/>
    <cellStyle name="Normal 12 9" xfId="10593"/>
    <cellStyle name="Normal 12_Exh G" xfId="3447"/>
    <cellStyle name="Normal 13" xfId="649"/>
    <cellStyle name="Normal 13 10" xfId="18552"/>
    <cellStyle name="Normal 13 2" xfId="650"/>
    <cellStyle name="Normal 13 2 2" xfId="651"/>
    <cellStyle name="Normal 13 2 2 2" xfId="1679"/>
    <cellStyle name="Normal 13 2 2 2 2" xfId="5209"/>
    <cellStyle name="Normal 13 2 2 2 2 2" xfId="8800"/>
    <cellStyle name="Normal 13 2 2 2 2 2 2" xfId="16771"/>
    <cellStyle name="Normal 13 2 2 2 2 2 3" xfId="24717"/>
    <cellStyle name="Normal 13 2 2 2 2 3" xfId="13233"/>
    <cellStyle name="Normal 13 2 2 2 2 4" xfId="21188"/>
    <cellStyle name="Normal 13 2 2 2 3" xfId="7041"/>
    <cellStyle name="Normal 13 2 2 2 3 2" xfId="15013"/>
    <cellStyle name="Normal 13 2 2 2 3 3" xfId="22960"/>
    <cellStyle name="Normal 13 2 2 2 4" xfId="11477"/>
    <cellStyle name="Normal 13 2 2 2 5" xfId="19432"/>
    <cellStyle name="Normal 13 2 2 2_Exh G" xfId="3460"/>
    <cellStyle name="Normal 13 2 2 3" xfId="4330"/>
    <cellStyle name="Normal 13 2 2 3 2" xfId="7922"/>
    <cellStyle name="Normal 13 2 2 3 2 2" xfId="15893"/>
    <cellStyle name="Normal 13 2 2 3 2 3" xfId="23839"/>
    <cellStyle name="Normal 13 2 2 3 3" xfId="12355"/>
    <cellStyle name="Normal 13 2 2 3 4" xfId="20310"/>
    <cellStyle name="Normal 13 2 2 4" xfId="6150"/>
    <cellStyle name="Normal 13 2 2 4 2" xfId="14134"/>
    <cellStyle name="Normal 13 2 2 4 3" xfId="22082"/>
    <cellStyle name="Normal 13 2 2 5" xfId="9703"/>
    <cellStyle name="Normal 13 2 2 5 2" xfId="17661"/>
    <cellStyle name="Normal 13 2 2 5 3" xfId="25605"/>
    <cellStyle name="Normal 13 2 2 6" xfId="10599"/>
    <cellStyle name="Normal 13 2 2 7" xfId="18554"/>
    <cellStyle name="Normal 13 2 2_Exh G" xfId="3459"/>
    <cellStyle name="Normal 13 2 3" xfId="1678"/>
    <cellStyle name="Normal 13 2 3 2" xfId="5208"/>
    <cellStyle name="Normal 13 2 3 2 2" xfId="8799"/>
    <cellStyle name="Normal 13 2 3 2 2 2" xfId="16770"/>
    <cellStyle name="Normal 13 2 3 2 2 3" xfId="24716"/>
    <cellStyle name="Normal 13 2 3 2 3" xfId="13232"/>
    <cellStyle name="Normal 13 2 3 2 4" xfId="21187"/>
    <cellStyle name="Normal 13 2 3 3" xfId="7040"/>
    <cellStyle name="Normal 13 2 3 3 2" xfId="15012"/>
    <cellStyle name="Normal 13 2 3 3 3" xfId="22959"/>
    <cellStyle name="Normal 13 2 3 4" xfId="11476"/>
    <cellStyle name="Normal 13 2 3 5" xfId="19431"/>
    <cellStyle name="Normal 13 2 3_Exh G" xfId="3461"/>
    <cellStyle name="Normal 13 2 4" xfId="4329"/>
    <cellStyle name="Normal 13 2 4 2" xfId="7921"/>
    <cellStyle name="Normal 13 2 4 2 2" xfId="15892"/>
    <cellStyle name="Normal 13 2 4 2 3" xfId="23838"/>
    <cellStyle name="Normal 13 2 4 3" xfId="12354"/>
    <cellStyle name="Normal 13 2 4 4" xfId="20309"/>
    <cellStyle name="Normal 13 2 5" xfId="6149"/>
    <cellStyle name="Normal 13 2 5 2" xfId="14133"/>
    <cellStyle name="Normal 13 2 5 3" xfId="22081"/>
    <cellStyle name="Normal 13 2 6" xfId="9702"/>
    <cellStyle name="Normal 13 2 6 2" xfId="17660"/>
    <cellStyle name="Normal 13 2 6 3" xfId="25604"/>
    <cellStyle name="Normal 13 2 7" xfId="10598"/>
    <cellStyle name="Normal 13 2 8" xfId="18553"/>
    <cellStyle name="Normal 13 2_Exh G" xfId="3458"/>
    <cellStyle name="Normal 13 3" xfId="652"/>
    <cellStyle name="Normal 13 3 2" xfId="1680"/>
    <cellStyle name="Normal 13 3 2 2" xfId="5210"/>
    <cellStyle name="Normal 13 3 2 2 2" xfId="8801"/>
    <cellStyle name="Normal 13 3 2 2 2 2" xfId="16772"/>
    <cellStyle name="Normal 13 3 2 2 2 3" xfId="24718"/>
    <cellStyle name="Normal 13 3 2 2 3" xfId="13234"/>
    <cellStyle name="Normal 13 3 2 2 4" xfId="21189"/>
    <cellStyle name="Normal 13 3 2 3" xfId="7042"/>
    <cellStyle name="Normal 13 3 2 3 2" xfId="15014"/>
    <cellStyle name="Normal 13 3 2 3 3" xfId="22961"/>
    <cellStyle name="Normal 13 3 2 4" xfId="11478"/>
    <cellStyle name="Normal 13 3 2 5" xfId="19433"/>
    <cellStyle name="Normal 13 3 2_Exh G" xfId="3463"/>
    <cellStyle name="Normal 13 3 3" xfId="4331"/>
    <cellStyle name="Normal 13 3 3 2" xfId="7923"/>
    <cellStyle name="Normal 13 3 3 2 2" xfId="15894"/>
    <cellStyle name="Normal 13 3 3 2 3" xfId="23840"/>
    <cellStyle name="Normal 13 3 3 3" xfId="12356"/>
    <cellStyle name="Normal 13 3 3 4" xfId="20311"/>
    <cellStyle name="Normal 13 3 4" xfId="6151"/>
    <cellStyle name="Normal 13 3 4 2" xfId="14135"/>
    <cellStyle name="Normal 13 3 4 3" xfId="22083"/>
    <cellStyle name="Normal 13 3 5" xfId="9704"/>
    <cellStyle name="Normal 13 3 5 2" xfId="17662"/>
    <cellStyle name="Normal 13 3 5 3" xfId="25606"/>
    <cellStyle name="Normal 13 3 6" xfId="10600"/>
    <cellStyle name="Normal 13 3 7" xfId="18555"/>
    <cellStyle name="Normal 13 3_Exh G" xfId="3462"/>
    <cellStyle name="Normal 13 4" xfId="1015"/>
    <cellStyle name="Normal 13 4 2" xfId="1922"/>
    <cellStyle name="Normal 13 4 2 2" xfId="5440"/>
    <cellStyle name="Normal 13 4 2 2 2" xfId="9031"/>
    <cellStyle name="Normal 13 4 2 2 2 2" xfId="17002"/>
    <cellStyle name="Normal 13 4 2 2 2 3" xfId="24948"/>
    <cellStyle name="Normal 13 4 2 2 3" xfId="13464"/>
    <cellStyle name="Normal 13 4 2 2 4" xfId="21419"/>
    <cellStyle name="Normal 13 4 2 3" xfId="7272"/>
    <cellStyle name="Normal 13 4 2 3 2" xfId="15244"/>
    <cellStyle name="Normal 13 4 2 3 3" xfId="23191"/>
    <cellStyle name="Normal 13 4 2 4" xfId="11708"/>
    <cellStyle name="Normal 13 4 2 5" xfId="19663"/>
    <cellStyle name="Normal 13 4 2_Exh G" xfId="3465"/>
    <cellStyle name="Normal 13 4 3" xfId="4561"/>
    <cellStyle name="Normal 13 4 3 2" xfId="8153"/>
    <cellStyle name="Normal 13 4 3 2 2" xfId="16124"/>
    <cellStyle name="Normal 13 4 3 2 3" xfId="24070"/>
    <cellStyle name="Normal 13 4 3 3" xfId="12586"/>
    <cellStyle name="Normal 13 4 3 4" xfId="20541"/>
    <cellStyle name="Normal 13 4 4" xfId="6391"/>
    <cellStyle name="Normal 13 4 4 2" xfId="14366"/>
    <cellStyle name="Normal 13 4 4 3" xfId="22313"/>
    <cellStyle name="Normal 13 4 5" xfId="9934"/>
    <cellStyle name="Normal 13 4 5 2" xfId="17892"/>
    <cellStyle name="Normal 13 4 5 3" xfId="25836"/>
    <cellStyle name="Normal 13 4 6" xfId="10830"/>
    <cellStyle name="Normal 13 4 7" xfId="18785"/>
    <cellStyle name="Normal 13 4_Exh G" xfId="3464"/>
    <cellStyle name="Normal 13 5" xfId="1677"/>
    <cellStyle name="Normal 13 5 2" xfId="5207"/>
    <cellStyle name="Normal 13 5 2 2" xfId="8798"/>
    <cellStyle name="Normal 13 5 2 2 2" xfId="16769"/>
    <cellStyle name="Normal 13 5 2 2 3" xfId="24715"/>
    <cellStyle name="Normal 13 5 2 3" xfId="13231"/>
    <cellStyle name="Normal 13 5 2 4" xfId="21186"/>
    <cellStyle name="Normal 13 5 3" xfId="7039"/>
    <cellStyle name="Normal 13 5 3 2" xfId="15011"/>
    <cellStyle name="Normal 13 5 3 3" xfId="22958"/>
    <cellStyle name="Normal 13 5 4" xfId="11475"/>
    <cellStyle name="Normal 13 5 5" xfId="19430"/>
    <cellStyle name="Normal 13 5_Exh G" xfId="3466"/>
    <cellStyle name="Normal 13 6" xfId="4328"/>
    <cellStyle name="Normal 13 6 2" xfId="7920"/>
    <cellStyle name="Normal 13 6 2 2" xfId="15891"/>
    <cellStyle name="Normal 13 6 2 3" xfId="23837"/>
    <cellStyle name="Normal 13 6 3" xfId="12353"/>
    <cellStyle name="Normal 13 6 4" xfId="20308"/>
    <cellStyle name="Normal 13 7" xfId="6148"/>
    <cellStyle name="Normal 13 7 2" xfId="14132"/>
    <cellStyle name="Normal 13 7 3" xfId="22080"/>
    <cellStyle name="Normal 13 8" xfId="9701"/>
    <cellStyle name="Normal 13 8 2" xfId="17659"/>
    <cellStyle name="Normal 13 8 3" xfId="25603"/>
    <cellStyle name="Normal 13 9" xfId="10597"/>
    <cellStyle name="Normal 13_Exh G" xfId="3457"/>
    <cellStyle name="Normal 14" xfId="653"/>
    <cellStyle name="Normal 14 10" xfId="10601"/>
    <cellStyle name="Normal 14 11" xfId="18556"/>
    <cellStyle name="Normal 14 2" xfId="654"/>
    <cellStyle name="Normal 14 2 2" xfId="655"/>
    <cellStyle name="Normal 14 2 2 2" xfId="1683"/>
    <cellStyle name="Normal 14 2 2 2 2" xfId="5213"/>
    <cellStyle name="Normal 14 2 2 2 2 2" xfId="8804"/>
    <cellStyle name="Normal 14 2 2 2 2 2 2" xfId="16775"/>
    <cellStyle name="Normal 14 2 2 2 2 2 3" xfId="24721"/>
    <cellStyle name="Normal 14 2 2 2 2 3" xfId="13237"/>
    <cellStyle name="Normal 14 2 2 2 2 4" xfId="21192"/>
    <cellStyle name="Normal 14 2 2 2 3" xfId="7045"/>
    <cellStyle name="Normal 14 2 2 2 3 2" xfId="15017"/>
    <cellStyle name="Normal 14 2 2 2 3 3" xfId="22964"/>
    <cellStyle name="Normal 14 2 2 2 4" xfId="11481"/>
    <cellStyle name="Normal 14 2 2 2 5" xfId="19436"/>
    <cellStyle name="Normal 14 2 2 2_Exh G" xfId="3470"/>
    <cellStyle name="Normal 14 2 2 3" xfId="4334"/>
    <cellStyle name="Normal 14 2 2 3 2" xfId="7926"/>
    <cellStyle name="Normal 14 2 2 3 2 2" xfId="15897"/>
    <cellStyle name="Normal 14 2 2 3 2 3" xfId="23843"/>
    <cellStyle name="Normal 14 2 2 3 3" xfId="12359"/>
    <cellStyle name="Normal 14 2 2 3 4" xfId="20314"/>
    <cellStyle name="Normal 14 2 2 4" xfId="6154"/>
    <cellStyle name="Normal 14 2 2 4 2" xfId="14138"/>
    <cellStyle name="Normal 14 2 2 4 3" xfId="22086"/>
    <cellStyle name="Normal 14 2 2 5" xfId="9707"/>
    <cellStyle name="Normal 14 2 2 5 2" xfId="17665"/>
    <cellStyle name="Normal 14 2 2 5 3" xfId="25609"/>
    <cellStyle name="Normal 14 2 2 6" xfId="10603"/>
    <cellStyle name="Normal 14 2 2 7" xfId="18558"/>
    <cellStyle name="Normal 14 2 2_Exh G" xfId="3469"/>
    <cellStyle name="Normal 14 2 3" xfId="1682"/>
    <cellStyle name="Normal 14 2 3 2" xfId="5212"/>
    <cellStyle name="Normal 14 2 3 2 2" xfId="8803"/>
    <cellStyle name="Normal 14 2 3 2 2 2" xfId="16774"/>
    <cellStyle name="Normal 14 2 3 2 2 3" xfId="24720"/>
    <cellStyle name="Normal 14 2 3 2 3" xfId="13236"/>
    <cellStyle name="Normal 14 2 3 2 4" xfId="21191"/>
    <cellStyle name="Normal 14 2 3 3" xfId="7044"/>
    <cellStyle name="Normal 14 2 3 3 2" xfId="15016"/>
    <cellStyle name="Normal 14 2 3 3 3" xfId="22963"/>
    <cellStyle name="Normal 14 2 3 4" xfId="11480"/>
    <cellStyle name="Normal 14 2 3 5" xfId="19435"/>
    <cellStyle name="Normal 14 2 3_Exh G" xfId="3471"/>
    <cellStyle name="Normal 14 2 4" xfId="4333"/>
    <cellStyle name="Normal 14 2 4 2" xfId="7925"/>
    <cellStyle name="Normal 14 2 4 2 2" xfId="15896"/>
    <cellStyle name="Normal 14 2 4 2 3" xfId="23842"/>
    <cellStyle name="Normal 14 2 4 3" xfId="12358"/>
    <cellStyle name="Normal 14 2 4 4" xfId="20313"/>
    <cellStyle name="Normal 14 2 5" xfId="6153"/>
    <cellStyle name="Normal 14 2 5 2" xfId="14137"/>
    <cellStyle name="Normal 14 2 5 3" xfId="22085"/>
    <cellStyle name="Normal 14 2 6" xfId="9706"/>
    <cellStyle name="Normal 14 2 6 2" xfId="17664"/>
    <cellStyle name="Normal 14 2 6 3" xfId="25608"/>
    <cellStyle name="Normal 14 2 7" xfId="10602"/>
    <cellStyle name="Normal 14 2 8" xfId="18557"/>
    <cellStyle name="Normal 14 2_Exh G" xfId="3468"/>
    <cellStyle name="Normal 14 3" xfId="656"/>
    <cellStyle name="Normal 14 3 2" xfId="1684"/>
    <cellStyle name="Normal 14 3 2 2" xfId="5214"/>
    <cellStyle name="Normal 14 3 2 2 2" xfId="8805"/>
    <cellStyle name="Normal 14 3 2 2 2 2" xfId="16776"/>
    <cellStyle name="Normal 14 3 2 2 2 3" xfId="24722"/>
    <cellStyle name="Normal 14 3 2 2 3" xfId="13238"/>
    <cellStyle name="Normal 14 3 2 2 4" xfId="21193"/>
    <cellStyle name="Normal 14 3 2 3" xfId="7046"/>
    <cellStyle name="Normal 14 3 2 3 2" xfId="15018"/>
    <cellStyle name="Normal 14 3 2 3 3" xfId="22965"/>
    <cellStyle name="Normal 14 3 2 4" xfId="11482"/>
    <cellStyle name="Normal 14 3 2 5" xfId="19437"/>
    <cellStyle name="Normal 14 3 2_Exh G" xfId="3473"/>
    <cellStyle name="Normal 14 3 3" xfId="4335"/>
    <cellStyle name="Normal 14 3 3 2" xfId="7927"/>
    <cellStyle name="Normal 14 3 3 2 2" xfId="15898"/>
    <cellStyle name="Normal 14 3 3 2 3" xfId="23844"/>
    <cellStyle name="Normal 14 3 3 3" xfId="12360"/>
    <cellStyle name="Normal 14 3 3 4" xfId="20315"/>
    <cellStyle name="Normal 14 3 4" xfId="6155"/>
    <cellStyle name="Normal 14 3 4 2" xfId="14139"/>
    <cellStyle name="Normal 14 3 4 3" xfId="22087"/>
    <cellStyle name="Normal 14 3 5" xfId="9708"/>
    <cellStyle name="Normal 14 3 5 2" xfId="17666"/>
    <cellStyle name="Normal 14 3 5 3" xfId="25610"/>
    <cellStyle name="Normal 14 3 6" xfId="10604"/>
    <cellStyle name="Normal 14 3 7" xfId="18559"/>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 2 2" xfId="8802"/>
    <cellStyle name="Normal 14 6 2 2 2" xfId="16773"/>
    <cellStyle name="Normal 14 6 2 2 3" xfId="24719"/>
    <cellStyle name="Normal 14 6 2 3" xfId="13235"/>
    <cellStyle name="Normal 14 6 2 4" xfId="21190"/>
    <cellStyle name="Normal 14 6 3" xfId="7043"/>
    <cellStyle name="Normal 14 6 3 2" xfId="15015"/>
    <cellStyle name="Normal 14 6 3 3" xfId="22962"/>
    <cellStyle name="Normal 14 6 4" xfId="11479"/>
    <cellStyle name="Normal 14 6 5" xfId="19434"/>
    <cellStyle name="Normal 14 6_Exh G" xfId="3475"/>
    <cellStyle name="Normal 14 7" xfId="4332"/>
    <cellStyle name="Normal 14 7 2" xfId="7924"/>
    <cellStyle name="Normal 14 7 2 2" xfId="15895"/>
    <cellStyle name="Normal 14 7 2 3" xfId="23841"/>
    <cellStyle name="Normal 14 7 3" xfId="12357"/>
    <cellStyle name="Normal 14 7 4" xfId="20312"/>
    <cellStyle name="Normal 14 8" xfId="6152"/>
    <cellStyle name="Normal 14 8 2" xfId="14136"/>
    <cellStyle name="Normal 14 8 3" xfId="22084"/>
    <cellStyle name="Normal 14 9" xfId="9705"/>
    <cellStyle name="Normal 14 9 2" xfId="17663"/>
    <cellStyle name="Normal 14 9 3" xfId="25607"/>
    <cellStyle name="Normal 14_Exh G" xfId="3467"/>
    <cellStyle name="Normal 15" xfId="657"/>
    <cellStyle name="Normal 15 2" xfId="658"/>
    <cellStyle name="Normal 15 2 2" xfId="659"/>
    <cellStyle name="Normal 15 2 2 2" xfId="1687"/>
    <cellStyle name="Normal 15 2 2 2 2" xfId="5217"/>
    <cellStyle name="Normal 15 2 2 2 2 2" xfId="8808"/>
    <cellStyle name="Normal 15 2 2 2 2 2 2" xfId="16779"/>
    <cellStyle name="Normal 15 2 2 2 2 2 3" xfId="24725"/>
    <cellStyle name="Normal 15 2 2 2 2 3" xfId="13241"/>
    <cellStyle name="Normal 15 2 2 2 2 4" xfId="21196"/>
    <cellStyle name="Normal 15 2 2 2 3" xfId="7049"/>
    <cellStyle name="Normal 15 2 2 2 3 2" xfId="15021"/>
    <cellStyle name="Normal 15 2 2 2 3 3" xfId="22968"/>
    <cellStyle name="Normal 15 2 2 2 4" xfId="11485"/>
    <cellStyle name="Normal 15 2 2 2 5" xfId="19440"/>
    <cellStyle name="Normal 15 2 2 2_Exh G" xfId="3479"/>
    <cellStyle name="Normal 15 2 2 3" xfId="4338"/>
    <cellStyle name="Normal 15 2 2 3 2" xfId="7930"/>
    <cellStyle name="Normal 15 2 2 3 2 2" xfId="15901"/>
    <cellStyle name="Normal 15 2 2 3 2 3" xfId="23847"/>
    <cellStyle name="Normal 15 2 2 3 3" xfId="12363"/>
    <cellStyle name="Normal 15 2 2 3 4" xfId="20318"/>
    <cellStyle name="Normal 15 2 2 4" xfId="6158"/>
    <cellStyle name="Normal 15 2 2 4 2" xfId="14142"/>
    <cellStyle name="Normal 15 2 2 4 3" xfId="22090"/>
    <cellStyle name="Normal 15 2 2 5" xfId="9711"/>
    <cellStyle name="Normal 15 2 2 5 2" xfId="17669"/>
    <cellStyle name="Normal 15 2 2 5 3" xfId="25613"/>
    <cellStyle name="Normal 15 2 2 6" xfId="10607"/>
    <cellStyle name="Normal 15 2 2 7" xfId="18562"/>
    <cellStyle name="Normal 15 2 2_Exh G" xfId="3478"/>
    <cellStyle name="Normal 15 2 3" xfId="1686"/>
    <cellStyle name="Normal 15 2 3 2" xfId="5216"/>
    <cellStyle name="Normal 15 2 3 2 2" xfId="8807"/>
    <cellStyle name="Normal 15 2 3 2 2 2" xfId="16778"/>
    <cellStyle name="Normal 15 2 3 2 2 3" xfId="24724"/>
    <cellStyle name="Normal 15 2 3 2 3" xfId="13240"/>
    <cellStyle name="Normal 15 2 3 2 4" xfId="21195"/>
    <cellStyle name="Normal 15 2 3 3" xfId="7048"/>
    <cellStyle name="Normal 15 2 3 3 2" xfId="15020"/>
    <cellStyle name="Normal 15 2 3 3 3" xfId="22967"/>
    <cellStyle name="Normal 15 2 3 4" xfId="11484"/>
    <cellStyle name="Normal 15 2 3 5" xfId="19439"/>
    <cellStyle name="Normal 15 2 3_Exh G" xfId="3480"/>
    <cellStyle name="Normal 15 2 4" xfId="4337"/>
    <cellStyle name="Normal 15 2 4 2" xfId="7929"/>
    <cellStyle name="Normal 15 2 4 2 2" xfId="15900"/>
    <cellStyle name="Normal 15 2 4 2 3" xfId="23846"/>
    <cellStyle name="Normal 15 2 4 3" xfId="12362"/>
    <cellStyle name="Normal 15 2 4 4" xfId="20317"/>
    <cellStyle name="Normal 15 2 5" xfId="6157"/>
    <cellStyle name="Normal 15 2 5 2" xfId="14141"/>
    <cellStyle name="Normal 15 2 5 3" xfId="22089"/>
    <cellStyle name="Normal 15 2 6" xfId="9710"/>
    <cellStyle name="Normal 15 2 6 2" xfId="17668"/>
    <cellStyle name="Normal 15 2 6 3" xfId="25612"/>
    <cellStyle name="Normal 15 2 7" xfId="10606"/>
    <cellStyle name="Normal 15 2 8" xfId="18561"/>
    <cellStyle name="Normal 15 2_Exh G" xfId="3477"/>
    <cellStyle name="Normal 15 3" xfId="660"/>
    <cellStyle name="Normal 15 3 2" xfId="1688"/>
    <cellStyle name="Normal 15 3 2 2" xfId="5218"/>
    <cellStyle name="Normal 15 3 2 2 2" xfId="8809"/>
    <cellStyle name="Normal 15 3 2 2 2 2" xfId="16780"/>
    <cellStyle name="Normal 15 3 2 2 2 3" xfId="24726"/>
    <cellStyle name="Normal 15 3 2 2 3" xfId="13242"/>
    <cellStyle name="Normal 15 3 2 2 4" xfId="21197"/>
    <cellStyle name="Normal 15 3 2 3" xfId="7050"/>
    <cellStyle name="Normal 15 3 2 3 2" xfId="15022"/>
    <cellStyle name="Normal 15 3 2 3 3" xfId="22969"/>
    <cellStyle name="Normal 15 3 2 4" xfId="11486"/>
    <cellStyle name="Normal 15 3 2 5" xfId="19441"/>
    <cellStyle name="Normal 15 3 2_Exh G" xfId="3482"/>
    <cellStyle name="Normal 15 3 3" xfId="4339"/>
    <cellStyle name="Normal 15 3 3 2" xfId="7931"/>
    <cellStyle name="Normal 15 3 3 2 2" xfId="15902"/>
    <cellStyle name="Normal 15 3 3 2 3" xfId="23848"/>
    <cellStyle name="Normal 15 3 3 3" xfId="12364"/>
    <cellStyle name="Normal 15 3 3 4" xfId="20319"/>
    <cellStyle name="Normal 15 3 4" xfId="6159"/>
    <cellStyle name="Normal 15 3 4 2" xfId="14143"/>
    <cellStyle name="Normal 15 3 4 3" xfId="22091"/>
    <cellStyle name="Normal 15 3 5" xfId="9712"/>
    <cellStyle name="Normal 15 3 5 2" xfId="17670"/>
    <cellStyle name="Normal 15 3 5 3" xfId="25614"/>
    <cellStyle name="Normal 15 3 6" xfId="10608"/>
    <cellStyle name="Normal 15 3 7" xfId="18563"/>
    <cellStyle name="Normal 15 3_Exh G" xfId="3481"/>
    <cellStyle name="Normal 15 4" xfId="1685"/>
    <cellStyle name="Normal 15 4 2" xfId="5215"/>
    <cellStyle name="Normal 15 4 2 2" xfId="8806"/>
    <cellStyle name="Normal 15 4 2 2 2" xfId="16777"/>
    <cellStyle name="Normal 15 4 2 2 3" xfId="24723"/>
    <cellStyle name="Normal 15 4 2 3" xfId="13239"/>
    <cellStyle name="Normal 15 4 2 4" xfId="21194"/>
    <cellStyle name="Normal 15 4 3" xfId="7047"/>
    <cellStyle name="Normal 15 4 3 2" xfId="15019"/>
    <cellStyle name="Normal 15 4 3 3" xfId="22966"/>
    <cellStyle name="Normal 15 4 4" xfId="11483"/>
    <cellStyle name="Normal 15 4 5" xfId="19438"/>
    <cellStyle name="Normal 15 4_Exh G" xfId="3483"/>
    <cellStyle name="Normal 15 5" xfId="4336"/>
    <cellStyle name="Normal 15 5 2" xfId="7928"/>
    <cellStyle name="Normal 15 5 2 2" xfId="15899"/>
    <cellStyle name="Normal 15 5 2 3" xfId="23845"/>
    <cellStyle name="Normal 15 5 3" xfId="12361"/>
    <cellStyle name="Normal 15 5 4" xfId="20316"/>
    <cellStyle name="Normal 15 6" xfId="6156"/>
    <cellStyle name="Normal 15 6 2" xfId="14140"/>
    <cellStyle name="Normal 15 6 3" xfId="22088"/>
    <cellStyle name="Normal 15 7" xfId="9709"/>
    <cellStyle name="Normal 15 7 2" xfId="17667"/>
    <cellStyle name="Normal 15 7 3" xfId="25611"/>
    <cellStyle name="Normal 15 8" xfId="10605"/>
    <cellStyle name="Normal 15 9" xfId="18560"/>
    <cellStyle name="Normal 15_Exh G" xfId="3476"/>
    <cellStyle name="Normal 16" xfId="661"/>
    <cellStyle name="Normal 16 2" xfId="662"/>
    <cellStyle name="Normal 16 2 2" xfId="663"/>
    <cellStyle name="Normal 16 2 2 2" xfId="1691"/>
    <cellStyle name="Normal 16 2 2 2 2" xfId="5221"/>
    <cellStyle name="Normal 16 2 2 2 2 2" xfId="8812"/>
    <cellStyle name="Normal 16 2 2 2 2 2 2" xfId="16783"/>
    <cellStyle name="Normal 16 2 2 2 2 2 3" xfId="24729"/>
    <cellStyle name="Normal 16 2 2 2 2 3" xfId="13245"/>
    <cellStyle name="Normal 16 2 2 2 2 4" xfId="21200"/>
    <cellStyle name="Normal 16 2 2 2 3" xfId="7053"/>
    <cellStyle name="Normal 16 2 2 2 3 2" xfId="15025"/>
    <cellStyle name="Normal 16 2 2 2 3 3" xfId="22972"/>
    <cellStyle name="Normal 16 2 2 2 4" xfId="11489"/>
    <cellStyle name="Normal 16 2 2 2 5" xfId="19444"/>
    <cellStyle name="Normal 16 2 2 2_Exh G" xfId="3487"/>
    <cellStyle name="Normal 16 2 2 3" xfId="4342"/>
    <cellStyle name="Normal 16 2 2 3 2" xfId="7934"/>
    <cellStyle name="Normal 16 2 2 3 2 2" xfId="15905"/>
    <cellStyle name="Normal 16 2 2 3 2 3" xfId="23851"/>
    <cellStyle name="Normal 16 2 2 3 3" xfId="12367"/>
    <cellStyle name="Normal 16 2 2 3 4" xfId="20322"/>
    <cellStyle name="Normal 16 2 2 4" xfId="6162"/>
    <cellStyle name="Normal 16 2 2 4 2" xfId="14146"/>
    <cellStyle name="Normal 16 2 2 4 3" xfId="22094"/>
    <cellStyle name="Normal 16 2 2 5" xfId="9715"/>
    <cellStyle name="Normal 16 2 2 5 2" xfId="17673"/>
    <cellStyle name="Normal 16 2 2 5 3" xfId="25617"/>
    <cellStyle name="Normal 16 2 2 6" xfId="10611"/>
    <cellStyle name="Normal 16 2 2 7" xfId="18566"/>
    <cellStyle name="Normal 16 2 2_Exh G" xfId="3486"/>
    <cellStyle name="Normal 16 2 3" xfId="1690"/>
    <cellStyle name="Normal 16 2 3 2" xfId="5220"/>
    <cellStyle name="Normal 16 2 3 2 2" xfId="8811"/>
    <cellStyle name="Normal 16 2 3 2 2 2" xfId="16782"/>
    <cellStyle name="Normal 16 2 3 2 2 3" xfId="24728"/>
    <cellStyle name="Normal 16 2 3 2 3" xfId="13244"/>
    <cellStyle name="Normal 16 2 3 2 4" xfId="21199"/>
    <cellStyle name="Normal 16 2 3 3" xfId="7052"/>
    <cellStyle name="Normal 16 2 3 3 2" xfId="15024"/>
    <cellStyle name="Normal 16 2 3 3 3" xfId="22971"/>
    <cellStyle name="Normal 16 2 3 4" xfId="11488"/>
    <cellStyle name="Normal 16 2 3 5" xfId="19443"/>
    <cellStyle name="Normal 16 2 3_Exh G" xfId="3488"/>
    <cellStyle name="Normal 16 2 4" xfId="4341"/>
    <cellStyle name="Normal 16 2 4 2" xfId="7933"/>
    <cellStyle name="Normal 16 2 4 2 2" xfId="15904"/>
    <cellStyle name="Normal 16 2 4 2 3" xfId="23850"/>
    <cellStyle name="Normal 16 2 4 3" xfId="12366"/>
    <cellStyle name="Normal 16 2 4 4" xfId="20321"/>
    <cellStyle name="Normal 16 2 5" xfId="6161"/>
    <cellStyle name="Normal 16 2 5 2" xfId="14145"/>
    <cellStyle name="Normal 16 2 5 3" xfId="22093"/>
    <cellStyle name="Normal 16 2 6" xfId="9714"/>
    <cellStyle name="Normal 16 2 6 2" xfId="17672"/>
    <cellStyle name="Normal 16 2 6 3" xfId="25616"/>
    <cellStyle name="Normal 16 2 7" xfId="10610"/>
    <cellStyle name="Normal 16 2 8" xfId="18565"/>
    <cellStyle name="Normal 16 2_Exh G" xfId="3485"/>
    <cellStyle name="Normal 16 3" xfId="664"/>
    <cellStyle name="Normal 16 3 2" xfId="1692"/>
    <cellStyle name="Normal 16 3 2 2" xfId="5222"/>
    <cellStyle name="Normal 16 3 2 2 2" xfId="8813"/>
    <cellStyle name="Normal 16 3 2 2 2 2" xfId="16784"/>
    <cellStyle name="Normal 16 3 2 2 2 3" xfId="24730"/>
    <cellStyle name="Normal 16 3 2 2 3" xfId="13246"/>
    <cellStyle name="Normal 16 3 2 2 4" xfId="21201"/>
    <cellStyle name="Normal 16 3 2 3" xfId="7054"/>
    <cellStyle name="Normal 16 3 2 3 2" xfId="15026"/>
    <cellStyle name="Normal 16 3 2 3 3" xfId="22973"/>
    <cellStyle name="Normal 16 3 2 4" xfId="11490"/>
    <cellStyle name="Normal 16 3 2 5" xfId="19445"/>
    <cellStyle name="Normal 16 3 2_Exh G" xfId="3490"/>
    <cellStyle name="Normal 16 3 3" xfId="4343"/>
    <cellStyle name="Normal 16 3 3 2" xfId="7935"/>
    <cellStyle name="Normal 16 3 3 2 2" xfId="15906"/>
    <cellStyle name="Normal 16 3 3 2 3" xfId="23852"/>
    <cellStyle name="Normal 16 3 3 3" xfId="12368"/>
    <cellStyle name="Normal 16 3 3 4" xfId="20323"/>
    <cellStyle name="Normal 16 3 4" xfId="6163"/>
    <cellStyle name="Normal 16 3 4 2" xfId="14147"/>
    <cellStyle name="Normal 16 3 4 3" xfId="22095"/>
    <cellStyle name="Normal 16 3 5" xfId="9716"/>
    <cellStyle name="Normal 16 3 5 2" xfId="17674"/>
    <cellStyle name="Normal 16 3 5 3" xfId="25618"/>
    <cellStyle name="Normal 16 3 6" xfId="10612"/>
    <cellStyle name="Normal 16 3 7" xfId="18567"/>
    <cellStyle name="Normal 16 3_Exh G" xfId="3489"/>
    <cellStyle name="Normal 16 4" xfId="1689"/>
    <cellStyle name="Normal 16 4 2" xfId="5219"/>
    <cellStyle name="Normal 16 4 2 2" xfId="8810"/>
    <cellStyle name="Normal 16 4 2 2 2" xfId="16781"/>
    <cellStyle name="Normal 16 4 2 2 3" xfId="24727"/>
    <cellStyle name="Normal 16 4 2 3" xfId="13243"/>
    <cellStyle name="Normal 16 4 2 4" xfId="21198"/>
    <cellStyle name="Normal 16 4 3" xfId="7051"/>
    <cellStyle name="Normal 16 4 3 2" xfId="15023"/>
    <cellStyle name="Normal 16 4 3 3" xfId="22970"/>
    <cellStyle name="Normal 16 4 4" xfId="11487"/>
    <cellStyle name="Normal 16 4 5" xfId="19442"/>
    <cellStyle name="Normal 16 4_Exh G" xfId="3491"/>
    <cellStyle name="Normal 16 5" xfId="4340"/>
    <cellStyle name="Normal 16 5 2" xfId="7932"/>
    <cellStyle name="Normal 16 5 2 2" xfId="15903"/>
    <cellStyle name="Normal 16 5 2 3" xfId="23849"/>
    <cellStyle name="Normal 16 5 3" xfId="12365"/>
    <cellStyle name="Normal 16 5 4" xfId="20320"/>
    <cellStyle name="Normal 16 6" xfId="6160"/>
    <cellStyle name="Normal 16 6 2" xfId="14144"/>
    <cellStyle name="Normal 16 6 3" xfId="22092"/>
    <cellStyle name="Normal 16 7" xfId="9713"/>
    <cellStyle name="Normal 16 7 2" xfId="17671"/>
    <cellStyle name="Normal 16 7 3" xfId="25615"/>
    <cellStyle name="Normal 16 8" xfId="10609"/>
    <cellStyle name="Normal 16 9" xfId="18564"/>
    <cellStyle name="Normal 16_Exh G" xfId="3484"/>
    <cellStyle name="Normal 17" xfId="665"/>
    <cellStyle name="Normal 17 2" xfId="1693"/>
    <cellStyle name="Normal 17 2 2" xfId="5223"/>
    <cellStyle name="Normal 17 2 2 2" xfId="8814"/>
    <cellStyle name="Normal 17 2 2 2 2" xfId="16785"/>
    <cellStyle name="Normal 17 2 2 2 3" xfId="24731"/>
    <cellStyle name="Normal 17 2 2 3" xfId="13247"/>
    <cellStyle name="Normal 17 2 2 4" xfId="21202"/>
    <cellStyle name="Normal 17 2 3" xfId="7055"/>
    <cellStyle name="Normal 17 2 3 2" xfId="15027"/>
    <cellStyle name="Normal 17 2 3 3" xfId="22974"/>
    <cellStyle name="Normal 17 2 4" xfId="11491"/>
    <cellStyle name="Normal 17 2 5" xfId="19446"/>
    <cellStyle name="Normal 17 2_Exh G" xfId="3493"/>
    <cellStyle name="Normal 17 3" xfId="4344"/>
    <cellStyle name="Normal 17 3 2" xfId="7936"/>
    <cellStyle name="Normal 17 3 2 2" xfId="15907"/>
    <cellStyle name="Normal 17 3 2 3" xfId="23853"/>
    <cellStyle name="Normal 17 3 3" xfId="12369"/>
    <cellStyle name="Normal 17 3 4" xfId="20324"/>
    <cellStyle name="Normal 17 4" xfId="6164"/>
    <cellStyle name="Normal 17 4 2" xfId="14148"/>
    <cellStyle name="Normal 17 4 3" xfId="22096"/>
    <cellStyle name="Normal 17 5" xfId="9717"/>
    <cellStyle name="Normal 17 5 2" xfId="17675"/>
    <cellStyle name="Normal 17 5 3" xfId="25619"/>
    <cellStyle name="Normal 17 6" xfId="10613"/>
    <cellStyle name="Normal 17 7" xfId="18568"/>
    <cellStyle name="Normal 17_Exh G" xfId="3492"/>
    <cellStyle name="Normal 18" xfId="739"/>
    <cellStyle name="Normal 19" xfId="827"/>
    <cellStyle name="Normal 19 2" xfId="1769"/>
    <cellStyle name="Normal 19 2 2" xfId="5298"/>
    <cellStyle name="Normal 19 2 2 2" xfId="8889"/>
    <cellStyle name="Normal 19 2 2 2 2" xfId="16860"/>
    <cellStyle name="Normal 19 2 2 2 3" xfId="24806"/>
    <cellStyle name="Normal 19 2 2 3" xfId="13322"/>
    <cellStyle name="Normal 19 2 2 4" xfId="21277"/>
    <cellStyle name="Normal 19 2 3" xfId="7130"/>
    <cellStyle name="Normal 19 2 3 2" xfId="15102"/>
    <cellStyle name="Normal 19 2 3 3" xfId="23049"/>
    <cellStyle name="Normal 19 2 4" xfId="11566"/>
    <cellStyle name="Normal 19 2 5" xfId="19521"/>
    <cellStyle name="Normal 19 2_Exh G" xfId="3495"/>
    <cellStyle name="Normal 19 3" xfId="4419"/>
    <cellStyle name="Normal 19 3 2" xfId="8011"/>
    <cellStyle name="Normal 19 3 2 2" xfId="15982"/>
    <cellStyle name="Normal 19 3 2 3" xfId="23928"/>
    <cellStyle name="Normal 19 3 3" xfId="12444"/>
    <cellStyle name="Normal 19 3 4" xfId="20399"/>
    <cellStyle name="Normal 19 4" xfId="6249"/>
    <cellStyle name="Normal 19 4 2" xfId="14224"/>
    <cellStyle name="Normal 19 4 3" xfId="22171"/>
    <cellStyle name="Normal 19 5" xfId="9792"/>
    <cellStyle name="Normal 19 5 2" xfId="17750"/>
    <cellStyle name="Normal 19 5 3" xfId="25694"/>
    <cellStyle name="Normal 19 6" xfId="10688"/>
    <cellStyle name="Normal 19 7" xfId="18643"/>
    <cellStyle name="Normal 19_Exh G" xfId="3494"/>
    <cellStyle name="Normal 2" xfId="2"/>
    <cellStyle name="Normal 2 10" xfId="5462"/>
    <cellStyle name="Normal 2 10 2" xfId="9053"/>
    <cellStyle name="Normal 2 10 2 2" xfId="17020"/>
    <cellStyle name="Normal 2 10 2 3" xfId="24966"/>
    <cellStyle name="Normal 2 10 3" xfId="13483"/>
    <cellStyle name="Normal 2 10 4" xfId="21437"/>
    <cellStyle name="Normal 2 11" xfId="5465"/>
    <cellStyle name="Normal 2 11 2" xfId="9056"/>
    <cellStyle name="Normal 2 11 2 2" xfId="17021"/>
    <cellStyle name="Normal 2 11 2 3" xfId="24967"/>
    <cellStyle name="Normal 2 11 3" xfId="13484"/>
    <cellStyle name="Normal 2 11 4" xfId="21438"/>
    <cellStyle name="Normal 2 12" xfId="5483"/>
    <cellStyle name="Normal 2 12 2" xfId="9063"/>
    <cellStyle name="Normal 2 12 2 2" xfId="17024"/>
    <cellStyle name="Normal 2 12 2 3" xfId="24970"/>
    <cellStyle name="Normal 2 12 3" xfId="13487"/>
    <cellStyle name="Normal 2 12 4" xfId="21441"/>
    <cellStyle name="Normal 2 13" xfId="5489"/>
    <cellStyle name="Normal 2 13 2" xfId="9068"/>
    <cellStyle name="Normal 2 13 2 2" xfId="17027"/>
    <cellStyle name="Normal 2 13 2 3" xfId="24973"/>
    <cellStyle name="Normal 2 13 3" xfId="13490"/>
    <cellStyle name="Normal 2 13 4" xfId="21444"/>
    <cellStyle name="Normal 2 14" xfId="5495"/>
    <cellStyle name="Normal 2 14 2" xfId="5515"/>
    <cellStyle name="Normal 2 14 3" xfId="13493"/>
    <cellStyle name="Normal 2 14 4" xfId="21445"/>
    <cellStyle name="Normal 2 15" xfId="5501"/>
    <cellStyle name="Normal 2 15 2" xfId="13498"/>
    <cellStyle name="Normal 2 15 3" xfId="21448"/>
    <cellStyle name="Normal 2 16" xfId="5506"/>
    <cellStyle name="Normal 2 16 2" xfId="13502"/>
    <cellStyle name="Normal 2 16 3" xfId="21451"/>
    <cellStyle name="Normal 2 17" xfId="9071"/>
    <cellStyle name="Normal 2 17 2" xfId="17030"/>
    <cellStyle name="Normal 2 17 3" xfId="24974"/>
    <cellStyle name="Normal 2 18" xfId="9959"/>
    <cellStyle name="Normal 2 18 2" xfId="17916"/>
    <cellStyle name="Normal 2 18 3" xfId="25858"/>
    <cellStyle name="Normal 2 19" xfId="9968"/>
    <cellStyle name="Normal 2 2" xfId="18"/>
    <cellStyle name="Normal 2 2 10" xfId="5503"/>
    <cellStyle name="Normal 2 2 10 2" xfId="13500"/>
    <cellStyle name="Normal 2 2 10 3" xfId="21450"/>
    <cellStyle name="Normal 2 2 11" xfId="5510"/>
    <cellStyle name="Normal 2 2 11 2" xfId="13503"/>
    <cellStyle name="Normal 2 2 11 3" xfId="21452"/>
    <cellStyle name="Normal 2 2 12" xfId="9072"/>
    <cellStyle name="Normal 2 2 12 2" xfId="17031"/>
    <cellStyle name="Normal 2 2 12 3" xfId="24975"/>
    <cellStyle name="Normal 2 2 13" xfId="9073"/>
    <cellStyle name="Normal 2 2 14" xfId="9960"/>
    <cellStyle name="Normal 2 2 14 2" xfId="17917"/>
    <cellStyle name="Normal 2 2 14 3" xfId="25859"/>
    <cellStyle name="Normal 2 2 15" xfId="9969"/>
    <cellStyle name="Normal 2 2 2" xfId="666"/>
    <cellStyle name="Normal 2 2 2 2" xfId="1694"/>
    <cellStyle name="Normal 2 2 2 2 2" xfId="5224"/>
    <cellStyle name="Normal 2 2 2 2 2 2" xfId="8815"/>
    <cellStyle name="Normal 2 2 2 2 2 2 2" xfId="16786"/>
    <cellStyle name="Normal 2 2 2 2 2 2 3" xfId="24732"/>
    <cellStyle name="Normal 2 2 2 2 2 3" xfId="13248"/>
    <cellStyle name="Normal 2 2 2 2 2 4" xfId="21203"/>
    <cellStyle name="Normal 2 2 2 2 3" xfId="7056"/>
    <cellStyle name="Normal 2 2 2 2 3 2" xfId="15028"/>
    <cellStyle name="Normal 2 2 2 2 3 3" xfId="22975"/>
    <cellStyle name="Normal 2 2 2 2 4" xfId="11492"/>
    <cellStyle name="Normal 2 2 2 2 5" xfId="19447"/>
    <cellStyle name="Normal 2 2 2 2_Exh G" xfId="3498"/>
    <cellStyle name="Normal 2 2 2 3" xfId="4345"/>
    <cellStyle name="Normal 2 2 2 3 2" xfId="7937"/>
    <cellStyle name="Normal 2 2 2 3 2 2" xfId="15908"/>
    <cellStyle name="Normal 2 2 2 3 2 3" xfId="23854"/>
    <cellStyle name="Normal 2 2 2 3 3" xfId="12370"/>
    <cellStyle name="Normal 2 2 2 3 4" xfId="20325"/>
    <cellStyle name="Normal 2 2 2 4" xfId="6165"/>
    <cellStyle name="Normal 2 2 2 4 2" xfId="14149"/>
    <cellStyle name="Normal 2 2 2 4 3" xfId="22097"/>
    <cellStyle name="Normal 2 2 2 5" xfId="9718"/>
    <cellStyle name="Normal 2 2 2 5 2" xfId="17676"/>
    <cellStyle name="Normal 2 2 2 5 3" xfId="25620"/>
    <cellStyle name="Normal 2 2 2 6" xfId="10614"/>
    <cellStyle name="Normal 2 2 2 7" xfId="18569"/>
    <cellStyle name="Normal 2 2 2_Exh G" xfId="3497"/>
    <cellStyle name="Normal 2 2 3" xfId="1049"/>
    <cellStyle name="Normal 2 2 4" xfId="3700"/>
    <cellStyle name="Normal 2 2 5" xfId="5471"/>
    <cellStyle name="Normal 2 2 5 2" xfId="9057"/>
    <cellStyle name="Normal 2 2 5 2 2" xfId="17022"/>
    <cellStyle name="Normal 2 2 5 2 3" xfId="24968"/>
    <cellStyle name="Normal 2 2 5 3" xfId="13485"/>
    <cellStyle name="Normal 2 2 5 4" xfId="21439"/>
    <cellStyle name="Normal 2 2 6" xfId="5478"/>
    <cellStyle name="Normal 2 2 6 2" xfId="9059"/>
    <cellStyle name="Normal 2 2 6 2 2" xfId="17023"/>
    <cellStyle name="Normal 2 2 6 2 3" xfId="24969"/>
    <cellStyle name="Normal 2 2 6 3" xfId="13486"/>
    <cellStyle name="Normal 2 2 6 4" xfId="21440"/>
    <cellStyle name="Normal 2 2 7" xfId="5496"/>
    <cellStyle name="Normal 2 2 7 2" xfId="5520"/>
    <cellStyle name="Normal 2 2 7 3" xfId="13494"/>
    <cellStyle name="Normal 2 2 7 4" xfId="21446"/>
    <cellStyle name="Normal 2 2 8" xfId="5498"/>
    <cellStyle name="Normal 2 2 8 2" xfId="13495"/>
    <cellStyle name="Normal 2 2 8 3" xfId="21447"/>
    <cellStyle name="Normal 2 2 9" xfId="5502"/>
    <cellStyle name="Normal 2 2 9 2" xfId="13499"/>
    <cellStyle name="Normal 2 2 9 3" xfId="2144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 2 2" xfId="8816"/>
    <cellStyle name="Normal 2 3 3 2 2 2" xfId="16787"/>
    <cellStyle name="Normal 2 3 3 2 2 3" xfId="24733"/>
    <cellStyle name="Normal 2 3 3 2 3" xfId="13249"/>
    <cellStyle name="Normal 2 3 3 2 4" xfId="21204"/>
    <cellStyle name="Normal 2 3 3 3" xfId="7057"/>
    <cellStyle name="Normal 2 3 3 3 2" xfId="15029"/>
    <cellStyle name="Normal 2 3 3 3 3" xfId="22976"/>
    <cellStyle name="Normal 2 3 3 4" xfId="11493"/>
    <cellStyle name="Normal 2 3 3 5" xfId="19448"/>
    <cellStyle name="Normal 2 3 3_Exh G" xfId="3501"/>
    <cellStyle name="Normal 2 3 4" xfId="4346"/>
    <cellStyle name="Normal 2 3 4 2" xfId="7938"/>
    <cellStyle name="Normal 2 3 4 2 2" xfId="15909"/>
    <cellStyle name="Normal 2 3 4 2 3" xfId="23855"/>
    <cellStyle name="Normal 2 3 4 3" xfId="12371"/>
    <cellStyle name="Normal 2 3 4 4" xfId="20326"/>
    <cellStyle name="Normal 2 3 5" xfId="6166"/>
    <cellStyle name="Normal 2 3 5 2" xfId="14150"/>
    <cellStyle name="Normal 2 3 5 3" xfId="22098"/>
    <cellStyle name="Normal 2 3 6" xfId="7291"/>
    <cellStyle name="Normal 2 3 6 2" xfId="15262"/>
    <cellStyle name="Normal 2 3 6 3" xfId="23209"/>
    <cellStyle name="Normal 2 3 7" xfId="9719"/>
    <cellStyle name="Normal 2 3 7 2" xfId="17677"/>
    <cellStyle name="Normal 2 3 7 3" xfId="25621"/>
    <cellStyle name="Normal 2 3 8" xfId="10615"/>
    <cellStyle name="Normal 2 3 9" xfId="18570"/>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10" xfId="18644"/>
    <cellStyle name="Normal 22 2" xfId="1771"/>
    <cellStyle name="Normal 22 2 2" xfId="5299"/>
    <cellStyle name="Normal 22 2 2 2" xfId="8890"/>
    <cellStyle name="Normal 22 2 2 2 2" xfId="16861"/>
    <cellStyle name="Normal 22 2 2 2 3" xfId="24807"/>
    <cellStyle name="Normal 22 2 2 3" xfId="13323"/>
    <cellStyle name="Normal 22 2 2 4" xfId="21278"/>
    <cellStyle name="Normal 22 2 3" xfId="7131"/>
    <cellStyle name="Normal 22 2 3 2" xfId="15103"/>
    <cellStyle name="Normal 22 2 3 3" xfId="23050"/>
    <cellStyle name="Normal 22 2 4" xfId="11567"/>
    <cellStyle name="Normal 22 2 5" xfId="19522"/>
    <cellStyle name="Normal 22 2_Exh G" xfId="3509"/>
    <cellStyle name="Normal 22 3" xfId="4420"/>
    <cellStyle name="Normal 22 3 2" xfId="8012"/>
    <cellStyle name="Normal 22 3 2 2" xfId="15983"/>
    <cellStyle name="Normal 22 3 2 3" xfId="23929"/>
    <cellStyle name="Normal 22 3 3" xfId="12445"/>
    <cellStyle name="Normal 22 3 4" xfId="20400"/>
    <cellStyle name="Normal 22 4" xfId="5487"/>
    <cellStyle name="Normal 22 4 2" xfId="9067"/>
    <cellStyle name="Normal 22 4 2 2" xfId="17026"/>
    <cellStyle name="Normal 22 4 2 3" xfId="24972"/>
    <cellStyle name="Normal 22 4 3" xfId="13489"/>
    <cellStyle name="Normal 22 4 4" xfId="21443"/>
    <cellStyle name="Normal 22 5" xfId="6250"/>
    <cellStyle name="Normal 22 5 2" xfId="14225"/>
    <cellStyle name="Normal 22 5 3" xfId="22172"/>
    <cellStyle name="Normal 22 6" xfId="9793"/>
    <cellStyle name="Normal 22 6 2" xfId="17751"/>
    <cellStyle name="Normal 22 6 3" xfId="25695"/>
    <cellStyle name="Normal 22 7" xfId="9953"/>
    <cellStyle name="Normal 22 7 2" xfId="17911"/>
    <cellStyle name="Normal 22 7 3" xfId="25855"/>
    <cellStyle name="Normal 22 8" xfId="9955"/>
    <cellStyle name="Normal 22 8 2" xfId="17913"/>
    <cellStyle name="Normal 22 8 3" xfId="25857"/>
    <cellStyle name="Normal 22 9" xfId="10689"/>
    <cellStyle name="Normal 22_Exh G" xfId="3508"/>
    <cellStyle name="Normal 23" xfId="840"/>
    <cellStyle name="Normal 24" xfId="841"/>
    <cellStyle name="Normal 24 2" xfId="1780"/>
    <cellStyle name="Normal 24 2 2" xfId="5301"/>
    <cellStyle name="Normal 24 2 2 2" xfId="8892"/>
    <cellStyle name="Normal 24 2 2 2 2" xfId="16863"/>
    <cellStyle name="Normal 24 2 2 2 3" xfId="24809"/>
    <cellStyle name="Normal 24 2 2 3" xfId="13325"/>
    <cellStyle name="Normal 24 2 2 4" xfId="21280"/>
    <cellStyle name="Normal 24 2 3" xfId="7133"/>
    <cellStyle name="Normal 24 2 3 2" xfId="15105"/>
    <cellStyle name="Normal 24 2 3 3" xfId="23052"/>
    <cellStyle name="Normal 24 2 4" xfId="11569"/>
    <cellStyle name="Normal 24 2 5" xfId="19524"/>
    <cellStyle name="Normal 24 2_Exh G" xfId="3511"/>
    <cellStyle name="Normal 24 3" xfId="4422"/>
    <cellStyle name="Normal 24 3 2" xfId="8014"/>
    <cellStyle name="Normal 24 3 2 2" xfId="15985"/>
    <cellStyle name="Normal 24 3 2 3" xfId="23931"/>
    <cellStyle name="Normal 24 3 3" xfId="12447"/>
    <cellStyle name="Normal 24 3 4" xfId="20402"/>
    <cellStyle name="Normal 24 4" xfId="6252"/>
    <cellStyle name="Normal 24 4 2" xfId="14227"/>
    <cellStyle name="Normal 24 4 3" xfId="22174"/>
    <cellStyle name="Normal 24 5" xfId="9795"/>
    <cellStyle name="Normal 24 5 2" xfId="17753"/>
    <cellStyle name="Normal 24 5 3" xfId="25697"/>
    <cellStyle name="Normal 24 6" xfId="10691"/>
    <cellStyle name="Normal 24 7" xfId="18646"/>
    <cellStyle name="Normal 24_Exh G" xfId="3510"/>
    <cellStyle name="Normal 25" xfId="860"/>
    <cellStyle name="Normal 26" xfId="1042"/>
    <cellStyle name="Normal 26 2" xfId="4579"/>
    <cellStyle name="Normal 26_Exh G" xfId="3512"/>
    <cellStyle name="Normal 27" xfId="1041"/>
    <cellStyle name="Normal 28" xfId="5458"/>
    <cellStyle name="Normal 29" xfId="5459"/>
    <cellStyle name="Normal 29 2" xfId="9050"/>
    <cellStyle name="Normal 3" xfId="3"/>
    <cellStyle name="Normal 3 10" xfId="6411"/>
    <cellStyle name="Normal 3 2" xfId="668"/>
    <cellStyle name="Normal 3 2 2" xfId="669"/>
    <cellStyle name="Normal 3 2 2 2" xfId="1697"/>
    <cellStyle name="Normal 3 2 2 2 2" xfId="5227"/>
    <cellStyle name="Normal 3 2 2 2 2 2" xfId="8818"/>
    <cellStyle name="Normal 3 2 2 2 2 2 2" xfId="16789"/>
    <cellStyle name="Normal 3 2 2 2 2 2 3" xfId="24735"/>
    <cellStyle name="Normal 3 2 2 2 2 3" xfId="13251"/>
    <cellStyle name="Normal 3 2 2 2 2 4" xfId="21206"/>
    <cellStyle name="Normal 3 2 2 2 3" xfId="7059"/>
    <cellStyle name="Normal 3 2 2 2 3 2" xfId="15031"/>
    <cellStyle name="Normal 3 2 2 2 3 3" xfId="22978"/>
    <cellStyle name="Normal 3 2 2 2 4" xfId="11495"/>
    <cellStyle name="Normal 3 2 2 2 5" xfId="19450"/>
    <cellStyle name="Normal 3 2 2 2_Exh G" xfId="3515"/>
    <cellStyle name="Normal 3 2 2 3" xfId="4348"/>
    <cellStyle name="Normal 3 2 2 3 2" xfId="7940"/>
    <cellStyle name="Normal 3 2 2 3 2 2" xfId="15911"/>
    <cellStyle name="Normal 3 2 2 3 2 3" xfId="23857"/>
    <cellStyle name="Normal 3 2 2 3 3" xfId="12373"/>
    <cellStyle name="Normal 3 2 2 3 4" xfId="20328"/>
    <cellStyle name="Normal 3 2 2 4" xfId="6168"/>
    <cellStyle name="Normal 3 2 2 4 2" xfId="14152"/>
    <cellStyle name="Normal 3 2 2 4 3" xfId="22100"/>
    <cellStyle name="Normal 3 2 2 5" xfId="9721"/>
    <cellStyle name="Normal 3 2 2 5 2" xfId="17679"/>
    <cellStyle name="Normal 3 2 2 5 3" xfId="25623"/>
    <cellStyle name="Normal 3 2 2 6" xfId="10617"/>
    <cellStyle name="Normal 3 2 2 7" xfId="18572"/>
    <cellStyle name="Normal 3 2 2_Exh G" xfId="3514"/>
    <cellStyle name="Normal 3 2 3" xfId="1019"/>
    <cellStyle name="Normal 3 2 3 2" xfId="1924"/>
    <cellStyle name="Normal 3 2 3 2 2" xfId="5442"/>
    <cellStyle name="Normal 3 2 3 2 2 2" xfId="9033"/>
    <cellStyle name="Normal 3 2 3 2 2 2 2" xfId="17004"/>
    <cellStyle name="Normal 3 2 3 2 2 2 3" xfId="24950"/>
    <cellStyle name="Normal 3 2 3 2 2 3" xfId="13466"/>
    <cellStyle name="Normal 3 2 3 2 2 4" xfId="21421"/>
    <cellStyle name="Normal 3 2 3 2 3" xfId="7274"/>
    <cellStyle name="Normal 3 2 3 2 3 2" xfId="15246"/>
    <cellStyle name="Normal 3 2 3 2 3 3" xfId="23193"/>
    <cellStyle name="Normal 3 2 3 2 4" xfId="11710"/>
    <cellStyle name="Normal 3 2 3 2 5" xfId="19665"/>
    <cellStyle name="Normal 3 2 3 2_Exh G" xfId="3517"/>
    <cellStyle name="Normal 3 2 3 3" xfId="4563"/>
    <cellStyle name="Normal 3 2 3 3 2" xfId="8155"/>
    <cellStyle name="Normal 3 2 3 3 2 2" xfId="16126"/>
    <cellStyle name="Normal 3 2 3 3 2 3" xfId="24072"/>
    <cellStyle name="Normal 3 2 3 3 3" xfId="12588"/>
    <cellStyle name="Normal 3 2 3 3 4" xfId="20543"/>
    <cellStyle name="Normal 3 2 3 4" xfId="6393"/>
    <cellStyle name="Normal 3 2 3 4 2" xfId="14368"/>
    <cellStyle name="Normal 3 2 3 4 3" xfId="22315"/>
    <cellStyle name="Normal 3 2 3 5" xfId="9936"/>
    <cellStyle name="Normal 3 2 3 5 2" xfId="17894"/>
    <cellStyle name="Normal 3 2 3 5 3" xfId="25838"/>
    <cellStyle name="Normal 3 2 3 6" xfId="10832"/>
    <cellStyle name="Normal 3 2 3 7" xfId="18787"/>
    <cellStyle name="Normal 3 2 3_Exh G" xfId="3516"/>
    <cellStyle name="Normal 3 2 4" xfId="1696"/>
    <cellStyle name="Normal 3 2 4 2" xfId="5226"/>
    <cellStyle name="Normal 3 2 4 2 2" xfId="8817"/>
    <cellStyle name="Normal 3 2 4 2 2 2" xfId="16788"/>
    <cellStyle name="Normal 3 2 4 2 2 3" xfId="24734"/>
    <cellStyle name="Normal 3 2 4 2 3" xfId="13250"/>
    <cellStyle name="Normal 3 2 4 2 4" xfId="21205"/>
    <cellStyle name="Normal 3 2 4 3" xfId="7058"/>
    <cellStyle name="Normal 3 2 4 3 2" xfId="15030"/>
    <cellStyle name="Normal 3 2 4 3 3" xfId="22977"/>
    <cellStyle name="Normal 3 2 4 4" xfId="11494"/>
    <cellStyle name="Normal 3 2 4 5" xfId="19449"/>
    <cellStyle name="Normal 3 2 4_Exh G" xfId="3518"/>
    <cellStyle name="Normal 3 2 5" xfId="4347"/>
    <cellStyle name="Normal 3 2 5 2" xfId="7939"/>
    <cellStyle name="Normal 3 2 5 2 2" xfId="15910"/>
    <cellStyle name="Normal 3 2 5 2 3" xfId="23856"/>
    <cellStyle name="Normal 3 2 5 3" xfId="12372"/>
    <cellStyle name="Normal 3 2 5 4" xfId="20327"/>
    <cellStyle name="Normal 3 2 6" xfId="6167"/>
    <cellStyle name="Normal 3 2 6 2" xfId="14151"/>
    <cellStyle name="Normal 3 2 6 3" xfId="22099"/>
    <cellStyle name="Normal 3 2 7" xfId="9720"/>
    <cellStyle name="Normal 3 2 7 2" xfId="17678"/>
    <cellStyle name="Normal 3 2 7 3" xfId="25622"/>
    <cellStyle name="Normal 3 2 8" xfId="10616"/>
    <cellStyle name="Normal 3 2 9" xfId="18571"/>
    <cellStyle name="Normal 3 2_Exh G" xfId="3513"/>
    <cellStyle name="Normal 3 3" xfId="670"/>
    <cellStyle name="Normal 3 3 2" xfId="1698"/>
    <cellStyle name="Normal 3 3 2 2" xfId="5228"/>
    <cellStyle name="Normal 3 3 2 2 2" xfId="8819"/>
    <cellStyle name="Normal 3 3 2 2 2 2" xfId="16790"/>
    <cellStyle name="Normal 3 3 2 2 2 3" xfId="24736"/>
    <cellStyle name="Normal 3 3 2 2 3" xfId="13252"/>
    <cellStyle name="Normal 3 3 2 2 4" xfId="21207"/>
    <cellStyle name="Normal 3 3 2 3" xfId="7060"/>
    <cellStyle name="Normal 3 3 2 3 2" xfId="15032"/>
    <cellStyle name="Normal 3 3 2 3 3" xfId="22979"/>
    <cellStyle name="Normal 3 3 2 4" xfId="11496"/>
    <cellStyle name="Normal 3 3 2 5" xfId="19451"/>
    <cellStyle name="Normal 3 3 2_Exh G" xfId="3520"/>
    <cellStyle name="Normal 3 3 3" xfId="4349"/>
    <cellStyle name="Normal 3 3 3 2" xfId="7941"/>
    <cellStyle name="Normal 3 3 3 2 2" xfId="15912"/>
    <cellStyle name="Normal 3 3 3 2 3" xfId="23858"/>
    <cellStyle name="Normal 3 3 3 3" xfId="12374"/>
    <cellStyle name="Normal 3 3 3 4" xfId="20329"/>
    <cellStyle name="Normal 3 3 4" xfId="6169"/>
    <cellStyle name="Normal 3 3 4 2" xfId="14153"/>
    <cellStyle name="Normal 3 3 4 3" xfId="22101"/>
    <cellStyle name="Normal 3 3 5" xfId="9722"/>
    <cellStyle name="Normal 3 3 5 2" xfId="17680"/>
    <cellStyle name="Normal 3 3 5 3" xfId="25624"/>
    <cellStyle name="Normal 3 3 6" xfId="10618"/>
    <cellStyle name="Normal 3 3 7" xfId="18573"/>
    <cellStyle name="Normal 3 3_Exh G" xfId="3519"/>
    <cellStyle name="Normal 3 4" xfId="1018"/>
    <cellStyle name="Normal 3 4 2" xfId="1923"/>
    <cellStyle name="Normal 3 4 2 2" xfId="5441"/>
    <cellStyle name="Normal 3 4 2 2 2" xfId="9032"/>
    <cellStyle name="Normal 3 4 2 2 2 2" xfId="17003"/>
    <cellStyle name="Normal 3 4 2 2 2 3" xfId="24949"/>
    <cellStyle name="Normal 3 4 2 2 3" xfId="13465"/>
    <cellStyle name="Normal 3 4 2 2 4" xfId="21420"/>
    <cellStyle name="Normal 3 4 2 3" xfId="7273"/>
    <cellStyle name="Normal 3 4 2 3 2" xfId="15245"/>
    <cellStyle name="Normal 3 4 2 3 3" xfId="23192"/>
    <cellStyle name="Normal 3 4 2 4" xfId="11709"/>
    <cellStyle name="Normal 3 4 2 5" xfId="19664"/>
    <cellStyle name="Normal 3 4 2_Exh G" xfId="3522"/>
    <cellStyle name="Normal 3 4 3" xfId="4562"/>
    <cellStyle name="Normal 3 4 3 2" xfId="8154"/>
    <cellStyle name="Normal 3 4 3 2 2" xfId="16125"/>
    <cellStyle name="Normal 3 4 3 2 3" xfId="24071"/>
    <cellStyle name="Normal 3 4 3 3" xfId="12587"/>
    <cellStyle name="Normal 3 4 3 4" xfId="20542"/>
    <cellStyle name="Normal 3 4 4" xfId="6392"/>
    <cellStyle name="Normal 3 4 4 2" xfId="14367"/>
    <cellStyle name="Normal 3 4 4 3" xfId="22314"/>
    <cellStyle name="Normal 3 4 5" xfId="9935"/>
    <cellStyle name="Normal 3 4 5 2" xfId="17893"/>
    <cellStyle name="Normal 3 4 5 3" xfId="25837"/>
    <cellStyle name="Normal 3 4 6" xfId="10831"/>
    <cellStyle name="Normal 3 4 7" xfId="18786"/>
    <cellStyle name="Normal 3 4_Exh G" xfId="3521"/>
    <cellStyle name="Normal 3 5" xfId="5466"/>
    <cellStyle name="Normal 3 6" xfId="5475"/>
    <cellStyle name="Normal 3 7" xfId="5490"/>
    <cellStyle name="Normal 3 8" xfId="5516"/>
    <cellStyle name="Normal 3 9" xfId="5507"/>
    <cellStyle name="Normal 30" xfId="5461"/>
    <cellStyle name="Normal 30 2" xfId="9052"/>
    <cellStyle name="Normal 31" xfId="5463"/>
    <cellStyle name="Normal 31 2" xfId="9054"/>
    <cellStyle name="Normal 32" xfId="5464"/>
    <cellStyle name="Normal 32 2" xfId="9055"/>
    <cellStyle name="Normal 33" xfId="5481"/>
    <cellStyle name="Normal 33 2" xfId="9061"/>
    <cellStyle name="Normal 34" xfId="5482"/>
    <cellStyle name="Normal 34 2" xfId="9062"/>
    <cellStyle name="Normal 35" xfId="5484"/>
    <cellStyle name="Normal 35 2" xfId="9064"/>
    <cellStyle name="Normal 36" xfId="5485"/>
    <cellStyle name="Normal 36 2" xfId="9065"/>
    <cellStyle name="Normal 37" xfId="5486"/>
    <cellStyle name="Normal 37 2" xfId="9066"/>
    <cellStyle name="Normal 37 2 2" xfId="17025"/>
    <cellStyle name="Normal 37 2 3" xfId="24971"/>
    <cellStyle name="Normal 37 3" xfId="13488"/>
    <cellStyle name="Normal 37 4" xfId="21442"/>
    <cellStyle name="Normal 38" xfId="5488"/>
    <cellStyle name="Normal 39" xfId="5493"/>
    <cellStyle name="Normal 39 2" xfId="5513"/>
    <cellStyle name="Normal 39 2 2" xfId="13504"/>
    <cellStyle name="Normal 39 3" xfId="13491"/>
    <cellStyle name="Normal 4" xfId="4"/>
    <cellStyle name="Normal 4 10" xfId="5517"/>
    <cellStyle name="Normal 4 11" xfId="5508"/>
    <cellStyle name="Normal 4 2" xfId="671"/>
    <cellStyle name="Normal 4 2 10" xfId="5505"/>
    <cellStyle name="Normal 4 2 11" xfId="9723"/>
    <cellStyle name="Normal 4 2 11 2" xfId="17681"/>
    <cellStyle name="Normal 4 2 11 3" xfId="25625"/>
    <cellStyle name="Normal 4 2 12" xfId="10619"/>
    <cellStyle name="Normal 4 2 13" xfId="18574"/>
    <cellStyle name="Normal 4 2 2" xfId="672"/>
    <cellStyle name="Normal 4 2 2 2" xfId="1700"/>
    <cellStyle name="Normal 4 2 2 2 2" xfId="5230"/>
    <cellStyle name="Normal 4 2 2 2 2 2" xfId="8821"/>
    <cellStyle name="Normal 4 2 2 2 2 2 2" xfId="16792"/>
    <cellStyle name="Normal 4 2 2 2 2 2 3" xfId="24738"/>
    <cellStyle name="Normal 4 2 2 2 2 3" xfId="13254"/>
    <cellStyle name="Normal 4 2 2 2 2 4" xfId="21209"/>
    <cellStyle name="Normal 4 2 2 2 3" xfId="7062"/>
    <cellStyle name="Normal 4 2 2 2 3 2" xfId="15034"/>
    <cellStyle name="Normal 4 2 2 2 3 3" xfId="22981"/>
    <cellStyle name="Normal 4 2 2 2 4" xfId="11498"/>
    <cellStyle name="Normal 4 2 2 2 5" xfId="19453"/>
    <cellStyle name="Normal 4 2 2 2_Exh G" xfId="3526"/>
    <cellStyle name="Normal 4 2 2 3" xfId="4351"/>
    <cellStyle name="Normal 4 2 2 3 2" xfId="7943"/>
    <cellStyle name="Normal 4 2 2 3 2 2" xfId="15914"/>
    <cellStyle name="Normal 4 2 2 3 2 3" xfId="23860"/>
    <cellStyle name="Normal 4 2 2 3 3" xfId="12376"/>
    <cellStyle name="Normal 4 2 2 3 4" xfId="20331"/>
    <cellStyle name="Normal 4 2 2 4" xfId="6171"/>
    <cellStyle name="Normal 4 2 2 4 2" xfId="14155"/>
    <cellStyle name="Normal 4 2 2 4 3" xfId="22103"/>
    <cellStyle name="Normal 4 2 2 5" xfId="9724"/>
    <cellStyle name="Normal 4 2 2 5 2" xfId="17682"/>
    <cellStyle name="Normal 4 2 2 5 3" xfId="25626"/>
    <cellStyle name="Normal 4 2 2 6" xfId="10620"/>
    <cellStyle name="Normal 4 2 2 7" xfId="18575"/>
    <cellStyle name="Normal 4 2 2_Exh G" xfId="3525"/>
    <cellStyle name="Normal 4 2 3" xfId="1021"/>
    <cellStyle name="Normal 4 2 3 2" xfId="1926"/>
    <cellStyle name="Normal 4 2 3 2 2" xfId="5444"/>
    <cellStyle name="Normal 4 2 3 2 2 2" xfId="9035"/>
    <cellStyle name="Normal 4 2 3 2 2 2 2" xfId="17006"/>
    <cellStyle name="Normal 4 2 3 2 2 2 3" xfId="24952"/>
    <cellStyle name="Normal 4 2 3 2 2 3" xfId="13468"/>
    <cellStyle name="Normal 4 2 3 2 2 4" xfId="21423"/>
    <cellStyle name="Normal 4 2 3 2 3" xfId="7276"/>
    <cellStyle name="Normal 4 2 3 2 3 2" xfId="15248"/>
    <cellStyle name="Normal 4 2 3 2 3 3" xfId="23195"/>
    <cellStyle name="Normal 4 2 3 2 4" xfId="11712"/>
    <cellStyle name="Normal 4 2 3 2 5" xfId="19667"/>
    <cellStyle name="Normal 4 2 3 2_Exh G" xfId="3528"/>
    <cellStyle name="Normal 4 2 3 3" xfId="4565"/>
    <cellStyle name="Normal 4 2 3 3 2" xfId="8157"/>
    <cellStyle name="Normal 4 2 3 3 2 2" xfId="16128"/>
    <cellStyle name="Normal 4 2 3 3 2 3" xfId="24074"/>
    <cellStyle name="Normal 4 2 3 3 3" xfId="12590"/>
    <cellStyle name="Normal 4 2 3 3 4" xfId="20545"/>
    <cellStyle name="Normal 4 2 3 4" xfId="6395"/>
    <cellStyle name="Normal 4 2 3 4 2" xfId="14370"/>
    <cellStyle name="Normal 4 2 3 4 3" xfId="22317"/>
    <cellStyle name="Normal 4 2 3 5" xfId="9938"/>
    <cellStyle name="Normal 4 2 3 5 2" xfId="17896"/>
    <cellStyle name="Normal 4 2 3 5 3" xfId="25840"/>
    <cellStyle name="Normal 4 2 3 6" xfId="10834"/>
    <cellStyle name="Normal 4 2 3 7" xfId="18789"/>
    <cellStyle name="Normal 4 2 3_Exh G" xfId="3527"/>
    <cellStyle name="Normal 4 2 4" xfId="1699"/>
    <cellStyle name="Normal 4 2 4 2" xfId="5229"/>
    <cellStyle name="Normal 4 2 4 2 2" xfId="8820"/>
    <cellStyle name="Normal 4 2 4 2 2 2" xfId="16791"/>
    <cellStyle name="Normal 4 2 4 2 2 3" xfId="24737"/>
    <cellStyle name="Normal 4 2 4 2 3" xfId="13253"/>
    <cellStyle name="Normal 4 2 4 2 4" xfId="21208"/>
    <cellStyle name="Normal 4 2 4 3" xfId="7061"/>
    <cellStyle name="Normal 4 2 4 3 2" xfId="15033"/>
    <cellStyle name="Normal 4 2 4 3 3" xfId="22980"/>
    <cellStyle name="Normal 4 2 4 4" xfId="11497"/>
    <cellStyle name="Normal 4 2 4 5" xfId="19452"/>
    <cellStyle name="Normal 4 2 4_Exh G" xfId="3529"/>
    <cellStyle name="Normal 4 2 5" xfId="4350"/>
    <cellStyle name="Normal 4 2 5 2" xfId="7942"/>
    <cellStyle name="Normal 4 2 5 2 2" xfId="15913"/>
    <cellStyle name="Normal 4 2 5 2 3" xfId="23859"/>
    <cellStyle name="Normal 4 2 5 3" xfId="12375"/>
    <cellStyle name="Normal 4 2 5 4" xfId="20330"/>
    <cellStyle name="Normal 4 2 6" xfId="5472"/>
    <cellStyle name="Normal 4 2 7" xfId="5479"/>
    <cellStyle name="Normal 4 2 8" xfId="6170"/>
    <cellStyle name="Normal 4 2 8 2" xfId="14154"/>
    <cellStyle name="Normal 4 2 8 3" xfId="22102"/>
    <cellStyle name="Normal 4 2 9" xfId="5511"/>
    <cellStyle name="Normal 4 2_Exh G" xfId="3524"/>
    <cellStyle name="Normal 4 3" xfId="673"/>
    <cellStyle name="Normal 4 3 2" xfId="1701"/>
    <cellStyle name="Normal 4 3 2 2" xfId="5231"/>
    <cellStyle name="Normal 4 3 2 2 2" xfId="8822"/>
    <cellStyle name="Normal 4 3 2 2 2 2" xfId="16793"/>
    <cellStyle name="Normal 4 3 2 2 2 3" xfId="24739"/>
    <cellStyle name="Normal 4 3 2 2 3" xfId="13255"/>
    <cellStyle name="Normal 4 3 2 2 4" xfId="21210"/>
    <cellStyle name="Normal 4 3 2 3" xfId="7063"/>
    <cellStyle name="Normal 4 3 2 3 2" xfId="15035"/>
    <cellStyle name="Normal 4 3 2 3 3" xfId="22982"/>
    <cellStyle name="Normal 4 3 2 4" xfId="11499"/>
    <cellStyle name="Normal 4 3 2 5" xfId="19454"/>
    <cellStyle name="Normal 4 3 2_Exh G" xfId="3531"/>
    <cellStyle name="Normal 4 3 3" xfId="4352"/>
    <cellStyle name="Normal 4 3 3 2" xfId="7944"/>
    <cellStyle name="Normal 4 3 3 2 2" xfId="15915"/>
    <cellStyle name="Normal 4 3 3 2 3" xfId="23861"/>
    <cellStyle name="Normal 4 3 3 3" xfId="12377"/>
    <cellStyle name="Normal 4 3 3 4" xfId="20332"/>
    <cellStyle name="Normal 4 3 4" xfId="6172"/>
    <cellStyle name="Normal 4 3 4 2" xfId="14156"/>
    <cellStyle name="Normal 4 3 4 3" xfId="22104"/>
    <cellStyle name="Normal 4 3 5" xfId="9725"/>
    <cellStyle name="Normal 4 3 5 2" xfId="17683"/>
    <cellStyle name="Normal 4 3 5 3" xfId="25627"/>
    <cellStyle name="Normal 4 3 6" xfId="10621"/>
    <cellStyle name="Normal 4 3 7" xfId="18576"/>
    <cellStyle name="Normal 4 3_Exh G" xfId="3530"/>
    <cellStyle name="Normal 4 4" xfId="1020"/>
    <cellStyle name="Normal 4 4 2" xfId="1925"/>
    <cellStyle name="Normal 4 4 2 2" xfId="5443"/>
    <cellStyle name="Normal 4 4 2 2 2" xfId="9034"/>
    <cellStyle name="Normal 4 4 2 2 2 2" xfId="17005"/>
    <cellStyle name="Normal 4 4 2 2 2 3" xfId="24951"/>
    <cellStyle name="Normal 4 4 2 2 3" xfId="13467"/>
    <cellStyle name="Normal 4 4 2 2 4" xfId="21422"/>
    <cellStyle name="Normal 4 4 2 3" xfId="7275"/>
    <cellStyle name="Normal 4 4 2 3 2" xfId="15247"/>
    <cellStyle name="Normal 4 4 2 3 3" xfId="23194"/>
    <cellStyle name="Normal 4 4 2 4" xfId="11711"/>
    <cellStyle name="Normal 4 4 2 5" xfId="19666"/>
    <cellStyle name="Normal 4 4 2_Exh G" xfId="3533"/>
    <cellStyle name="Normal 4 4 3" xfId="4564"/>
    <cellStyle name="Normal 4 4 3 2" xfId="8156"/>
    <cellStyle name="Normal 4 4 3 2 2" xfId="16127"/>
    <cellStyle name="Normal 4 4 3 2 3" xfId="24073"/>
    <cellStyle name="Normal 4 4 3 3" xfId="12589"/>
    <cellStyle name="Normal 4 4 3 4" xfId="20544"/>
    <cellStyle name="Normal 4 4 4" xfId="6394"/>
    <cellStyle name="Normal 4 4 4 2" xfId="14369"/>
    <cellStyle name="Normal 4 4 4 3" xfId="22316"/>
    <cellStyle name="Normal 4 4 5" xfId="9937"/>
    <cellStyle name="Normal 4 4 5 2" xfId="17895"/>
    <cellStyle name="Normal 4 4 5 3" xfId="25839"/>
    <cellStyle name="Normal 4 4 6" xfId="10833"/>
    <cellStyle name="Normal 4 4 7" xfId="18788"/>
    <cellStyle name="Normal 4 4_Exh G" xfId="3532"/>
    <cellStyle name="Normal 4 5" xfId="1045"/>
    <cellStyle name="Normal 4 6" xfId="3698"/>
    <cellStyle name="Normal 4 7" xfId="5468"/>
    <cellStyle name="Normal 4 8" xfId="5476"/>
    <cellStyle name="Normal 4 9" xfId="5491"/>
    <cellStyle name="Normal 4_Exh G" xfId="3523"/>
    <cellStyle name="Normal 40" xfId="5494"/>
    <cellStyle name="Normal 40 2" xfId="13492"/>
    <cellStyle name="Normal 41" xfId="5499"/>
    <cellStyle name="Normal 41 2" xfId="13496"/>
    <cellStyle name="Normal 42" xfId="5500"/>
    <cellStyle name="Normal 42 2" xfId="13497"/>
    <cellStyle name="Normal 43" xfId="5504"/>
    <cellStyle name="Normal 43 2" xfId="13501"/>
    <cellStyle name="Normal 44" xfId="6248"/>
    <cellStyle name="Normal 44 2" xfId="14223"/>
    <cellStyle name="Normal 45" xfId="9069"/>
    <cellStyle name="Normal 45 2" xfId="17028"/>
    <cellStyle name="Normal 46" xfId="9070"/>
    <cellStyle name="Normal 46 2" xfId="17029"/>
    <cellStyle name="Normal 47" xfId="9952"/>
    <cellStyle name="Normal 47 2" xfId="17910"/>
    <cellStyle name="Normal 47 3" xfId="25854"/>
    <cellStyle name="Normal 48" xfId="9954"/>
    <cellStyle name="Normal 48 2" xfId="17912"/>
    <cellStyle name="Normal 48 3" xfId="25856"/>
    <cellStyle name="Normal 49" xfId="9956"/>
    <cellStyle name="Normal 5" xfId="8"/>
    <cellStyle name="Normal 5 2" xfId="814"/>
    <cellStyle name="Normal 5 2 10" xfId="9791"/>
    <cellStyle name="Normal 5 2 10 2" xfId="17749"/>
    <cellStyle name="Normal 5 2 10 3" xfId="25693"/>
    <cellStyle name="Normal 5 2 11" xfId="10687"/>
    <cellStyle name="Normal 5 2 12" xfId="18642"/>
    <cellStyle name="Normal 5 2 2" xfId="1023"/>
    <cellStyle name="Normal 5 2 2 2" xfId="1928"/>
    <cellStyle name="Normal 5 2 2 2 2" xfId="5446"/>
    <cellStyle name="Normal 5 2 2 2 2 2" xfId="9037"/>
    <cellStyle name="Normal 5 2 2 2 2 2 2" xfId="17008"/>
    <cellStyle name="Normal 5 2 2 2 2 2 3" xfId="24954"/>
    <cellStyle name="Normal 5 2 2 2 2 3" xfId="13470"/>
    <cellStyle name="Normal 5 2 2 2 2 4" xfId="21425"/>
    <cellStyle name="Normal 5 2 2 2 3" xfId="7278"/>
    <cellStyle name="Normal 5 2 2 2 3 2" xfId="15250"/>
    <cellStyle name="Normal 5 2 2 2 3 3" xfId="23197"/>
    <cellStyle name="Normal 5 2 2 2 4" xfId="11714"/>
    <cellStyle name="Normal 5 2 2 2 5" xfId="19669"/>
    <cellStyle name="Normal 5 2 2 2_Exh G" xfId="3536"/>
    <cellStyle name="Normal 5 2 2 3" xfId="4567"/>
    <cellStyle name="Normal 5 2 2 3 2" xfId="8159"/>
    <cellStyle name="Normal 5 2 2 3 2 2" xfId="16130"/>
    <cellStyle name="Normal 5 2 2 3 2 3" xfId="24076"/>
    <cellStyle name="Normal 5 2 2 3 3" xfId="12592"/>
    <cellStyle name="Normal 5 2 2 3 4" xfId="20547"/>
    <cellStyle name="Normal 5 2 2 4" xfId="6397"/>
    <cellStyle name="Normal 5 2 2 4 2" xfId="14372"/>
    <cellStyle name="Normal 5 2 2 4 3" xfId="22319"/>
    <cellStyle name="Normal 5 2 2 5" xfId="9940"/>
    <cellStyle name="Normal 5 2 2 5 2" xfId="17898"/>
    <cellStyle name="Normal 5 2 2 5 3" xfId="25842"/>
    <cellStyle name="Normal 5 2 2 6" xfId="10836"/>
    <cellStyle name="Normal 5 2 2 7" xfId="18791"/>
    <cellStyle name="Normal 5 2 2_Exh G" xfId="3535"/>
    <cellStyle name="Normal 5 2 3" xfId="1768"/>
    <cellStyle name="Normal 5 2 3 2" xfId="5297"/>
    <cellStyle name="Normal 5 2 3 2 2" xfId="8888"/>
    <cellStyle name="Normal 5 2 3 2 2 2" xfId="16859"/>
    <cellStyle name="Normal 5 2 3 2 2 3" xfId="24805"/>
    <cellStyle name="Normal 5 2 3 2 3" xfId="13321"/>
    <cellStyle name="Normal 5 2 3 2 4" xfId="21276"/>
    <cellStyle name="Normal 5 2 3 3" xfId="7129"/>
    <cellStyle name="Normal 5 2 3 3 2" xfId="15101"/>
    <cellStyle name="Normal 5 2 3 3 3" xfId="23048"/>
    <cellStyle name="Normal 5 2 3 4" xfId="11565"/>
    <cellStyle name="Normal 5 2 3 5" xfId="19520"/>
    <cellStyle name="Normal 5 2 3_Exh G" xfId="3537"/>
    <cellStyle name="Normal 5 2 4" xfId="4418"/>
    <cellStyle name="Normal 5 2 4 2" xfId="8010"/>
    <cellStyle name="Normal 5 2 4 2 2" xfId="15981"/>
    <cellStyle name="Normal 5 2 4 2 3" xfId="23927"/>
    <cellStyle name="Normal 5 2 4 3" xfId="12443"/>
    <cellStyle name="Normal 5 2 4 4" xfId="20398"/>
    <cellStyle name="Normal 5 2 5" xfId="5474"/>
    <cellStyle name="Normal 5 2 5 2" xfId="9058"/>
    <cellStyle name="Normal 5 2 6" xfId="5480"/>
    <cellStyle name="Normal 5 2 6 2" xfId="9060"/>
    <cellStyle name="Normal 5 2 7" xfId="6242"/>
    <cellStyle name="Normal 5 2 7 2" xfId="14222"/>
    <cellStyle name="Normal 5 2 7 3" xfId="22170"/>
    <cellStyle name="Normal 5 2 8" xfId="5512"/>
    <cellStyle name="Normal 5 2 9" xfId="6243"/>
    <cellStyle name="Normal 5 2_Exh G" xfId="3534"/>
    <cellStyle name="Normal 5 3" xfId="1022"/>
    <cellStyle name="Normal 5 3 2" xfId="1927"/>
    <cellStyle name="Normal 5 3 2 2" xfId="5445"/>
    <cellStyle name="Normal 5 3 2 2 2" xfId="9036"/>
    <cellStyle name="Normal 5 3 2 2 2 2" xfId="17007"/>
    <cellStyle name="Normal 5 3 2 2 2 3" xfId="24953"/>
    <cellStyle name="Normal 5 3 2 2 3" xfId="13469"/>
    <cellStyle name="Normal 5 3 2 2 4" xfId="21424"/>
    <cellStyle name="Normal 5 3 2 3" xfId="7277"/>
    <cellStyle name="Normal 5 3 2 3 2" xfId="15249"/>
    <cellStyle name="Normal 5 3 2 3 3" xfId="23196"/>
    <cellStyle name="Normal 5 3 2 4" xfId="11713"/>
    <cellStyle name="Normal 5 3 2 5" xfId="19668"/>
    <cellStyle name="Normal 5 3 2_Exh G" xfId="3539"/>
    <cellStyle name="Normal 5 3 3" xfId="4566"/>
    <cellStyle name="Normal 5 3 3 2" xfId="8158"/>
    <cellStyle name="Normal 5 3 3 2 2" xfId="16129"/>
    <cellStyle name="Normal 5 3 3 2 3" xfId="24075"/>
    <cellStyle name="Normal 5 3 3 3" xfId="12591"/>
    <cellStyle name="Normal 5 3 3 4" xfId="20546"/>
    <cellStyle name="Normal 5 3 4" xfId="6396"/>
    <cellStyle name="Normal 5 3 4 2" xfId="14371"/>
    <cellStyle name="Normal 5 3 4 3" xfId="22318"/>
    <cellStyle name="Normal 5 3 5" xfId="9939"/>
    <cellStyle name="Normal 5 3 5 2" xfId="17897"/>
    <cellStyle name="Normal 5 3 5 3" xfId="25841"/>
    <cellStyle name="Normal 5 3 6" xfId="10835"/>
    <cellStyle name="Normal 5 3 7" xfId="18790"/>
    <cellStyle name="Normal 5 3_Exh G" xfId="3538"/>
    <cellStyle name="Normal 5 4" xfId="5470"/>
    <cellStyle name="Normal 5 5" xfId="5477"/>
    <cellStyle name="Normal 5 6" xfId="5492"/>
    <cellStyle name="Normal 5 7" xfId="5519"/>
    <cellStyle name="Normal 5 8" xfId="5509"/>
    <cellStyle name="Normal 5 9" xfId="9051"/>
    <cellStyle name="Normal 50" xfId="9957"/>
    <cellStyle name="Normal 50 2" xfId="17914"/>
    <cellStyle name="Normal 51" xfId="9958"/>
    <cellStyle name="Normal 51 2" xfId="17915"/>
    <cellStyle name="Normal 52" xfId="9961"/>
    <cellStyle name="Normal 52 2" xfId="17918"/>
    <cellStyle name="Normal 53" xfId="9962"/>
    <cellStyle name="Normal 53 2" xfId="17919"/>
    <cellStyle name="Normal 54" xfId="9963"/>
    <cellStyle name="Normal 54 2" xfId="17920"/>
    <cellStyle name="Normal 55" xfId="9964"/>
    <cellStyle name="Normal 55 2" xfId="17921"/>
    <cellStyle name="Normal 56" xfId="9965"/>
    <cellStyle name="Normal 56 2" xfId="17922"/>
    <cellStyle name="Normal 57" xfId="9966"/>
    <cellStyle name="Normal 57 2" xfId="17923"/>
    <cellStyle name="Normal 57 3" xfId="25860"/>
    <cellStyle name="Normal 58" xfId="9967"/>
    <cellStyle name="Normal 6" xfId="10"/>
    <cellStyle name="Normal 6 2" xfId="674"/>
    <cellStyle name="Normal 6 2 2" xfId="675"/>
    <cellStyle name="Normal 6 2 2 2" xfId="1703"/>
    <cellStyle name="Normal 6 2 2 2 2" xfId="5233"/>
    <cellStyle name="Normal 6 2 2 2 2 2" xfId="8824"/>
    <cellStyle name="Normal 6 2 2 2 2 2 2" xfId="16795"/>
    <cellStyle name="Normal 6 2 2 2 2 2 3" xfId="24741"/>
    <cellStyle name="Normal 6 2 2 2 2 3" xfId="13257"/>
    <cellStyle name="Normal 6 2 2 2 2 4" xfId="21212"/>
    <cellStyle name="Normal 6 2 2 2 3" xfId="7065"/>
    <cellStyle name="Normal 6 2 2 2 3 2" xfId="15037"/>
    <cellStyle name="Normal 6 2 2 2 3 3" xfId="22984"/>
    <cellStyle name="Normal 6 2 2 2 4" xfId="11501"/>
    <cellStyle name="Normal 6 2 2 2 5" xfId="19456"/>
    <cellStyle name="Normal 6 2 2 2_Exh G" xfId="3542"/>
    <cellStyle name="Normal 6 2 2 3" xfId="4354"/>
    <cellStyle name="Normal 6 2 2 3 2" xfId="7946"/>
    <cellStyle name="Normal 6 2 2 3 2 2" xfId="15917"/>
    <cellStyle name="Normal 6 2 2 3 2 3" xfId="23863"/>
    <cellStyle name="Normal 6 2 2 3 3" xfId="12379"/>
    <cellStyle name="Normal 6 2 2 3 4" xfId="20334"/>
    <cellStyle name="Normal 6 2 2 4" xfId="6174"/>
    <cellStyle name="Normal 6 2 2 4 2" xfId="14158"/>
    <cellStyle name="Normal 6 2 2 4 3" xfId="22106"/>
    <cellStyle name="Normal 6 2 2 5" xfId="9727"/>
    <cellStyle name="Normal 6 2 2 5 2" xfId="17685"/>
    <cellStyle name="Normal 6 2 2 5 3" xfId="25629"/>
    <cellStyle name="Normal 6 2 2 6" xfId="10623"/>
    <cellStyle name="Normal 6 2 2 7" xfId="18578"/>
    <cellStyle name="Normal 6 2 2_Exh G" xfId="3541"/>
    <cellStyle name="Normal 6 2 3" xfId="1702"/>
    <cellStyle name="Normal 6 2 3 2" xfId="5232"/>
    <cellStyle name="Normal 6 2 3 2 2" xfId="8823"/>
    <cellStyle name="Normal 6 2 3 2 2 2" xfId="16794"/>
    <cellStyle name="Normal 6 2 3 2 2 3" xfId="24740"/>
    <cellStyle name="Normal 6 2 3 2 3" xfId="13256"/>
    <cellStyle name="Normal 6 2 3 2 4" xfId="21211"/>
    <cellStyle name="Normal 6 2 3 3" xfId="7064"/>
    <cellStyle name="Normal 6 2 3 3 2" xfId="15036"/>
    <cellStyle name="Normal 6 2 3 3 3" xfId="22983"/>
    <cellStyle name="Normal 6 2 3 4" xfId="11500"/>
    <cellStyle name="Normal 6 2 3 5" xfId="19455"/>
    <cellStyle name="Normal 6 2 3_Exh G" xfId="3543"/>
    <cellStyle name="Normal 6 2 4" xfId="4353"/>
    <cellStyle name="Normal 6 2 4 2" xfId="7945"/>
    <cellStyle name="Normal 6 2 4 2 2" xfId="15916"/>
    <cellStyle name="Normal 6 2 4 2 3" xfId="23862"/>
    <cellStyle name="Normal 6 2 4 3" xfId="12378"/>
    <cellStyle name="Normal 6 2 4 4" xfId="20333"/>
    <cellStyle name="Normal 6 2 5" xfId="6173"/>
    <cellStyle name="Normal 6 2 5 2" xfId="14157"/>
    <cellStyle name="Normal 6 2 5 3" xfId="22105"/>
    <cellStyle name="Normal 6 2 6" xfId="9726"/>
    <cellStyle name="Normal 6 2 6 2" xfId="17684"/>
    <cellStyle name="Normal 6 2 6 3" xfId="25628"/>
    <cellStyle name="Normal 6 2 7" xfId="10622"/>
    <cellStyle name="Normal 6 2 8" xfId="18577"/>
    <cellStyle name="Normal 6 2_Exh G" xfId="3540"/>
    <cellStyle name="Normal 6 3" xfId="676"/>
    <cellStyle name="Normal 6 3 2" xfId="1704"/>
    <cellStyle name="Normal 6 3 2 2" xfId="5234"/>
    <cellStyle name="Normal 6 3 2 2 2" xfId="8825"/>
    <cellStyle name="Normal 6 3 2 2 2 2" xfId="16796"/>
    <cellStyle name="Normal 6 3 2 2 2 3" xfId="24742"/>
    <cellStyle name="Normal 6 3 2 2 3" xfId="13258"/>
    <cellStyle name="Normal 6 3 2 2 4" xfId="21213"/>
    <cellStyle name="Normal 6 3 2 3" xfId="7066"/>
    <cellStyle name="Normal 6 3 2 3 2" xfId="15038"/>
    <cellStyle name="Normal 6 3 2 3 3" xfId="22985"/>
    <cellStyle name="Normal 6 3 2 4" xfId="11502"/>
    <cellStyle name="Normal 6 3 2 5" xfId="19457"/>
    <cellStyle name="Normal 6 3 2_Exh G" xfId="3545"/>
    <cellStyle name="Normal 6 3 3" xfId="4355"/>
    <cellStyle name="Normal 6 3 3 2" xfId="7947"/>
    <cellStyle name="Normal 6 3 3 2 2" xfId="15918"/>
    <cellStyle name="Normal 6 3 3 2 3" xfId="23864"/>
    <cellStyle name="Normal 6 3 3 3" xfId="12380"/>
    <cellStyle name="Normal 6 3 3 4" xfId="20335"/>
    <cellStyle name="Normal 6 3 4" xfId="6175"/>
    <cellStyle name="Normal 6 3 4 2" xfId="14159"/>
    <cellStyle name="Normal 6 3 4 3" xfId="22107"/>
    <cellStyle name="Normal 6 3 5" xfId="9728"/>
    <cellStyle name="Normal 6 3 5 2" xfId="17686"/>
    <cellStyle name="Normal 6 3 5 3" xfId="25630"/>
    <cellStyle name="Normal 6 3 6" xfId="10624"/>
    <cellStyle name="Normal 6 3 7" xfId="18579"/>
    <cellStyle name="Normal 6 3_Exh G" xfId="3544"/>
    <cellStyle name="Normal 6 4" xfId="1024"/>
    <cellStyle name="Normal 7" xfId="17"/>
    <cellStyle name="Normal 7 2" xfId="677"/>
    <cellStyle name="Normal 7 2 2" xfId="678"/>
    <cellStyle name="Normal 7 2 2 2" xfId="1706"/>
    <cellStyle name="Normal 7 2 2 2 2" xfId="5236"/>
    <cellStyle name="Normal 7 2 2 2 2 2" xfId="8827"/>
    <cellStyle name="Normal 7 2 2 2 2 2 2" xfId="16798"/>
    <cellStyle name="Normal 7 2 2 2 2 2 3" xfId="24744"/>
    <cellStyle name="Normal 7 2 2 2 2 3" xfId="13260"/>
    <cellStyle name="Normal 7 2 2 2 2 4" xfId="21215"/>
    <cellStyle name="Normal 7 2 2 2 3" xfId="7068"/>
    <cellStyle name="Normal 7 2 2 2 3 2" xfId="15040"/>
    <cellStyle name="Normal 7 2 2 2 3 3" xfId="22987"/>
    <cellStyle name="Normal 7 2 2 2 4" xfId="11504"/>
    <cellStyle name="Normal 7 2 2 2 5" xfId="19459"/>
    <cellStyle name="Normal 7 2 2 2_Exh G" xfId="3548"/>
    <cellStyle name="Normal 7 2 2 3" xfId="4357"/>
    <cellStyle name="Normal 7 2 2 3 2" xfId="7949"/>
    <cellStyle name="Normal 7 2 2 3 2 2" xfId="15920"/>
    <cellStyle name="Normal 7 2 2 3 2 3" xfId="23866"/>
    <cellStyle name="Normal 7 2 2 3 3" xfId="12382"/>
    <cellStyle name="Normal 7 2 2 3 4" xfId="20337"/>
    <cellStyle name="Normal 7 2 2 4" xfId="6177"/>
    <cellStyle name="Normal 7 2 2 4 2" xfId="14161"/>
    <cellStyle name="Normal 7 2 2 4 3" xfId="22109"/>
    <cellStyle name="Normal 7 2 2 5" xfId="9730"/>
    <cellStyle name="Normal 7 2 2 5 2" xfId="17688"/>
    <cellStyle name="Normal 7 2 2 5 3" xfId="25632"/>
    <cellStyle name="Normal 7 2 2 6" xfId="10626"/>
    <cellStyle name="Normal 7 2 2 7" xfId="18581"/>
    <cellStyle name="Normal 7 2 2_Exh G" xfId="3547"/>
    <cellStyle name="Normal 7 2 3" xfId="1705"/>
    <cellStyle name="Normal 7 2 3 2" xfId="5235"/>
    <cellStyle name="Normal 7 2 3 2 2" xfId="8826"/>
    <cellStyle name="Normal 7 2 3 2 2 2" xfId="16797"/>
    <cellStyle name="Normal 7 2 3 2 2 3" xfId="24743"/>
    <cellStyle name="Normal 7 2 3 2 3" xfId="13259"/>
    <cellStyle name="Normal 7 2 3 2 4" xfId="21214"/>
    <cellStyle name="Normal 7 2 3 3" xfId="7067"/>
    <cellStyle name="Normal 7 2 3 3 2" xfId="15039"/>
    <cellStyle name="Normal 7 2 3 3 3" xfId="22986"/>
    <cellStyle name="Normal 7 2 3 4" xfId="11503"/>
    <cellStyle name="Normal 7 2 3 5" xfId="19458"/>
    <cellStyle name="Normal 7 2 3_Exh G" xfId="3549"/>
    <cellStyle name="Normal 7 2 4" xfId="4356"/>
    <cellStyle name="Normal 7 2 4 2" xfId="7948"/>
    <cellStyle name="Normal 7 2 4 2 2" xfId="15919"/>
    <cellStyle name="Normal 7 2 4 2 3" xfId="23865"/>
    <cellStyle name="Normal 7 2 4 3" xfId="12381"/>
    <cellStyle name="Normal 7 2 4 4" xfId="20336"/>
    <cellStyle name="Normal 7 2 5" xfId="6176"/>
    <cellStyle name="Normal 7 2 5 2" xfId="14160"/>
    <cellStyle name="Normal 7 2 5 3" xfId="22108"/>
    <cellStyle name="Normal 7 2 6" xfId="9729"/>
    <cellStyle name="Normal 7 2 6 2" xfId="17687"/>
    <cellStyle name="Normal 7 2 6 3" xfId="25631"/>
    <cellStyle name="Normal 7 2 7" xfId="10625"/>
    <cellStyle name="Normal 7 2 8" xfId="18580"/>
    <cellStyle name="Normal 7 2_Exh G" xfId="3546"/>
    <cellStyle name="Normal 7 3" xfId="679"/>
    <cellStyle name="Normal 7 3 2" xfId="1707"/>
    <cellStyle name="Normal 7 3 2 2" xfId="5237"/>
    <cellStyle name="Normal 7 3 2 2 2" xfId="8828"/>
    <cellStyle name="Normal 7 3 2 2 2 2" xfId="16799"/>
    <cellStyle name="Normal 7 3 2 2 2 3" xfId="24745"/>
    <cellStyle name="Normal 7 3 2 2 3" xfId="13261"/>
    <cellStyle name="Normal 7 3 2 2 4" xfId="21216"/>
    <cellStyle name="Normal 7 3 2 3" xfId="7069"/>
    <cellStyle name="Normal 7 3 2 3 2" xfId="15041"/>
    <cellStyle name="Normal 7 3 2 3 3" xfId="22988"/>
    <cellStyle name="Normal 7 3 2 4" xfId="11505"/>
    <cellStyle name="Normal 7 3 2 5" xfId="19460"/>
    <cellStyle name="Normal 7 3 2_Exh G" xfId="3551"/>
    <cellStyle name="Normal 7 3 3" xfId="4358"/>
    <cellStyle name="Normal 7 3 3 2" xfId="7950"/>
    <cellStyle name="Normal 7 3 3 2 2" xfId="15921"/>
    <cellStyle name="Normal 7 3 3 2 3" xfId="23867"/>
    <cellStyle name="Normal 7 3 3 3" xfId="12383"/>
    <cellStyle name="Normal 7 3 3 4" xfId="20338"/>
    <cellStyle name="Normal 7 3 4" xfId="6178"/>
    <cellStyle name="Normal 7 3 4 2" xfId="14162"/>
    <cellStyle name="Normal 7 3 4 3" xfId="22110"/>
    <cellStyle name="Normal 7 3 5" xfId="9731"/>
    <cellStyle name="Normal 7 3 5 2" xfId="17689"/>
    <cellStyle name="Normal 7 3 5 3" xfId="25633"/>
    <cellStyle name="Normal 7 3 6" xfId="10627"/>
    <cellStyle name="Normal 7 3 7" xfId="18582"/>
    <cellStyle name="Normal 7 3_Exh G" xfId="3550"/>
    <cellStyle name="Normal 7 4" xfId="1025"/>
    <cellStyle name="Normal 8" xfId="20"/>
    <cellStyle name="Normal 8 10" xfId="17925"/>
    <cellStyle name="Normal 8 2" xfId="680"/>
    <cellStyle name="Normal 8 2 2" xfId="681"/>
    <cellStyle name="Normal 8 2 2 2" xfId="1709"/>
    <cellStyle name="Normal 8 2 2 2 2" xfId="5239"/>
    <cellStyle name="Normal 8 2 2 2 2 2" xfId="8830"/>
    <cellStyle name="Normal 8 2 2 2 2 2 2" xfId="16801"/>
    <cellStyle name="Normal 8 2 2 2 2 2 3" xfId="24747"/>
    <cellStyle name="Normal 8 2 2 2 2 3" xfId="13263"/>
    <cellStyle name="Normal 8 2 2 2 2 4" xfId="21218"/>
    <cellStyle name="Normal 8 2 2 2 3" xfId="7071"/>
    <cellStyle name="Normal 8 2 2 2 3 2" xfId="15043"/>
    <cellStyle name="Normal 8 2 2 2 3 3" xfId="22990"/>
    <cellStyle name="Normal 8 2 2 2 4" xfId="11507"/>
    <cellStyle name="Normal 8 2 2 2 5" xfId="19462"/>
    <cellStyle name="Normal 8 2 2 2_Exh G" xfId="3555"/>
    <cellStyle name="Normal 8 2 2 3" xfId="4360"/>
    <cellStyle name="Normal 8 2 2 3 2" xfId="7952"/>
    <cellStyle name="Normal 8 2 2 3 2 2" xfId="15923"/>
    <cellStyle name="Normal 8 2 2 3 2 3" xfId="23869"/>
    <cellStyle name="Normal 8 2 2 3 3" xfId="12385"/>
    <cellStyle name="Normal 8 2 2 3 4" xfId="20340"/>
    <cellStyle name="Normal 8 2 2 4" xfId="6180"/>
    <cellStyle name="Normal 8 2 2 4 2" xfId="14164"/>
    <cellStyle name="Normal 8 2 2 4 3" xfId="22112"/>
    <cellStyle name="Normal 8 2 2 5" xfId="9733"/>
    <cellStyle name="Normal 8 2 2 5 2" xfId="17691"/>
    <cellStyle name="Normal 8 2 2 5 3" xfId="25635"/>
    <cellStyle name="Normal 8 2 2 6" xfId="10629"/>
    <cellStyle name="Normal 8 2 2 7" xfId="18584"/>
    <cellStyle name="Normal 8 2 2_Exh G" xfId="3554"/>
    <cellStyle name="Normal 8 2 3" xfId="1708"/>
    <cellStyle name="Normal 8 2 3 2" xfId="5238"/>
    <cellStyle name="Normal 8 2 3 2 2" xfId="8829"/>
    <cellStyle name="Normal 8 2 3 2 2 2" xfId="16800"/>
    <cellStyle name="Normal 8 2 3 2 2 3" xfId="24746"/>
    <cellStyle name="Normal 8 2 3 2 3" xfId="13262"/>
    <cellStyle name="Normal 8 2 3 2 4" xfId="21217"/>
    <cellStyle name="Normal 8 2 3 3" xfId="7070"/>
    <cellStyle name="Normal 8 2 3 3 2" xfId="15042"/>
    <cellStyle name="Normal 8 2 3 3 3" xfId="22989"/>
    <cellStyle name="Normal 8 2 3 4" xfId="11506"/>
    <cellStyle name="Normal 8 2 3 5" xfId="19461"/>
    <cellStyle name="Normal 8 2 3_Exh G" xfId="3556"/>
    <cellStyle name="Normal 8 2 4" xfId="4359"/>
    <cellStyle name="Normal 8 2 4 2" xfId="7951"/>
    <cellStyle name="Normal 8 2 4 2 2" xfId="15922"/>
    <cellStyle name="Normal 8 2 4 2 3" xfId="23868"/>
    <cellStyle name="Normal 8 2 4 3" xfId="12384"/>
    <cellStyle name="Normal 8 2 4 4" xfId="20339"/>
    <cellStyle name="Normal 8 2 5" xfId="6179"/>
    <cellStyle name="Normal 8 2 5 2" xfId="14163"/>
    <cellStyle name="Normal 8 2 5 3" xfId="22111"/>
    <cellStyle name="Normal 8 2 6" xfId="9732"/>
    <cellStyle name="Normal 8 2 6 2" xfId="17690"/>
    <cellStyle name="Normal 8 2 6 3" xfId="25634"/>
    <cellStyle name="Normal 8 2 7" xfId="10628"/>
    <cellStyle name="Normal 8 2 8" xfId="18583"/>
    <cellStyle name="Normal 8 2_Exh G" xfId="3553"/>
    <cellStyle name="Normal 8 3" xfId="682"/>
    <cellStyle name="Normal 8 3 2" xfId="1710"/>
    <cellStyle name="Normal 8 3 2 2" xfId="5240"/>
    <cellStyle name="Normal 8 3 2 2 2" xfId="8831"/>
    <cellStyle name="Normal 8 3 2 2 2 2" xfId="16802"/>
    <cellStyle name="Normal 8 3 2 2 2 3" xfId="24748"/>
    <cellStyle name="Normal 8 3 2 2 3" xfId="13264"/>
    <cellStyle name="Normal 8 3 2 2 4" xfId="21219"/>
    <cellStyle name="Normal 8 3 2 3" xfId="7072"/>
    <cellStyle name="Normal 8 3 2 3 2" xfId="15044"/>
    <cellStyle name="Normal 8 3 2 3 3" xfId="22991"/>
    <cellStyle name="Normal 8 3 2 4" xfId="11508"/>
    <cellStyle name="Normal 8 3 2 5" xfId="19463"/>
    <cellStyle name="Normal 8 3 2_Exh G" xfId="3558"/>
    <cellStyle name="Normal 8 3 3" xfId="4361"/>
    <cellStyle name="Normal 8 3 3 2" xfId="7953"/>
    <cellStyle name="Normal 8 3 3 2 2" xfId="15924"/>
    <cellStyle name="Normal 8 3 3 2 3" xfId="23870"/>
    <cellStyle name="Normal 8 3 3 3" xfId="12386"/>
    <cellStyle name="Normal 8 3 3 4" xfId="20341"/>
    <cellStyle name="Normal 8 3 4" xfId="6181"/>
    <cellStyle name="Normal 8 3 4 2" xfId="14165"/>
    <cellStyle name="Normal 8 3 4 3" xfId="22113"/>
    <cellStyle name="Normal 8 3 5" xfId="9734"/>
    <cellStyle name="Normal 8 3 5 2" xfId="17692"/>
    <cellStyle name="Normal 8 3 5 3" xfId="25636"/>
    <cellStyle name="Normal 8 3 6" xfId="10630"/>
    <cellStyle name="Normal 8 3 7" xfId="18585"/>
    <cellStyle name="Normal 8 3_Exh G" xfId="3557"/>
    <cellStyle name="Normal 8 4" xfId="1026"/>
    <cellStyle name="Normal 8 5" xfId="1050"/>
    <cellStyle name="Normal 8 5 2" xfId="4580"/>
    <cellStyle name="Normal 8 5 2 2" xfId="8171"/>
    <cellStyle name="Normal 8 5 2 2 2" xfId="16142"/>
    <cellStyle name="Normal 8 5 2 2 3" xfId="24088"/>
    <cellStyle name="Normal 8 5 2 3" xfId="12604"/>
    <cellStyle name="Normal 8 5 2 4" xfId="20559"/>
    <cellStyle name="Normal 8 5 3" xfId="6412"/>
    <cellStyle name="Normal 8 5 3 2" xfId="14384"/>
    <cellStyle name="Normal 8 5 3 3" xfId="22331"/>
    <cellStyle name="Normal 8 5 4" xfId="10848"/>
    <cellStyle name="Normal 8 5 5" xfId="18803"/>
    <cellStyle name="Normal 8 5_Exh G" xfId="3559"/>
    <cellStyle name="Normal 8 6" xfId="3701"/>
    <cellStyle name="Normal 8 6 2" xfId="7293"/>
    <cellStyle name="Normal 8 6 2 2" xfId="15264"/>
    <cellStyle name="Normal 8 6 2 3" xfId="23210"/>
    <cellStyle name="Normal 8 6 3" xfId="11726"/>
    <cellStyle name="Normal 8 6 4" xfId="19681"/>
    <cellStyle name="Normal 8 7" xfId="5521"/>
    <cellStyle name="Normal 8 7 2" xfId="13505"/>
    <cellStyle name="Normal 8 7 3" xfId="21453"/>
    <cellStyle name="Normal 8 8" xfId="9074"/>
    <cellStyle name="Normal 8 8 2" xfId="17032"/>
    <cellStyle name="Normal 8 8 3" xfId="24976"/>
    <cellStyle name="Normal 8 9" xfId="9970"/>
    <cellStyle name="Normal 8_Exh G" xfId="3552"/>
    <cellStyle name="Normal 9" xfId="23"/>
    <cellStyle name="Normal 9 2" xfId="683"/>
    <cellStyle name="Normal 9 2 2" xfId="684"/>
    <cellStyle name="Normal 9 2 2 2" xfId="1712"/>
    <cellStyle name="Normal 9 2 2 2 2" xfId="5242"/>
    <cellStyle name="Normal 9 2 2 2 2 2" xfId="8833"/>
    <cellStyle name="Normal 9 2 2 2 2 2 2" xfId="16804"/>
    <cellStyle name="Normal 9 2 2 2 2 2 3" xfId="24750"/>
    <cellStyle name="Normal 9 2 2 2 2 3" xfId="13266"/>
    <cellStyle name="Normal 9 2 2 2 2 4" xfId="21221"/>
    <cellStyle name="Normal 9 2 2 2 3" xfId="7074"/>
    <cellStyle name="Normal 9 2 2 2 3 2" xfId="15046"/>
    <cellStyle name="Normal 9 2 2 2 3 3" xfId="22993"/>
    <cellStyle name="Normal 9 2 2 2 4" xfId="11510"/>
    <cellStyle name="Normal 9 2 2 2 5" xfId="19465"/>
    <cellStyle name="Normal 9 2 2 2_Exh G" xfId="3563"/>
    <cellStyle name="Normal 9 2 2 3" xfId="4363"/>
    <cellStyle name="Normal 9 2 2 3 2" xfId="7955"/>
    <cellStyle name="Normal 9 2 2 3 2 2" xfId="15926"/>
    <cellStyle name="Normal 9 2 2 3 2 3" xfId="23872"/>
    <cellStyle name="Normal 9 2 2 3 3" xfId="12388"/>
    <cellStyle name="Normal 9 2 2 3 4" xfId="20343"/>
    <cellStyle name="Normal 9 2 2 4" xfId="6183"/>
    <cellStyle name="Normal 9 2 2 4 2" xfId="14167"/>
    <cellStyle name="Normal 9 2 2 4 3" xfId="22115"/>
    <cellStyle name="Normal 9 2 2 5" xfId="9736"/>
    <cellStyle name="Normal 9 2 2 5 2" xfId="17694"/>
    <cellStyle name="Normal 9 2 2 5 3" xfId="25638"/>
    <cellStyle name="Normal 9 2 2 6" xfId="10632"/>
    <cellStyle name="Normal 9 2 2 7" xfId="18587"/>
    <cellStyle name="Normal 9 2 2_Exh G" xfId="3562"/>
    <cellStyle name="Normal 9 2 3" xfId="1711"/>
    <cellStyle name="Normal 9 2 3 2" xfId="5241"/>
    <cellStyle name="Normal 9 2 3 2 2" xfId="8832"/>
    <cellStyle name="Normal 9 2 3 2 2 2" xfId="16803"/>
    <cellStyle name="Normal 9 2 3 2 2 3" xfId="24749"/>
    <cellStyle name="Normal 9 2 3 2 3" xfId="13265"/>
    <cellStyle name="Normal 9 2 3 2 4" xfId="21220"/>
    <cellStyle name="Normal 9 2 3 3" xfId="7073"/>
    <cellStyle name="Normal 9 2 3 3 2" xfId="15045"/>
    <cellStyle name="Normal 9 2 3 3 3" xfId="22992"/>
    <cellStyle name="Normal 9 2 3 4" xfId="11509"/>
    <cellStyle name="Normal 9 2 3 5" xfId="19464"/>
    <cellStyle name="Normal 9 2 3_Exh G" xfId="3564"/>
    <cellStyle name="Normal 9 2 4" xfId="4362"/>
    <cellStyle name="Normal 9 2 4 2" xfId="7954"/>
    <cellStyle name="Normal 9 2 4 2 2" xfId="15925"/>
    <cellStyle name="Normal 9 2 4 2 3" xfId="23871"/>
    <cellStyle name="Normal 9 2 4 3" xfId="12387"/>
    <cellStyle name="Normal 9 2 4 4" xfId="20342"/>
    <cellStyle name="Normal 9 2 5" xfId="6182"/>
    <cellStyle name="Normal 9 2 5 2" xfId="14166"/>
    <cellStyle name="Normal 9 2 5 3" xfId="22114"/>
    <cellStyle name="Normal 9 2 6" xfId="9735"/>
    <cellStyle name="Normal 9 2 6 2" xfId="17693"/>
    <cellStyle name="Normal 9 2 6 3" xfId="25637"/>
    <cellStyle name="Normal 9 2 7" xfId="10631"/>
    <cellStyle name="Normal 9 2 8" xfId="18586"/>
    <cellStyle name="Normal 9 2_Exh G" xfId="3561"/>
    <cellStyle name="Normal 9 3" xfId="685"/>
    <cellStyle name="Normal 9 3 2" xfId="1713"/>
    <cellStyle name="Normal 9 3 2 2" xfId="5243"/>
    <cellStyle name="Normal 9 3 2 2 2" xfId="8834"/>
    <cellStyle name="Normal 9 3 2 2 2 2" xfId="16805"/>
    <cellStyle name="Normal 9 3 2 2 2 3" xfId="24751"/>
    <cellStyle name="Normal 9 3 2 2 3" xfId="13267"/>
    <cellStyle name="Normal 9 3 2 2 4" xfId="21222"/>
    <cellStyle name="Normal 9 3 2 3" xfId="7075"/>
    <cellStyle name="Normal 9 3 2 3 2" xfId="15047"/>
    <cellStyle name="Normal 9 3 2 3 3" xfId="22994"/>
    <cellStyle name="Normal 9 3 2 4" xfId="11511"/>
    <cellStyle name="Normal 9 3 2 5" xfId="19466"/>
    <cellStyle name="Normal 9 3 2_Exh G" xfId="3566"/>
    <cellStyle name="Normal 9 3 3" xfId="4364"/>
    <cellStyle name="Normal 9 3 3 2" xfId="7956"/>
    <cellStyle name="Normal 9 3 3 2 2" xfId="15927"/>
    <cellStyle name="Normal 9 3 3 2 3" xfId="23873"/>
    <cellStyle name="Normal 9 3 3 3" xfId="12389"/>
    <cellStyle name="Normal 9 3 3 4" xfId="20344"/>
    <cellStyle name="Normal 9 3 4" xfId="6184"/>
    <cellStyle name="Normal 9 3 4 2" xfId="14168"/>
    <cellStyle name="Normal 9 3 4 3" xfId="22116"/>
    <cellStyle name="Normal 9 3 5" xfId="9737"/>
    <cellStyle name="Normal 9 3 5 2" xfId="17695"/>
    <cellStyle name="Normal 9 3 5 3" xfId="25639"/>
    <cellStyle name="Normal 9 3 6" xfId="10633"/>
    <cellStyle name="Normal 9 3 7" xfId="18588"/>
    <cellStyle name="Normal 9 3_Exh G" xfId="3565"/>
    <cellStyle name="Normal 9 4" xfId="1027"/>
    <cellStyle name="Normal 9 4 2" xfId="1929"/>
    <cellStyle name="Normal 9 4 2 2" xfId="5447"/>
    <cellStyle name="Normal 9 4 2 2 2" xfId="9038"/>
    <cellStyle name="Normal 9 4 2 2 2 2" xfId="17009"/>
    <cellStyle name="Normal 9 4 2 2 2 3" xfId="24955"/>
    <cellStyle name="Normal 9 4 2 2 3" xfId="13471"/>
    <cellStyle name="Normal 9 4 2 2 4" xfId="21426"/>
    <cellStyle name="Normal 9 4 2 3" xfId="7279"/>
    <cellStyle name="Normal 9 4 2 3 2" xfId="15251"/>
    <cellStyle name="Normal 9 4 2 3 3" xfId="23198"/>
    <cellStyle name="Normal 9 4 2 4" xfId="11715"/>
    <cellStyle name="Normal 9 4 2 5" xfId="19670"/>
    <cellStyle name="Normal 9 4 2_Exh G" xfId="3568"/>
    <cellStyle name="Normal 9 4 3" xfId="4568"/>
    <cellStyle name="Normal 9 4 3 2" xfId="8160"/>
    <cellStyle name="Normal 9 4 3 2 2" xfId="16131"/>
    <cellStyle name="Normal 9 4 3 2 3" xfId="24077"/>
    <cellStyle name="Normal 9 4 3 3" xfId="12593"/>
    <cellStyle name="Normal 9 4 3 4" xfId="20548"/>
    <cellStyle name="Normal 9 4 4" xfId="6398"/>
    <cellStyle name="Normal 9 4 4 2" xfId="14373"/>
    <cellStyle name="Normal 9 4 4 3" xfId="22320"/>
    <cellStyle name="Normal 9 4 5" xfId="9941"/>
    <cellStyle name="Normal 9 4 5 2" xfId="17899"/>
    <cellStyle name="Normal 9 4 5 3" xfId="25843"/>
    <cellStyle name="Normal 9 4 6" xfId="10837"/>
    <cellStyle name="Normal 9 4 7" xfId="18792"/>
    <cellStyle name="Normal 9 4_Exh G" xfId="3567"/>
    <cellStyle name="Normal 9_Exh G" xfId="3560"/>
    <cellStyle name="Normal_Appendix G 11 FEBRUARY 10 temploan no 303 ver2 2" xfId="1028"/>
    <cellStyle name="Normal_ExhibitF_05-06" xfId="19"/>
    <cellStyle name="Normal_ExhibitF_05-06 2" xfId="25861"/>
    <cellStyle name="Note 10" xfId="686"/>
    <cellStyle name="Note 10 10" xfId="18589"/>
    <cellStyle name="Note 10 2" xfId="687"/>
    <cellStyle name="Note 10 2 2" xfId="688"/>
    <cellStyle name="Note 10 2 2 2" xfId="1716"/>
    <cellStyle name="Note 10 2 2 2 2" xfId="5246"/>
    <cellStyle name="Note 10 2 2 2 2 2" xfId="8837"/>
    <cellStyle name="Note 10 2 2 2 2 2 2" xfId="16808"/>
    <cellStyle name="Note 10 2 2 2 2 2 3" xfId="24754"/>
    <cellStyle name="Note 10 2 2 2 2 3" xfId="13270"/>
    <cellStyle name="Note 10 2 2 2 2 4" xfId="21225"/>
    <cellStyle name="Note 10 2 2 2 3" xfId="7078"/>
    <cellStyle name="Note 10 2 2 2 3 2" xfId="15050"/>
    <cellStyle name="Note 10 2 2 2 3 3" xfId="22997"/>
    <cellStyle name="Note 10 2 2 2 4" xfId="11514"/>
    <cellStyle name="Note 10 2 2 2 5" xfId="19469"/>
    <cellStyle name="Note 10 2 2 2_Exh G" xfId="3572"/>
    <cellStyle name="Note 10 2 2 3" xfId="4367"/>
    <cellStyle name="Note 10 2 2 3 2" xfId="7959"/>
    <cellStyle name="Note 10 2 2 3 2 2" xfId="15930"/>
    <cellStyle name="Note 10 2 2 3 2 3" xfId="23876"/>
    <cellStyle name="Note 10 2 2 3 3" xfId="12392"/>
    <cellStyle name="Note 10 2 2 3 4" xfId="20347"/>
    <cellStyle name="Note 10 2 2 4" xfId="6187"/>
    <cellStyle name="Note 10 2 2 4 2" xfId="14171"/>
    <cellStyle name="Note 10 2 2 4 3" xfId="22119"/>
    <cellStyle name="Note 10 2 2 5" xfId="9740"/>
    <cellStyle name="Note 10 2 2 5 2" xfId="17698"/>
    <cellStyle name="Note 10 2 2 5 3" xfId="25642"/>
    <cellStyle name="Note 10 2 2 6" xfId="10636"/>
    <cellStyle name="Note 10 2 2 7" xfId="18591"/>
    <cellStyle name="Note 10 2 2_Exh G" xfId="3571"/>
    <cellStyle name="Note 10 2 3" xfId="1715"/>
    <cellStyle name="Note 10 2 3 2" xfId="5245"/>
    <cellStyle name="Note 10 2 3 2 2" xfId="8836"/>
    <cellStyle name="Note 10 2 3 2 2 2" xfId="16807"/>
    <cellStyle name="Note 10 2 3 2 2 3" xfId="24753"/>
    <cellStyle name="Note 10 2 3 2 3" xfId="13269"/>
    <cellStyle name="Note 10 2 3 2 4" xfId="21224"/>
    <cellStyle name="Note 10 2 3 3" xfId="7077"/>
    <cellStyle name="Note 10 2 3 3 2" xfId="15049"/>
    <cellStyle name="Note 10 2 3 3 3" xfId="22996"/>
    <cellStyle name="Note 10 2 3 4" xfId="11513"/>
    <cellStyle name="Note 10 2 3 5" xfId="19468"/>
    <cellStyle name="Note 10 2 3_Exh G" xfId="3573"/>
    <cellStyle name="Note 10 2 4" xfId="4366"/>
    <cellStyle name="Note 10 2 4 2" xfId="7958"/>
    <cellStyle name="Note 10 2 4 2 2" xfId="15929"/>
    <cellStyle name="Note 10 2 4 2 3" xfId="23875"/>
    <cellStyle name="Note 10 2 4 3" xfId="12391"/>
    <cellStyle name="Note 10 2 4 4" xfId="20346"/>
    <cellStyle name="Note 10 2 5" xfId="6186"/>
    <cellStyle name="Note 10 2 5 2" xfId="14170"/>
    <cellStyle name="Note 10 2 5 3" xfId="22118"/>
    <cellStyle name="Note 10 2 6" xfId="9739"/>
    <cellStyle name="Note 10 2 6 2" xfId="17697"/>
    <cellStyle name="Note 10 2 6 3" xfId="25641"/>
    <cellStyle name="Note 10 2 7" xfId="10635"/>
    <cellStyle name="Note 10 2 8" xfId="18590"/>
    <cellStyle name="Note 10 2_Exh G" xfId="3570"/>
    <cellStyle name="Note 10 3" xfId="689"/>
    <cellStyle name="Note 10 3 2" xfId="1717"/>
    <cellStyle name="Note 10 3 2 2" xfId="5247"/>
    <cellStyle name="Note 10 3 2 2 2" xfId="8838"/>
    <cellStyle name="Note 10 3 2 2 2 2" xfId="16809"/>
    <cellStyle name="Note 10 3 2 2 2 3" xfId="24755"/>
    <cellStyle name="Note 10 3 2 2 3" xfId="13271"/>
    <cellStyle name="Note 10 3 2 2 4" xfId="21226"/>
    <cellStyle name="Note 10 3 2 3" xfId="7079"/>
    <cellStyle name="Note 10 3 2 3 2" xfId="15051"/>
    <cellStyle name="Note 10 3 2 3 3" xfId="22998"/>
    <cellStyle name="Note 10 3 2 4" xfId="11515"/>
    <cellStyle name="Note 10 3 2 5" xfId="19470"/>
    <cellStyle name="Note 10 3 2_Exh G" xfId="3575"/>
    <cellStyle name="Note 10 3 3" xfId="4368"/>
    <cellStyle name="Note 10 3 3 2" xfId="7960"/>
    <cellStyle name="Note 10 3 3 2 2" xfId="15931"/>
    <cellStyle name="Note 10 3 3 2 3" xfId="23877"/>
    <cellStyle name="Note 10 3 3 3" xfId="12393"/>
    <cellStyle name="Note 10 3 3 4" xfId="20348"/>
    <cellStyle name="Note 10 3 4" xfId="6188"/>
    <cellStyle name="Note 10 3 4 2" xfId="14172"/>
    <cellStyle name="Note 10 3 4 3" xfId="22120"/>
    <cellStyle name="Note 10 3 5" xfId="9741"/>
    <cellStyle name="Note 10 3 5 2" xfId="17699"/>
    <cellStyle name="Note 10 3 5 3" xfId="25643"/>
    <cellStyle name="Note 10 3 6" xfId="10637"/>
    <cellStyle name="Note 10 3 7" xfId="18592"/>
    <cellStyle name="Note 10 3_Exh G" xfId="3574"/>
    <cellStyle name="Note 10 4" xfId="1029"/>
    <cellStyle name="Note 10 4 2" xfId="6399"/>
    <cellStyle name="Note 10 5" xfId="1714"/>
    <cellStyle name="Note 10 5 2" xfId="5244"/>
    <cellStyle name="Note 10 5 2 2" xfId="8835"/>
    <cellStyle name="Note 10 5 2 2 2" xfId="16806"/>
    <cellStyle name="Note 10 5 2 2 3" xfId="24752"/>
    <cellStyle name="Note 10 5 2 3" xfId="13268"/>
    <cellStyle name="Note 10 5 2 4" xfId="21223"/>
    <cellStyle name="Note 10 5 3" xfId="7076"/>
    <cellStyle name="Note 10 5 3 2" xfId="15048"/>
    <cellStyle name="Note 10 5 3 3" xfId="22995"/>
    <cellStyle name="Note 10 5 4" xfId="11512"/>
    <cellStyle name="Note 10 5 5" xfId="19467"/>
    <cellStyle name="Note 10 5_Exh G" xfId="3576"/>
    <cellStyle name="Note 10 6" xfId="4365"/>
    <cellStyle name="Note 10 6 2" xfId="7957"/>
    <cellStyle name="Note 10 6 2 2" xfId="15928"/>
    <cellStyle name="Note 10 6 2 3" xfId="23874"/>
    <cellStyle name="Note 10 6 3" xfId="12390"/>
    <cellStyle name="Note 10 6 4" xfId="20345"/>
    <cellStyle name="Note 10 7" xfId="6185"/>
    <cellStyle name="Note 10 7 2" xfId="14169"/>
    <cellStyle name="Note 10 7 3" xfId="22117"/>
    <cellStyle name="Note 10 8" xfId="9738"/>
    <cellStyle name="Note 10 8 2" xfId="17696"/>
    <cellStyle name="Note 10 8 3" xfId="25640"/>
    <cellStyle name="Note 10 9" xfId="10634"/>
    <cellStyle name="Note 10_Exh G" xfId="3569"/>
    <cellStyle name="Note 11" xfId="690"/>
    <cellStyle name="Note 11 2" xfId="691"/>
    <cellStyle name="Note 11 2 2" xfId="692"/>
    <cellStyle name="Note 11 2 2 2" xfId="1720"/>
    <cellStyle name="Note 11 2 2 2 2" xfId="5250"/>
    <cellStyle name="Note 11 2 2 2 2 2" xfId="8841"/>
    <cellStyle name="Note 11 2 2 2 2 2 2" xfId="16812"/>
    <cellStyle name="Note 11 2 2 2 2 2 3" xfId="24758"/>
    <cellStyle name="Note 11 2 2 2 2 3" xfId="13274"/>
    <cellStyle name="Note 11 2 2 2 2 4" xfId="21229"/>
    <cellStyle name="Note 11 2 2 2 3" xfId="7082"/>
    <cellStyle name="Note 11 2 2 2 3 2" xfId="15054"/>
    <cellStyle name="Note 11 2 2 2 3 3" xfId="23001"/>
    <cellStyle name="Note 11 2 2 2 4" xfId="11518"/>
    <cellStyle name="Note 11 2 2 2 5" xfId="19473"/>
    <cellStyle name="Note 11 2 2 2_Exh G" xfId="3580"/>
    <cellStyle name="Note 11 2 2 3" xfId="4371"/>
    <cellStyle name="Note 11 2 2 3 2" xfId="7963"/>
    <cellStyle name="Note 11 2 2 3 2 2" xfId="15934"/>
    <cellStyle name="Note 11 2 2 3 2 3" xfId="23880"/>
    <cellStyle name="Note 11 2 2 3 3" xfId="12396"/>
    <cellStyle name="Note 11 2 2 3 4" xfId="20351"/>
    <cellStyle name="Note 11 2 2 4" xfId="6191"/>
    <cellStyle name="Note 11 2 2 4 2" xfId="14175"/>
    <cellStyle name="Note 11 2 2 4 3" xfId="22123"/>
    <cellStyle name="Note 11 2 2 5" xfId="9744"/>
    <cellStyle name="Note 11 2 2 5 2" xfId="17702"/>
    <cellStyle name="Note 11 2 2 5 3" xfId="25646"/>
    <cellStyle name="Note 11 2 2 6" xfId="10640"/>
    <cellStyle name="Note 11 2 2 7" xfId="18595"/>
    <cellStyle name="Note 11 2 2_Exh G" xfId="3579"/>
    <cellStyle name="Note 11 2 3" xfId="1719"/>
    <cellStyle name="Note 11 2 3 2" xfId="5249"/>
    <cellStyle name="Note 11 2 3 2 2" xfId="8840"/>
    <cellStyle name="Note 11 2 3 2 2 2" xfId="16811"/>
    <cellStyle name="Note 11 2 3 2 2 3" xfId="24757"/>
    <cellStyle name="Note 11 2 3 2 3" xfId="13273"/>
    <cellStyle name="Note 11 2 3 2 4" xfId="21228"/>
    <cellStyle name="Note 11 2 3 3" xfId="7081"/>
    <cellStyle name="Note 11 2 3 3 2" xfId="15053"/>
    <cellStyle name="Note 11 2 3 3 3" xfId="23000"/>
    <cellStyle name="Note 11 2 3 4" xfId="11517"/>
    <cellStyle name="Note 11 2 3 5" xfId="19472"/>
    <cellStyle name="Note 11 2 3_Exh G" xfId="3581"/>
    <cellStyle name="Note 11 2 4" xfId="4370"/>
    <cellStyle name="Note 11 2 4 2" xfId="7962"/>
    <cellStyle name="Note 11 2 4 2 2" xfId="15933"/>
    <cellStyle name="Note 11 2 4 2 3" xfId="23879"/>
    <cellStyle name="Note 11 2 4 3" xfId="12395"/>
    <cellStyle name="Note 11 2 4 4" xfId="20350"/>
    <cellStyle name="Note 11 2 5" xfId="6190"/>
    <cellStyle name="Note 11 2 5 2" xfId="14174"/>
    <cellStyle name="Note 11 2 5 3" xfId="22122"/>
    <cellStyle name="Note 11 2 6" xfId="9743"/>
    <cellStyle name="Note 11 2 6 2" xfId="17701"/>
    <cellStyle name="Note 11 2 6 3" xfId="25645"/>
    <cellStyle name="Note 11 2 7" xfId="10639"/>
    <cellStyle name="Note 11 2 8" xfId="18594"/>
    <cellStyle name="Note 11 2_Exh G" xfId="3578"/>
    <cellStyle name="Note 11 3" xfId="693"/>
    <cellStyle name="Note 11 3 2" xfId="1721"/>
    <cellStyle name="Note 11 3 2 2" xfId="5251"/>
    <cellStyle name="Note 11 3 2 2 2" xfId="8842"/>
    <cellStyle name="Note 11 3 2 2 2 2" xfId="16813"/>
    <cellStyle name="Note 11 3 2 2 2 3" xfId="24759"/>
    <cellStyle name="Note 11 3 2 2 3" xfId="13275"/>
    <cellStyle name="Note 11 3 2 2 4" xfId="21230"/>
    <cellStyle name="Note 11 3 2 3" xfId="7083"/>
    <cellStyle name="Note 11 3 2 3 2" xfId="15055"/>
    <cellStyle name="Note 11 3 2 3 3" xfId="23002"/>
    <cellStyle name="Note 11 3 2 4" xfId="11519"/>
    <cellStyle name="Note 11 3 2 5" xfId="19474"/>
    <cellStyle name="Note 11 3 2_Exh G" xfId="3583"/>
    <cellStyle name="Note 11 3 3" xfId="4372"/>
    <cellStyle name="Note 11 3 3 2" xfId="7964"/>
    <cellStyle name="Note 11 3 3 2 2" xfId="15935"/>
    <cellStyle name="Note 11 3 3 2 3" xfId="23881"/>
    <cellStyle name="Note 11 3 3 3" xfId="12397"/>
    <cellStyle name="Note 11 3 3 4" xfId="20352"/>
    <cellStyle name="Note 11 3 4" xfId="6192"/>
    <cellStyle name="Note 11 3 4 2" xfId="14176"/>
    <cellStyle name="Note 11 3 4 3" xfId="22124"/>
    <cellStyle name="Note 11 3 5" xfId="9745"/>
    <cellStyle name="Note 11 3 5 2" xfId="17703"/>
    <cellStyle name="Note 11 3 5 3" xfId="25647"/>
    <cellStyle name="Note 11 3 6" xfId="10641"/>
    <cellStyle name="Note 11 3 7" xfId="18596"/>
    <cellStyle name="Note 11 3_Exh G" xfId="3582"/>
    <cellStyle name="Note 11 4" xfId="1718"/>
    <cellStyle name="Note 11 4 2" xfId="5248"/>
    <cellStyle name="Note 11 4 2 2" xfId="8839"/>
    <cellStyle name="Note 11 4 2 2 2" xfId="16810"/>
    <cellStyle name="Note 11 4 2 2 3" xfId="24756"/>
    <cellStyle name="Note 11 4 2 3" xfId="13272"/>
    <cellStyle name="Note 11 4 2 4" xfId="21227"/>
    <cellStyle name="Note 11 4 3" xfId="7080"/>
    <cellStyle name="Note 11 4 3 2" xfId="15052"/>
    <cellStyle name="Note 11 4 3 3" xfId="22999"/>
    <cellStyle name="Note 11 4 4" xfId="11516"/>
    <cellStyle name="Note 11 4 5" xfId="19471"/>
    <cellStyle name="Note 11 4_Exh G" xfId="3584"/>
    <cellStyle name="Note 11 5" xfId="4369"/>
    <cellStyle name="Note 11 5 2" xfId="7961"/>
    <cellStyle name="Note 11 5 2 2" xfId="15932"/>
    <cellStyle name="Note 11 5 2 3" xfId="23878"/>
    <cellStyle name="Note 11 5 3" xfId="12394"/>
    <cellStyle name="Note 11 5 4" xfId="20349"/>
    <cellStyle name="Note 11 6" xfId="6189"/>
    <cellStyle name="Note 11 6 2" xfId="14173"/>
    <cellStyle name="Note 11 6 3" xfId="22121"/>
    <cellStyle name="Note 11 7" xfId="9742"/>
    <cellStyle name="Note 11 7 2" xfId="17700"/>
    <cellStyle name="Note 11 7 3" xfId="25644"/>
    <cellStyle name="Note 11 8" xfId="10638"/>
    <cellStyle name="Note 11 9" xfId="18593"/>
    <cellStyle name="Note 11_Exh G" xfId="3577"/>
    <cellStyle name="Note 12" xfId="694"/>
    <cellStyle name="Note 12 2" xfId="695"/>
    <cellStyle name="Note 12 2 2" xfId="696"/>
    <cellStyle name="Note 12 2 2 2" xfId="1724"/>
    <cellStyle name="Note 12 2 2 2 2" xfId="5254"/>
    <cellStyle name="Note 12 2 2 2 2 2" xfId="8845"/>
    <cellStyle name="Note 12 2 2 2 2 2 2" xfId="16816"/>
    <cellStyle name="Note 12 2 2 2 2 2 3" xfId="24762"/>
    <cellStyle name="Note 12 2 2 2 2 3" xfId="13278"/>
    <cellStyle name="Note 12 2 2 2 2 4" xfId="21233"/>
    <cellStyle name="Note 12 2 2 2 3" xfId="7086"/>
    <cellStyle name="Note 12 2 2 2 3 2" xfId="15058"/>
    <cellStyle name="Note 12 2 2 2 3 3" xfId="23005"/>
    <cellStyle name="Note 12 2 2 2 4" xfId="11522"/>
    <cellStyle name="Note 12 2 2 2 5" xfId="19477"/>
    <cellStyle name="Note 12 2 2 2_Exh G" xfId="3588"/>
    <cellStyle name="Note 12 2 2 3" xfId="4375"/>
    <cellStyle name="Note 12 2 2 3 2" xfId="7967"/>
    <cellStyle name="Note 12 2 2 3 2 2" xfId="15938"/>
    <cellStyle name="Note 12 2 2 3 2 3" xfId="23884"/>
    <cellStyle name="Note 12 2 2 3 3" xfId="12400"/>
    <cellStyle name="Note 12 2 2 3 4" xfId="20355"/>
    <cellStyle name="Note 12 2 2 4" xfId="6195"/>
    <cellStyle name="Note 12 2 2 4 2" xfId="14179"/>
    <cellStyle name="Note 12 2 2 4 3" xfId="22127"/>
    <cellStyle name="Note 12 2 2 5" xfId="9748"/>
    <cellStyle name="Note 12 2 2 5 2" xfId="17706"/>
    <cellStyle name="Note 12 2 2 5 3" xfId="25650"/>
    <cellStyle name="Note 12 2 2 6" xfId="10644"/>
    <cellStyle name="Note 12 2 2 7" xfId="18599"/>
    <cellStyle name="Note 12 2 2_Exh G" xfId="3587"/>
    <cellStyle name="Note 12 2 3" xfId="1723"/>
    <cellStyle name="Note 12 2 3 2" xfId="5253"/>
    <cellStyle name="Note 12 2 3 2 2" xfId="8844"/>
    <cellStyle name="Note 12 2 3 2 2 2" xfId="16815"/>
    <cellStyle name="Note 12 2 3 2 2 3" xfId="24761"/>
    <cellStyle name="Note 12 2 3 2 3" xfId="13277"/>
    <cellStyle name="Note 12 2 3 2 4" xfId="21232"/>
    <cellStyle name="Note 12 2 3 3" xfId="7085"/>
    <cellStyle name="Note 12 2 3 3 2" xfId="15057"/>
    <cellStyle name="Note 12 2 3 3 3" xfId="23004"/>
    <cellStyle name="Note 12 2 3 4" xfId="11521"/>
    <cellStyle name="Note 12 2 3 5" xfId="19476"/>
    <cellStyle name="Note 12 2 3_Exh G" xfId="3589"/>
    <cellStyle name="Note 12 2 4" xfId="4374"/>
    <cellStyle name="Note 12 2 4 2" xfId="7966"/>
    <cellStyle name="Note 12 2 4 2 2" xfId="15937"/>
    <cellStyle name="Note 12 2 4 2 3" xfId="23883"/>
    <cellStyle name="Note 12 2 4 3" xfId="12399"/>
    <cellStyle name="Note 12 2 4 4" xfId="20354"/>
    <cellStyle name="Note 12 2 5" xfId="6194"/>
    <cellStyle name="Note 12 2 5 2" xfId="14178"/>
    <cellStyle name="Note 12 2 5 3" xfId="22126"/>
    <cellStyle name="Note 12 2 6" xfId="9747"/>
    <cellStyle name="Note 12 2 6 2" xfId="17705"/>
    <cellStyle name="Note 12 2 6 3" xfId="25649"/>
    <cellStyle name="Note 12 2 7" xfId="10643"/>
    <cellStyle name="Note 12 2 8" xfId="18598"/>
    <cellStyle name="Note 12 2_Exh G" xfId="3586"/>
    <cellStyle name="Note 12 3" xfId="697"/>
    <cellStyle name="Note 12 3 2" xfId="1725"/>
    <cellStyle name="Note 12 3 2 2" xfId="5255"/>
    <cellStyle name="Note 12 3 2 2 2" xfId="8846"/>
    <cellStyle name="Note 12 3 2 2 2 2" xfId="16817"/>
    <cellStyle name="Note 12 3 2 2 2 3" xfId="24763"/>
    <cellStyle name="Note 12 3 2 2 3" xfId="13279"/>
    <cellStyle name="Note 12 3 2 2 4" xfId="21234"/>
    <cellStyle name="Note 12 3 2 3" xfId="7087"/>
    <cellStyle name="Note 12 3 2 3 2" xfId="15059"/>
    <cellStyle name="Note 12 3 2 3 3" xfId="23006"/>
    <cellStyle name="Note 12 3 2 4" xfId="11523"/>
    <cellStyle name="Note 12 3 2 5" xfId="19478"/>
    <cellStyle name="Note 12 3 2_Exh G" xfId="3591"/>
    <cellStyle name="Note 12 3 3" xfId="4376"/>
    <cellStyle name="Note 12 3 3 2" xfId="7968"/>
    <cellStyle name="Note 12 3 3 2 2" xfId="15939"/>
    <cellStyle name="Note 12 3 3 2 3" xfId="23885"/>
    <cellStyle name="Note 12 3 3 3" xfId="12401"/>
    <cellStyle name="Note 12 3 3 4" xfId="20356"/>
    <cellStyle name="Note 12 3 4" xfId="6196"/>
    <cellStyle name="Note 12 3 4 2" xfId="14180"/>
    <cellStyle name="Note 12 3 4 3" xfId="22128"/>
    <cellStyle name="Note 12 3 5" xfId="9749"/>
    <cellStyle name="Note 12 3 5 2" xfId="17707"/>
    <cellStyle name="Note 12 3 5 3" xfId="25651"/>
    <cellStyle name="Note 12 3 6" xfId="10645"/>
    <cellStyle name="Note 12 3 7" xfId="18600"/>
    <cellStyle name="Note 12 3_Exh G" xfId="3590"/>
    <cellStyle name="Note 12 4" xfId="1722"/>
    <cellStyle name="Note 12 4 2" xfId="5252"/>
    <cellStyle name="Note 12 4 2 2" xfId="8843"/>
    <cellStyle name="Note 12 4 2 2 2" xfId="16814"/>
    <cellStyle name="Note 12 4 2 2 3" xfId="24760"/>
    <cellStyle name="Note 12 4 2 3" xfId="13276"/>
    <cellStyle name="Note 12 4 2 4" xfId="21231"/>
    <cellStyle name="Note 12 4 3" xfId="7084"/>
    <cellStyle name="Note 12 4 3 2" xfId="15056"/>
    <cellStyle name="Note 12 4 3 3" xfId="23003"/>
    <cellStyle name="Note 12 4 4" xfId="11520"/>
    <cellStyle name="Note 12 4 5" xfId="19475"/>
    <cellStyle name="Note 12 4_Exh G" xfId="3592"/>
    <cellStyle name="Note 12 5" xfId="4373"/>
    <cellStyle name="Note 12 5 2" xfId="7965"/>
    <cellStyle name="Note 12 5 2 2" xfId="15936"/>
    <cellStyle name="Note 12 5 2 3" xfId="23882"/>
    <cellStyle name="Note 12 5 3" xfId="12398"/>
    <cellStyle name="Note 12 5 4" xfId="20353"/>
    <cellStyle name="Note 12 6" xfId="6193"/>
    <cellStyle name="Note 12 6 2" xfId="14177"/>
    <cellStyle name="Note 12 6 3" xfId="22125"/>
    <cellStyle name="Note 12 7" xfId="9746"/>
    <cellStyle name="Note 12 7 2" xfId="17704"/>
    <cellStyle name="Note 12 7 3" xfId="25648"/>
    <cellStyle name="Note 12 8" xfId="10642"/>
    <cellStyle name="Note 12 9" xfId="18597"/>
    <cellStyle name="Note 12_Exh G" xfId="3585"/>
    <cellStyle name="Note 13" xfId="698"/>
    <cellStyle name="Note 13 2" xfId="699"/>
    <cellStyle name="Note 13 2 2" xfId="700"/>
    <cellStyle name="Note 13 2 2 2" xfId="1728"/>
    <cellStyle name="Note 13 2 2 2 2" xfId="5258"/>
    <cellStyle name="Note 13 2 2 2 2 2" xfId="8849"/>
    <cellStyle name="Note 13 2 2 2 2 2 2" xfId="16820"/>
    <cellStyle name="Note 13 2 2 2 2 2 3" xfId="24766"/>
    <cellStyle name="Note 13 2 2 2 2 3" xfId="13282"/>
    <cellStyle name="Note 13 2 2 2 2 4" xfId="21237"/>
    <cellStyle name="Note 13 2 2 2 3" xfId="7090"/>
    <cellStyle name="Note 13 2 2 2 3 2" xfId="15062"/>
    <cellStyle name="Note 13 2 2 2 3 3" xfId="23009"/>
    <cellStyle name="Note 13 2 2 2 4" xfId="11526"/>
    <cellStyle name="Note 13 2 2 2 5" xfId="19481"/>
    <cellStyle name="Note 13 2 2 2_Exh G" xfId="3596"/>
    <cellStyle name="Note 13 2 2 3" xfId="4379"/>
    <cellStyle name="Note 13 2 2 3 2" xfId="7971"/>
    <cellStyle name="Note 13 2 2 3 2 2" xfId="15942"/>
    <cellStyle name="Note 13 2 2 3 2 3" xfId="23888"/>
    <cellStyle name="Note 13 2 2 3 3" xfId="12404"/>
    <cellStyle name="Note 13 2 2 3 4" xfId="20359"/>
    <cellStyle name="Note 13 2 2 4" xfId="6199"/>
    <cellStyle name="Note 13 2 2 4 2" xfId="14183"/>
    <cellStyle name="Note 13 2 2 4 3" xfId="22131"/>
    <cellStyle name="Note 13 2 2 5" xfId="9752"/>
    <cellStyle name="Note 13 2 2 5 2" xfId="17710"/>
    <cellStyle name="Note 13 2 2 5 3" xfId="25654"/>
    <cellStyle name="Note 13 2 2 6" xfId="10648"/>
    <cellStyle name="Note 13 2 2 7" xfId="18603"/>
    <cellStyle name="Note 13 2 2_Exh G" xfId="3595"/>
    <cellStyle name="Note 13 2 3" xfId="1727"/>
    <cellStyle name="Note 13 2 3 2" xfId="5257"/>
    <cellStyle name="Note 13 2 3 2 2" xfId="8848"/>
    <cellStyle name="Note 13 2 3 2 2 2" xfId="16819"/>
    <cellStyle name="Note 13 2 3 2 2 3" xfId="24765"/>
    <cellStyle name="Note 13 2 3 2 3" xfId="13281"/>
    <cellStyle name="Note 13 2 3 2 4" xfId="21236"/>
    <cellStyle name="Note 13 2 3 3" xfId="7089"/>
    <cellStyle name="Note 13 2 3 3 2" xfId="15061"/>
    <cellStyle name="Note 13 2 3 3 3" xfId="23008"/>
    <cellStyle name="Note 13 2 3 4" xfId="11525"/>
    <cellStyle name="Note 13 2 3 5" xfId="19480"/>
    <cellStyle name="Note 13 2 3_Exh G" xfId="3597"/>
    <cellStyle name="Note 13 2 4" xfId="4378"/>
    <cellStyle name="Note 13 2 4 2" xfId="7970"/>
    <cellStyle name="Note 13 2 4 2 2" xfId="15941"/>
    <cellStyle name="Note 13 2 4 2 3" xfId="23887"/>
    <cellStyle name="Note 13 2 4 3" xfId="12403"/>
    <cellStyle name="Note 13 2 4 4" xfId="20358"/>
    <cellStyle name="Note 13 2 5" xfId="6198"/>
    <cellStyle name="Note 13 2 5 2" xfId="14182"/>
    <cellStyle name="Note 13 2 5 3" xfId="22130"/>
    <cellStyle name="Note 13 2 6" xfId="9751"/>
    <cellStyle name="Note 13 2 6 2" xfId="17709"/>
    <cellStyle name="Note 13 2 6 3" xfId="25653"/>
    <cellStyle name="Note 13 2 7" xfId="10647"/>
    <cellStyle name="Note 13 2 8" xfId="18602"/>
    <cellStyle name="Note 13 2_Exh G" xfId="3594"/>
    <cellStyle name="Note 13 3" xfId="701"/>
    <cellStyle name="Note 13 3 2" xfId="1729"/>
    <cellStyle name="Note 13 3 2 2" xfId="5259"/>
    <cellStyle name="Note 13 3 2 2 2" xfId="8850"/>
    <cellStyle name="Note 13 3 2 2 2 2" xfId="16821"/>
    <cellStyle name="Note 13 3 2 2 2 3" xfId="24767"/>
    <cellStyle name="Note 13 3 2 2 3" xfId="13283"/>
    <cellStyle name="Note 13 3 2 2 4" xfId="21238"/>
    <cellStyle name="Note 13 3 2 3" xfId="7091"/>
    <cellStyle name="Note 13 3 2 3 2" xfId="15063"/>
    <cellStyle name="Note 13 3 2 3 3" xfId="23010"/>
    <cellStyle name="Note 13 3 2 4" xfId="11527"/>
    <cellStyle name="Note 13 3 2 5" xfId="19482"/>
    <cellStyle name="Note 13 3 2_Exh G" xfId="3599"/>
    <cellStyle name="Note 13 3 3" xfId="4380"/>
    <cellStyle name="Note 13 3 3 2" xfId="7972"/>
    <cellStyle name="Note 13 3 3 2 2" xfId="15943"/>
    <cellStyle name="Note 13 3 3 2 3" xfId="23889"/>
    <cellStyle name="Note 13 3 3 3" xfId="12405"/>
    <cellStyle name="Note 13 3 3 4" xfId="20360"/>
    <cellStyle name="Note 13 3 4" xfId="6200"/>
    <cellStyle name="Note 13 3 4 2" xfId="14184"/>
    <cellStyle name="Note 13 3 4 3" xfId="22132"/>
    <cellStyle name="Note 13 3 5" xfId="9753"/>
    <cellStyle name="Note 13 3 5 2" xfId="17711"/>
    <cellStyle name="Note 13 3 5 3" xfId="25655"/>
    <cellStyle name="Note 13 3 6" xfId="10649"/>
    <cellStyle name="Note 13 3 7" xfId="18604"/>
    <cellStyle name="Note 13 3_Exh G" xfId="3598"/>
    <cellStyle name="Note 13 4" xfId="1726"/>
    <cellStyle name="Note 13 4 2" xfId="5256"/>
    <cellStyle name="Note 13 4 2 2" xfId="8847"/>
    <cellStyle name="Note 13 4 2 2 2" xfId="16818"/>
    <cellStyle name="Note 13 4 2 2 3" xfId="24764"/>
    <cellStyle name="Note 13 4 2 3" xfId="13280"/>
    <cellStyle name="Note 13 4 2 4" xfId="21235"/>
    <cellStyle name="Note 13 4 3" xfId="7088"/>
    <cellStyle name="Note 13 4 3 2" xfId="15060"/>
    <cellStyle name="Note 13 4 3 3" xfId="23007"/>
    <cellStyle name="Note 13 4 4" xfId="11524"/>
    <cellStyle name="Note 13 4 5" xfId="19479"/>
    <cellStyle name="Note 13 4_Exh G" xfId="3600"/>
    <cellStyle name="Note 13 5" xfId="4377"/>
    <cellStyle name="Note 13 5 2" xfId="7969"/>
    <cellStyle name="Note 13 5 2 2" xfId="15940"/>
    <cellStyle name="Note 13 5 2 3" xfId="23886"/>
    <cellStyle name="Note 13 5 3" xfId="12402"/>
    <cellStyle name="Note 13 5 4" xfId="20357"/>
    <cellStyle name="Note 13 6" xfId="6197"/>
    <cellStyle name="Note 13 6 2" xfId="14181"/>
    <cellStyle name="Note 13 6 3" xfId="22129"/>
    <cellStyle name="Note 13 7" xfId="9750"/>
    <cellStyle name="Note 13 7 2" xfId="17708"/>
    <cellStyle name="Note 13 7 3" xfId="25652"/>
    <cellStyle name="Note 13 8" xfId="10646"/>
    <cellStyle name="Note 13 9" xfId="18601"/>
    <cellStyle name="Note 13_Exh G" xfId="3593"/>
    <cellStyle name="Note 14" xfId="702"/>
    <cellStyle name="Note 14 2" xfId="703"/>
    <cellStyle name="Note 14 2 2" xfId="704"/>
    <cellStyle name="Note 14 2 2 2" xfId="1732"/>
    <cellStyle name="Note 14 2 2 2 2" xfId="5262"/>
    <cellStyle name="Note 14 2 2 2 2 2" xfId="8853"/>
    <cellStyle name="Note 14 2 2 2 2 2 2" xfId="16824"/>
    <cellStyle name="Note 14 2 2 2 2 2 3" xfId="24770"/>
    <cellStyle name="Note 14 2 2 2 2 3" xfId="13286"/>
    <cellStyle name="Note 14 2 2 2 2 4" xfId="21241"/>
    <cellStyle name="Note 14 2 2 2 3" xfId="7094"/>
    <cellStyle name="Note 14 2 2 2 3 2" xfId="15066"/>
    <cellStyle name="Note 14 2 2 2 3 3" xfId="23013"/>
    <cellStyle name="Note 14 2 2 2 4" xfId="11530"/>
    <cellStyle name="Note 14 2 2 2 5" xfId="19485"/>
    <cellStyle name="Note 14 2 2 2_Exh G" xfId="3604"/>
    <cellStyle name="Note 14 2 2 3" xfId="4383"/>
    <cellStyle name="Note 14 2 2 3 2" xfId="7975"/>
    <cellStyle name="Note 14 2 2 3 2 2" xfId="15946"/>
    <cellStyle name="Note 14 2 2 3 2 3" xfId="23892"/>
    <cellStyle name="Note 14 2 2 3 3" xfId="12408"/>
    <cellStyle name="Note 14 2 2 3 4" xfId="20363"/>
    <cellStyle name="Note 14 2 2 4" xfId="6203"/>
    <cellStyle name="Note 14 2 2 4 2" xfId="14187"/>
    <cellStyle name="Note 14 2 2 4 3" xfId="22135"/>
    <cellStyle name="Note 14 2 2 5" xfId="9756"/>
    <cellStyle name="Note 14 2 2 5 2" xfId="17714"/>
    <cellStyle name="Note 14 2 2 5 3" xfId="25658"/>
    <cellStyle name="Note 14 2 2 6" xfId="10652"/>
    <cellStyle name="Note 14 2 2 7" xfId="18607"/>
    <cellStyle name="Note 14 2 2_Exh G" xfId="3603"/>
    <cellStyle name="Note 14 2 3" xfId="1731"/>
    <cellStyle name="Note 14 2 3 2" xfId="5261"/>
    <cellStyle name="Note 14 2 3 2 2" xfId="8852"/>
    <cellStyle name="Note 14 2 3 2 2 2" xfId="16823"/>
    <cellStyle name="Note 14 2 3 2 2 3" xfId="24769"/>
    <cellStyle name="Note 14 2 3 2 3" xfId="13285"/>
    <cellStyle name="Note 14 2 3 2 4" xfId="21240"/>
    <cellStyle name="Note 14 2 3 3" xfId="7093"/>
    <cellStyle name="Note 14 2 3 3 2" xfId="15065"/>
    <cellStyle name="Note 14 2 3 3 3" xfId="23012"/>
    <cellStyle name="Note 14 2 3 4" xfId="11529"/>
    <cellStyle name="Note 14 2 3 5" xfId="19484"/>
    <cellStyle name="Note 14 2 3_Exh G" xfId="3605"/>
    <cellStyle name="Note 14 2 4" xfId="4382"/>
    <cellStyle name="Note 14 2 4 2" xfId="7974"/>
    <cellStyle name="Note 14 2 4 2 2" xfId="15945"/>
    <cellStyle name="Note 14 2 4 2 3" xfId="23891"/>
    <cellStyle name="Note 14 2 4 3" xfId="12407"/>
    <cellStyle name="Note 14 2 4 4" xfId="20362"/>
    <cellStyle name="Note 14 2 5" xfId="6202"/>
    <cellStyle name="Note 14 2 5 2" xfId="14186"/>
    <cellStyle name="Note 14 2 5 3" xfId="22134"/>
    <cellStyle name="Note 14 2 6" xfId="9755"/>
    <cellStyle name="Note 14 2 6 2" xfId="17713"/>
    <cellStyle name="Note 14 2 6 3" xfId="25657"/>
    <cellStyle name="Note 14 2 7" xfId="10651"/>
    <cellStyle name="Note 14 2 8" xfId="18606"/>
    <cellStyle name="Note 14 2_Exh G" xfId="3602"/>
    <cellStyle name="Note 14 3" xfId="705"/>
    <cellStyle name="Note 14 3 2" xfId="1733"/>
    <cellStyle name="Note 14 3 2 2" xfId="5263"/>
    <cellStyle name="Note 14 3 2 2 2" xfId="8854"/>
    <cellStyle name="Note 14 3 2 2 2 2" xfId="16825"/>
    <cellStyle name="Note 14 3 2 2 2 3" xfId="24771"/>
    <cellStyle name="Note 14 3 2 2 3" xfId="13287"/>
    <cellStyle name="Note 14 3 2 2 4" xfId="21242"/>
    <cellStyle name="Note 14 3 2 3" xfId="7095"/>
    <cellStyle name="Note 14 3 2 3 2" xfId="15067"/>
    <cellStyle name="Note 14 3 2 3 3" xfId="23014"/>
    <cellStyle name="Note 14 3 2 4" xfId="11531"/>
    <cellStyle name="Note 14 3 2 5" xfId="19486"/>
    <cellStyle name="Note 14 3 2_Exh G" xfId="3607"/>
    <cellStyle name="Note 14 3 3" xfId="4384"/>
    <cellStyle name="Note 14 3 3 2" xfId="7976"/>
    <cellStyle name="Note 14 3 3 2 2" xfId="15947"/>
    <cellStyle name="Note 14 3 3 2 3" xfId="23893"/>
    <cellStyle name="Note 14 3 3 3" xfId="12409"/>
    <cellStyle name="Note 14 3 3 4" xfId="20364"/>
    <cellStyle name="Note 14 3 4" xfId="6204"/>
    <cellStyle name="Note 14 3 4 2" xfId="14188"/>
    <cellStyle name="Note 14 3 4 3" xfId="22136"/>
    <cellStyle name="Note 14 3 5" xfId="9757"/>
    <cellStyle name="Note 14 3 5 2" xfId="17715"/>
    <cellStyle name="Note 14 3 5 3" xfId="25659"/>
    <cellStyle name="Note 14 3 6" xfId="10653"/>
    <cellStyle name="Note 14 3 7" xfId="18608"/>
    <cellStyle name="Note 14 3_Exh G" xfId="3606"/>
    <cellStyle name="Note 14 4" xfId="1730"/>
    <cellStyle name="Note 14 4 2" xfId="5260"/>
    <cellStyle name="Note 14 4 2 2" xfId="8851"/>
    <cellStyle name="Note 14 4 2 2 2" xfId="16822"/>
    <cellStyle name="Note 14 4 2 2 3" xfId="24768"/>
    <cellStyle name="Note 14 4 2 3" xfId="13284"/>
    <cellStyle name="Note 14 4 2 4" xfId="21239"/>
    <cellStyle name="Note 14 4 3" xfId="7092"/>
    <cellStyle name="Note 14 4 3 2" xfId="15064"/>
    <cellStyle name="Note 14 4 3 3" xfId="23011"/>
    <cellStyle name="Note 14 4 4" xfId="11528"/>
    <cellStyle name="Note 14 4 5" xfId="19483"/>
    <cellStyle name="Note 14 4_Exh G" xfId="3608"/>
    <cellStyle name="Note 14 5" xfId="4381"/>
    <cellStyle name="Note 14 5 2" xfId="7973"/>
    <cellStyle name="Note 14 5 2 2" xfId="15944"/>
    <cellStyle name="Note 14 5 2 3" xfId="23890"/>
    <cellStyle name="Note 14 5 3" xfId="12406"/>
    <cellStyle name="Note 14 5 4" xfId="20361"/>
    <cellStyle name="Note 14 6" xfId="6201"/>
    <cellStyle name="Note 14 6 2" xfId="14185"/>
    <cellStyle name="Note 14 6 3" xfId="22133"/>
    <cellStyle name="Note 14 7" xfId="9754"/>
    <cellStyle name="Note 14 7 2" xfId="17712"/>
    <cellStyle name="Note 14 7 3" xfId="25656"/>
    <cellStyle name="Note 14 8" xfId="10650"/>
    <cellStyle name="Note 14 9" xfId="18605"/>
    <cellStyle name="Note 14_Exh G" xfId="3601"/>
    <cellStyle name="Note 15" xfId="706"/>
    <cellStyle name="Note 15 2" xfId="1734"/>
    <cellStyle name="Note 15 2 2" xfId="5264"/>
    <cellStyle name="Note 15 2 2 2" xfId="8855"/>
    <cellStyle name="Note 15 2 2 2 2" xfId="16826"/>
    <cellStyle name="Note 15 2 2 2 3" xfId="24772"/>
    <cellStyle name="Note 15 2 2 3" xfId="13288"/>
    <cellStyle name="Note 15 2 2 4" xfId="21243"/>
    <cellStyle name="Note 15 2 3" xfId="7096"/>
    <cellStyle name="Note 15 2 3 2" xfId="15068"/>
    <cellStyle name="Note 15 2 3 3" xfId="23015"/>
    <cellStyle name="Note 15 2 4" xfId="11532"/>
    <cellStyle name="Note 15 2 5" xfId="19487"/>
    <cellStyle name="Note 15 2_Exh G" xfId="3610"/>
    <cellStyle name="Note 15 3" xfId="4385"/>
    <cellStyle name="Note 15 3 2" xfId="7977"/>
    <cellStyle name="Note 15 3 2 2" xfId="15948"/>
    <cellStyle name="Note 15 3 2 3" xfId="23894"/>
    <cellStyle name="Note 15 3 3" xfId="12410"/>
    <cellStyle name="Note 15 3 4" xfId="20365"/>
    <cellStyle name="Note 15 4" xfId="6205"/>
    <cellStyle name="Note 15 4 2" xfId="14189"/>
    <cellStyle name="Note 15 4 3" xfId="22137"/>
    <cellStyle name="Note 15 5" xfId="9758"/>
    <cellStyle name="Note 15 5 2" xfId="17716"/>
    <cellStyle name="Note 15 5 3" xfId="25660"/>
    <cellStyle name="Note 15 6" xfId="10654"/>
    <cellStyle name="Note 15 7" xfId="18609"/>
    <cellStyle name="Note 15_Exh G" xfId="3609"/>
    <cellStyle name="Note 16" xfId="855"/>
    <cellStyle name="Note 16 2" xfId="1794"/>
    <cellStyle name="Note 16 2 2" xfId="5315"/>
    <cellStyle name="Note 16 2 2 2" xfId="8906"/>
    <cellStyle name="Note 16 2 2 2 2" xfId="16877"/>
    <cellStyle name="Note 16 2 2 2 3" xfId="24823"/>
    <cellStyle name="Note 16 2 2 3" xfId="13339"/>
    <cellStyle name="Note 16 2 2 4" xfId="21294"/>
    <cellStyle name="Note 16 2 3" xfId="7147"/>
    <cellStyle name="Note 16 2 3 2" xfId="15119"/>
    <cellStyle name="Note 16 2 3 3" xfId="23066"/>
    <cellStyle name="Note 16 2 4" xfId="11583"/>
    <cellStyle name="Note 16 2 5" xfId="19538"/>
    <cellStyle name="Note 16 2_Exh G" xfId="3612"/>
    <cellStyle name="Note 16 3" xfId="4436"/>
    <cellStyle name="Note 16 3 2" xfId="8028"/>
    <cellStyle name="Note 16 3 2 2" xfId="15999"/>
    <cellStyle name="Note 16 3 2 3" xfId="23945"/>
    <cellStyle name="Note 16 3 3" xfId="12461"/>
    <cellStyle name="Note 16 3 4" xfId="20416"/>
    <cellStyle name="Note 16 4" xfId="6266"/>
    <cellStyle name="Note 16 4 2" xfId="14241"/>
    <cellStyle name="Note 16 4 3" xfId="22188"/>
    <cellStyle name="Note 16 5" xfId="9809"/>
    <cellStyle name="Note 16 5 2" xfId="17767"/>
    <cellStyle name="Note 16 5 3" xfId="25711"/>
    <cellStyle name="Note 16 6" xfId="10705"/>
    <cellStyle name="Note 16 7" xfId="18660"/>
    <cellStyle name="Note 16_Exh G" xfId="3611"/>
    <cellStyle name="Note 2" xfId="22"/>
    <cellStyle name="Note 2 10" xfId="17927"/>
    <cellStyle name="Note 2 2" xfId="707"/>
    <cellStyle name="Note 2 2 2" xfId="708"/>
    <cellStyle name="Note 2 2 2 2" xfId="1736"/>
    <cellStyle name="Note 2 2 2 2 2" xfId="5266"/>
    <cellStyle name="Note 2 2 2 2 2 2" xfId="8857"/>
    <cellStyle name="Note 2 2 2 2 2 2 2" xfId="16828"/>
    <cellStyle name="Note 2 2 2 2 2 2 3" xfId="24774"/>
    <cellStyle name="Note 2 2 2 2 2 3" xfId="13290"/>
    <cellStyle name="Note 2 2 2 2 2 4" xfId="21245"/>
    <cellStyle name="Note 2 2 2 2 3" xfId="7098"/>
    <cellStyle name="Note 2 2 2 2 3 2" xfId="15070"/>
    <cellStyle name="Note 2 2 2 2 3 3" xfId="23017"/>
    <cellStyle name="Note 2 2 2 2 4" xfId="11534"/>
    <cellStyle name="Note 2 2 2 2 5" xfId="19489"/>
    <cellStyle name="Note 2 2 2 2_Exh G" xfId="3616"/>
    <cellStyle name="Note 2 2 2 3" xfId="4387"/>
    <cellStyle name="Note 2 2 2 3 2" xfId="7979"/>
    <cellStyle name="Note 2 2 2 3 2 2" xfId="15950"/>
    <cellStyle name="Note 2 2 2 3 2 3" xfId="23896"/>
    <cellStyle name="Note 2 2 2 3 3" xfId="12412"/>
    <cellStyle name="Note 2 2 2 3 4" xfId="20367"/>
    <cellStyle name="Note 2 2 2 4" xfId="6207"/>
    <cellStyle name="Note 2 2 2 4 2" xfId="14191"/>
    <cellStyle name="Note 2 2 2 4 3" xfId="22139"/>
    <cellStyle name="Note 2 2 2 5" xfId="9760"/>
    <cellStyle name="Note 2 2 2 5 2" xfId="17718"/>
    <cellStyle name="Note 2 2 2 5 3" xfId="25662"/>
    <cellStyle name="Note 2 2 2 6" xfId="10656"/>
    <cellStyle name="Note 2 2 2 7" xfId="18611"/>
    <cellStyle name="Note 2 2 2_Exh G" xfId="3615"/>
    <cellStyle name="Note 2 2 3" xfId="1031"/>
    <cellStyle name="Note 2 2 3 2" xfId="1931"/>
    <cellStyle name="Note 2 2 3 2 2" xfId="5449"/>
    <cellStyle name="Note 2 2 3 2 2 2" xfId="9040"/>
    <cellStyle name="Note 2 2 3 2 2 2 2" xfId="17011"/>
    <cellStyle name="Note 2 2 3 2 2 2 3" xfId="24957"/>
    <cellStyle name="Note 2 2 3 2 2 3" xfId="13473"/>
    <cellStyle name="Note 2 2 3 2 2 4" xfId="21428"/>
    <cellStyle name="Note 2 2 3 2 3" xfId="7281"/>
    <cellStyle name="Note 2 2 3 2 3 2" xfId="15253"/>
    <cellStyle name="Note 2 2 3 2 3 3" xfId="23200"/>
    <cellStyle name="Note 2 2 3 2 4" xfId="11717"/>
    <cellStyle name="Note 2 2 3 2 5" xfId="19672"/>
    <cellStyle name="Note 2 2 3 2_Exh G" xfId="3618"/>
    <cellStyle name="Note 2 2 3 3" xfId="4570"/>
    <cellStyle name="Note 2 2 3 3 2" xfId="8162"/>
    <cellStyle name="Note 2 2 3 3 2 2" xfId="16133"/>
    <cellStyle name="Note 2 2 3 3 2 3" xfId="24079"/>
    <cellStyle name="Note 2 2 3 3 3" xfId="12595"/>
    <cellStyle name="Note 2 2 3 3 4" xfId="20550"/>
    <cellStyle name="Note 2 2 3 4" xfId="6401"/>
    <cellStyle name="Note 2 2 3 4 2" xfId="14375"/>
    <cellStyle name="Note 2 2 3 4 3" xfId="22322"/>
    <cellStyle name="Note 2 2 3 5" xfId="9943"/>
    <cellStyle name="Note 2 2 3 5 2" xfId="17901"/>
    <cellStyle name="Note 2 2 3 5 3" xfId="25845"/>
    <cellStyle name="Note 2 2 3 6" xfId="10839"/>
    <cellStyle name="Note 2 2 3 7" xfId="18794"/>
    <cellStyle name="Note 2 2 3_Exh G" xfId="3617"/>
    <cellStyle name="Note 2 2 4" xfId="1735"/>
    <cellStyle name="Note 2 2 4 2" xfId="5265"/>
    <cellStyle name="Note 2 2 4 2 2" xfId="8856"/>
    <cellStyle name="Note 2 2 4 2 2 2" xfId="16827"/>
    <cellStyle name="Note 2 2 4 2 2 3" xfId="24773"/>
    <cellStyle name="Note 2 2 4 2 3" xfId="13289"/>
    <cellStyle name="Note 2 2 4 2 4" xfId="21244"/>
    <cellStyle name="Note 2 2 4 3" xfId="7097"/>
    <cellStyle name="Note 2 2 4 3 2" xfId="15069"/>
    <cellStyle name="Note 2 2 4 3 3" xfId="23016"/>
    <cellStyle name="Note 2 2 4 4" xfId="11533"/>
    <cellStyle name="Note 2 2 4 5" xfId="19488"/>
    <cellStyle name="Note 2 2 4_Exh G" xfId="3619"/>
    <cellStyle name="Note 2 2 5" xfId="4386"/>
    <cellStyle name="Note 2 2 5 2" xfId="7978"/>
    <cellStyle name="Note 2 2 5 2 2" xfId="15949"/>
    <cellStyle name="Note 2 2 5 2 3" xfId="23895"/>
    <cellStyle name="Note 2 2 5 3" xfId="12411"/>
    <cellStyle name="Note 2 2 5 4" xfId="20366"/>
    <cellStyle name="Note 2 2 6" xfId="6206"/>
    <cellStyle name="Note 2 2 6 2" xfId="14190"/>
    <cellStyle name="Note 2 2 6 3" xfId="22138"/>
    <cellStyle name="Note 2 2 7" xfId="9759"/>
    <cellStyle name="Note 2 2 7 2" xfId="17717"/>
    <cellStyle name="Note 2 2 7 3" xfId="25661"/>
    <cellStyle name="Note 2 2 8" xfId="10655"/>
    <cellStyle name="Note 2 2 9" xfId="18610"/>
    <cellStyle name="Note 2 2_Exh G" xfId="3614"/>
    <cellStyle name="Note 2 3" xfId="709"/>
    <cellStyle name="Note 2 3 2" xfId="1737"/>
    <cellStyle name="Note 2 3 2 2" xfId="5267"/>
    <cellStyle name="Note 2 3 2 2 2" xfId="8858"/>
    <cellStyle name="Note 2 3 2 2 2 2" xfId="16829"/>
    <cellStyle name="Note 2 3 2 2 2 3" xfId="24775"/>
    <cellStyle name="Note 2 3 2 2 3" xfId="13291"/>
    <cellStyle name="Note 2 3 2 2 4" xfId="21246"/>
    <cellStyle name="Note 2 3 2 3" xfId="7099"/>
    <cellStyle name="Note 2 3 2 3 2" xfId="15071"/>
    <cellStyle name="Note 2 3 2 3 3" xfId="23018"/>
    <cellStyle name="Note 2 3 2 4" xfId="11535"/>
    <cellStyle name="Note 2 3 2 5" xfId="19490"/>
    <cellStyle name="Note 2 3 2_Exh G" xfId="3621"/>
    <cellStyle name="Note 2 3 3" xfId="4388"/>
    <cellStyle name="Note 2 3 3 2" xfId="7980"/>
    <cellStyle name="Note 2 3 3 2 2" xfId="15951"/>
    <cellStyle name="Note 2 3 3 2 3" xfId="23897"/>
    <cellStyle name="Note 2 3 3 3" xfId="12413"/>
    <cellStyle name="Note 2 3 3 4" xfId="20368"/>
    <cellStyle name="Note 2 3 4" xfId="6208"/>
    <cellStyle name="Note 2 3 4 2" xfId="14192"/>
    <cellStyle name="Note 2 3 4 3" xfId="22140"/>
    <cellStyle name="Note 2 3 5" xfId="9761"/>
    <cellStyle name="Note 2 3 5 2" xfId="17719"/>
    <cellStyle name="Note 2 3 5 3" xfId="25663"/>
    <cellStyle name="Note 2 3 6" xfId="10657"/>
    <cellStyle name="Note 2 3 7" xfId="18612"/>
    <cellStyle name="Note 2 3_Exh G" xfId="3620"/>
    <cellStyle name="Note 2 4" xfId="1030"/>
    <cellStyle name="Note 2 4 2" xfId="1930"/>
    <cellStyle name="Note 2 4 2 2" xfId="5448"/>
    <cellStyle name="Note 2 4 2 2 2" xfId="9039"/>
    <cellStyle name="Note 2 4 2 2 2 2" xfId="17010"/>
    <cellStyle name="Note 2 4 2 2 2 3" xfId="24956"/>
    <cellStyle name="Note 2 4 2 2 3" xfId="13472"/>
    <cellStyle name="Note 2 4 2 2 4" xfId="21427"/>
    <cellStyle name="Note 2 4 2 3" xfId="7280"/>
    <cellStyle name="Note 2 4 2 3 2" xfId="15252"/>
    <cellStyle name="Note 2 4 2 3 3" xfId="23199"/>
    <cellStyle name="Note 2 4 2 4" xfId="11716"/>
    <cellStyle name="Note 2 4 2 5" xfId="19671"/>
    <cellStyle name="Note 2 4 2_Exh G" xfId="3623"/>
    <cellStyle name="Note 2 4 3" xfId="4569"/>
    <cellStyle name="Note 2 4 3 2" xfId="8161"/>
    <cellStyle name="Note 2 4 3 2 2" xfId="16132"/>
    <cellStyle name="Note 2 4 3 2 3" xfId="24078"/>
    <cellStyle name="Note 2 4 3 3" xfId="12594"/>
    <cellStyle name="Note 2 4 3 4" xfId="20549"/>
    <cellStyle name="Note 2 4 4" xfId="6400"/>
    <cellStyle name="Note 2 4 4 2" xfId="14374"/>
    <cellStyle name="Note 2 4 4 3" xfId="22321"/>
    <cellStyle name="Note 2 4 5" xfId="9942"/>
    <cellStyle name="Note 2 4 5 2" xfId="17900"/>
    <cellStyle name="Note 2 4 5 3" xfId="25844"/>
    <cellStyle name="Note 2 4 6" xfId="10838"/>
    <cellStyle name="Note 2 4 7" xfId="18793"/>
    <cellStyle name="Note 2 4_Exh G" xfId="3622"/>
    <cellStyle name="Note 2 5" xfId="1052"/>
    <cellStyle name="Note 2 5 2" xfId="4582"/>
    <cellStyle name="Note 2 5 2 2" xfId="8173"/>
    <cellStyle name="Note 2 5 2 2 2" xfId="16144"/>
    <cellStyle name="Note 2 5 2 2 3" xfId="24090"/>
    <cellStyle name="Note 2 5 2 3" xfId="12606"/>
    <cellStyle name="Note 2 5 2 4" xfId="20561"/>
    <cellStyle name="Note 2 5 3" xfId="6414"/>
    <cellStyle name="Note 2 5 3 2" xfId="14386"/>
    <cellStyle name="Note 2 5 3 3" xfId="22333"/>
    <cellStyle name="Note 2 5 4" xfId="10850"/>
    <cellStyle name="Note 2 5 5" xfId="18805"/>
    <cellStyle name="Note 2 5_Exh G" xfId="3624"/>
    <cellStyle name="Note 2 6" xfId="3703"/>
    <cellStyle name="Note 2 6 2" xfId="7295"/>
    <cellStyle name="Note 2 6 2 2" xfId="15266"/>
    <cellStyle name="Note 2 6 2 3" xfId="23212"/>
    <cellStyle name="Note 2 6 3" xfId="11728"/>
    <cellStyle name="Note 2 6 4" xfId="19683"/>
    <cellStyle name="Note 2 7" xfId="5523"/>
    <cellStyle name="Note 2 7 2" xfId="13507"/>
    <cellStyle name="Note 2 7 3" xfId="21455"/>
    <cellStyle name="Note 2 8" xfId="9076"/>
    <cellStyle name="Note 2 8 2" xfId="17034"/>
    <cellStyle name="Note 2 8 3" xfId="24978"/>
    <cellStyle name="Note 2 9" xfId="9972"/>
    <cellStyle name="Note 2_Exh G" xfId="3613"/>
    <cellStyle name="Note 3" xfId="710"/>
    <cellStyle name="Note 3 10" xfId="18613"/>
    <cellStyle name="Note 3 2" xfId="711"/>
    <cellStyle name="Note 3 2 2" xfId="712"/>
    <cellStyle name="Note 3 2 2 2" xfId="1740"/>
    <cellStyle name="Note 3 2 2 2 2" xfId="5270"/>
    <cellStyle name="Note 3 2 2 2 2 2" xfId="8861"/>
    <cellStyle name="Note 3 2 2 2 2 2 2" xfId="16832"/>
    <cellStyle name="Note 3 2 2 2 2 2 3" xfId="24778"/>
    <cellStyle name="Note 3 2 2 2 2 3" xfId="13294"/>
    <cellStyle name="Note 3 2 2 2 2 4" xfId="21249"/>
    <cellStyle name="Note 3 2 2 2 3" xfId="7102"/>
    <cellStyle name="Note 3 2 2 2 3 2" xfId="15074"/>
    <cellStyle name="Note 3 2 2 2 3 3" xfId="23021"/>
    <cellStyle name="Note 3 2 2 2 4" xfId="11538"/>
    <cellStyle name="Note 3 2 2 2 5" xfId="19493"/>
    <cellStyle name="Note 3 2 2 2_Exh G" xfId="3628"/>
    <cellStyle name="Note 3 2 2 3" xfId="4391"/>
    <cellStyle name="Note 3 2 2 3 2" xfId="7983"/>
    <cellStyle name="Note 3 2 2 3 2 2" xfId="15954"/>
    <cellStyle name="Note 3 2 2 3 2 3" xfId="23900"/>
    <cellStyle name="Note 3 2 2 3 3" xfId="12416"/>
    <cellStyle name="Note 3 2 2 3 4" xfId="20371"/>
    <cellStyle name="Note 3 2 2 4" xfId="6211"/>
    <cellStyle name="Note 3 2 2 4 2" xfId="14195"/>
    <cellStyle name="Note 3 2 2 4 3" xfId="22143"/>
    <cellStyle name="Note 3 2 2 5" xfId="9764"/>
    <cellStyle name="Note 3 2 2 5 2" xfId="17722"/>
    <cellStyle name="Note 3 2 2 5 3" xfId="25666"/>
    <cellStyle name="Note 3 2 2 6" xfId="10660"/>
    <cellStyle name="Note 3 2 2 7" xfId="18615"/>
    <cellStyle name="Note 3 2 2_Exh G" xfId="3627"/>
    <cellStyle name="Note 3 2 3" xfId="1033"/>
    <cellStyle name="Note 3 2 3 2" xfId="1933"/>
    <cellStyle name="Note 3 2 3 2 2" xfId="5451"/>
    <cellStyle name="Note 3 2 3 2 2 2" xfId="9042"/>
    <cellStyle name="Note 3 2 3 2 2 2 2" xfId="17013"/>
    <cellStyle name="Note 3 2 3 2 2 2 3" xfId="24959"/>
    <cellStyle name="Note 3 2 3 2 2 3" xfId="13475"/>
    <cellStyle name="Note 3 2 3 2 2 4" xfId="21430"/>
    <cellStyle name="Note 3 2 3 2 3" xfId="7283"/>
    <cellStyle name="Note 3 2 3 2 3 2" xfId="15255"/>
    <cellStyle name="Note 3 2 3 2 3 3" xfId="23202"/>
    <cellStyle name="Note 3 2 3 2 4" xfId="11719"/>
    <cellStyle name="Note 3 2 3 2 5" xfId="19674"/>
    <cellStyle name="Note 3 2 3 2_Exh G" xfId="3630"/>
    <cellStyle name="Note 3 2 3 3" xfId="4572"/>
    <cellStyle name="Note 3 2 3 3 2" xfId="8164"/>
    <cellStyle name="Note 3 2 3 3 2 2" xfId="16135"/>
    <cellStyle name="Note 3 2 3 3 2 3" xfId="24081"/>
    <cellStyle name="Note 3 2 3 3 3" xfId="12597"/>
    <cellStyle name="Note 3 2 3 3 4" xfId="20552"/>
    <cellStyle name="Note 3 2 3 4" xfId="6403"/>
    <cellStyle name="Note 3 2 3 4 2" xfId="14377"/>
    <cellStyle name="Note 3 2 3 4 3" xfId="22324"/>
    <cellStyle name="Note 3 2 3 5" xfId="9945"/>
    <cellStyle name="Note 3 2 3 5 2" xfId="17903"/>
    <cellStyle name="Note 3 2 3 5 3" xfId="25847"/>
    <cellStyle name="Note 3 2 3 6" xfId="10841"/>
    <cellStyle name="Note 3 2 3 7" xfId="18796"/>
    <cellStyle name="Note 3 2 3_Exh G" xfId="3629"/>
    <cellStyle name="Note 3 2 4" xfId="1739"/>
    <cellStyle name="Note 3 2 4 2" xfId="5269"/>
    <cellStyle name="Note 3 2 4 2 2" xfId="8860"/>
    <cellStyle name="Note 3 2 4 2 2 2" xfId="16831"/>
    <cellStyle name="Note 3 2 4 2 2 3" xfId="24777"/>
    <cellStyle name="Note 3 2 4 2 3" xfId="13293"/>
    <cellStyle name="Note 3 2 4 2 4" xfId="21248"/>
    <cellStyle name="Note 3 2 4 3" xfId="7101"/>
    <cellStyle name="Note 3 2 4 3 2" xfId="15073"/>
    <cellStyle name="Note 3 2 4 3 3" xfId="23020"/>
    <cellStyle name="Note 3 2 4 4" xfId="11537"/>
    <cellStyle name="Note 3 2 4 5" xfId="19492"/>
    <cellStyle name="Note 3 2 4_Exh G" xfId="3631"/>
    <cellStyle name="Note 3 2 5" xfId="4390"/>
    <cellStyle name="Note 3 2 5 2" xfId="7982"/>
    <cellStyle name="Note 3 2 5 2 2" xfId="15953"/>
    <cellStyle name="Note 3 2 5 2 3" xfId="23899"/>
    <cellStyle name="Note 3 2 5 3" xfId="12415"/>
    <cellStyle name="Note 3 2 5 4" xfId="20370"/>
    <cellStyle name="Note 3 2 6" xfId="6210"/>
    <cellStyle name="Note 3 2 6 2" xfId="14194"/>
    <cellStyle name="Note 3 2 6 3" xfId="22142"/>
    <cellStyle name="Note 3 2 7" xfId="9763"/>
    <cellStyle name="Note 3 2 7 2" xfId="17721"/>
    <cellStyle name="Note 3 2 7 3" xfId="25665"/>
    <cellStyle name="Note 3 2 8" xfId="10659"/>
    <cellStyle name="Note 3 2 9" xfId="18614"/>
    <cellStyle name="Note 3 2_Exh G" xfId="3626"/>
    <cellStyle name="Note 3 3" xfId="713"/>
    <cellStyle name="Note 3 3 2" xfId="1741"/>
    <cellStyle name="Note 3 3 2 2" xfId="5271"/>
    <cellStyle name="Note 3 3 2 2 2" xfId="8862"/>
    <cellStyle name="Note 3 3 2 2 2 2" xfId="16833"/>
    <cellStyle name="Note 3 3 2 2 2 3" xfId="24779"/>
    <cellStyle name="Note 3 3 2 2 3" xfId="13295"/>
    <cellStyle name="Note 3 3 2 2 4" xfId="21250"/>
    <cellStyle name="Note 3 3 2 3" xfId="7103"/>
    <cellStyle name="Note 3 3 2 3 2" xfId="15075"/>
    <cellStyle name="Note 3 3 2 3 3" xfId="23022"/>
    <cellStyle name="Note 3 3 2 4" xfId="11539"/>
    <cellStyle name="Note 3 3 2 5" xfId="19494"/>
    <cellStyle name="Note 3 3 2_Exh G" xfId="3633"/>
    <cellStyle name="Note 3 3 3" xfId="4392"/>
    <cellStyle name="Note 3 3 3 2" xfId="7984"/>
    <cellStyle name="Note 3 3 3 2 2" xfId="15955"/>
    <cellStyle name="Note 3 3 3 2 3" xfId="23901"/>
    <cellStyle name="Note 3 3 3 3" xfId="12417"/>
    <cellStyle name="Note 3 3 3 4" xfId="20372"/>
    <cellStyle name="Note 3 3 4" xfId="6212"/>
    <cellStyle name="Note 3 3 4 2" xfId="14196"/>
    <cellStyle name="Note 3 3 4 3" xfId="22144"/>
    <cellStyle name="Note 3 3 5" xfId="9765"/>
    <cellStyle name="Note 3 3 5 2" xfId="17723"/>
    <cellStyle name="Note 3 3 5 3" xfId="25667"/>
    <cellStyle name="Note 3 3 6" xfId="10661"/>
    <cellStyle name="Note 3 3 7" xfId="18616"/>
    <cellStyle name="Note 3 3_Exh G" xfId="3632"/>
    <cellStyle name="Note 3 4" xfId="1032"/>
    <cellStyle name="Note 3 4 2" xfId="1932"/>
    <cellStyle name="Note 3 4 2 2" xfId="5450"/>
    <cellStyle name="Note 3 4 2 2 2" xfId="9041"/>
    <cellStyle name="Note 3 4 2 2 2 2" xfId="17012"/>
    <cellStyle name="Note 3 4 2 2 2 3" xfId="24958"/>
    <cellStyle name="Note 3 4 2 2 3" xfId="13474"/>
    <cellStyle name="Note 3 4 2 2 4" xfId="21429"/>
    <cellStyle name="Note 3 4 2 3" xfId="7282"/>
    <cellStyle name="Note 3 4 2 3 2" xfId="15254"/>
    <cellStyle name="Note 3 4 2 3 3" xfId="23201"/>
    <cellStyle name="Note 3 4 2 4" xfId="11718"/>
    <cellStyle name="Note 3 4 2 5" xfId="19673"/>
    <cellStyle name="Note 3 4 2_Exh G" xfId="3635"/>
    <cellStyle name="Note 3 4 3" xfId="4571"/>
    <cellStyle name="Note 3 4 3 2" xfId="8163"/>
    <cellStyle name="Note 3 4 3 2 2" xfId="16134"/>
    <cellStyle name="Note 3 4 3 2 3" xfId="24080"/>
    <cellStyle name="Note 3 4 3 3" xfId="12596"/>
    <cellStyle name="Note 3 4 3 4" xfId="20551"/>
    <cellStyle name="Note 3 4 4" xfId="6402"/>
    <cellStyle name="Note 3 4 4 2" xfId="14376"/>
    <cellStyle name="Note 3 4 4 3" xfId="22323"/>
    <cellStyle name="Note 3 4 5" xfId="9944"/>
    <cellStyle name="Note 3 4 5 2" xfId="17902"/>
    <cellStyle name="Note 3 4 5 3" xfId="25846"/>
    <cellStyle name="Note 3 4 6" xfId="10840"/>
    <cellStyle name="Note 3 4 7" xfId="18795"/>
    <cellStyle name="Note 3 4_Exh G" xfId="3634"/>
    <cellStyle name="Note 3 5" xfId="1738"/>
    <cellStyle name="Note 3 5 2" xfId="5268"/>
    <cellStyle name="Note 3 5 2 2" xfId="8859"/>
    <cellStyle name="Note 3 5 2 2 2" xfId="16830"/>
    <cellStyle name="Note 3 5 2 2 3" xfId="24776"/>
    <cellStyle name="Note 3 5 2 3" xfId="13292"/>
    <cellStyle name="Note 3 5 2 4" xfId="21247"/>
    <cellStyle name="Note 3 5 3" xfId="7100"/>
    <cellStyle name="Note 3 5 3 2" xfId="15072"/>
    <cellStyle name="Note 3 5 3 3" xfId="23019"/>
    <cellStyle name="Note 3 5 4" xfId="11536"/>
    <cellStyle name="Note 3 5 5" xfId="19491"/>
    <cellStyle name="Note 3 5_Exh G" xfId="3636"/>
    <cellStyle name="Note 3 6" xfId="4389"/>
    <cellStyle name="Note 3 6 2" xfId="7981"/>
    <cellStyle name="Note 3 6 2 2" xfId="15952"/>
    <cellStyle name="Note 3 6 2 3" xfId="23898"/>
    <cellStyle name="Note 3 6 3" xfId="12414"/>
    <cellStyle name="Note 3 6 4" xfId="20369"/>
    <cellStyle name="Note 3 7" xfId="6209"/>
    <cellStyle name="Note 3 7 2" xfId="14193"/>
    <cellStyle name="Note 3 7 3" xfId="22141"/>
    <cellStyle name="Note 3 8" xfId="9762"/>
    <cellStyle name="Note 3 8 2" xfId="17720"/>
    <cellStyle name="Note 3 8 3" xfId="25664"/>
    <cellStyle name="Note 3 9" xfId="10658"/>
    <cellStyle name="Note 3_Exh G" xfId="3625"/>
    <cellStyle name="Note 4" xfId="714"/>
    <cellStyle name="Note 4 10" xfId="18617"/>
    <cellStyle name="Note 4 2" xfId="715"/>
    <cellStyle name="Note 4 2 2" xfId="716"/>
    <cellStyle name="Note 4 2 2 2" xfId="1744"/>
    <cellStyle name="Note 4 2 2 2 2" xfId="5274"/>
    <cellStyle name="Note 4 2 2 2 2 2" xfId="8865"/>
    <cellStyle name="Note 4 2 2 2 2 2 2" xfId="16836"/>
    <cellStyle name="Note 4 2 2 2 2 2 3" xfId="24782"/>
    <cellStyle name="Note 4 2 2 2 2 3" xfId="13298"/>
    <cellStyle name="Note 4 2 2 2 2 4" xfId="21253"/>
    <cellStyle name="Note 4 2 2 2 3" xfId="7106"/>
    <cellStyle name="Note 4 2 2 2 3 2" xfId="15078"/>
    <cellStyle name="Note 4 2 2 2 3 3" xfId="23025"/>
    <cellStyle name="Note 4 2 2 2 4" xfId="11542"/>
    <cellStyle name="Note 4 2 2 2 5" xfId="19497"/>
    <cellStyle name="Note 4 2 2 2_Exh G" xfId="3640"/>
    <cellStyle name="Note 4 2 2 3" xfId="4395"/>
    <cellStyle name="Note 4 2 2 3 2" xfId="7987"/>
    <cellStyle name="Note 4 2 2 3 2 2" xfId="15958"/>
    <cellStyle name="Note 4 2 2 3 2 3" xfId="23904"/>
    <cellStyle name="Note 4 2 2 3 3" xfId="12420"/>
    <cellStyle name="Note 4 2 2 3 4" xfId="20375"/>
    <cellStyle name="Note 4 2 2 4" xfId="6215"/>
    <cellStyle name="Note 4 2 2 4 2" xfId="14199"/>
    <cellStyle name="Note 4 2 2 4 3" xfId="22147"/>
    <cellStyle name="Note 4 2 2 5" xfId="9768"/>
    <cellStyle name="Note 4 2 2 5 2" xfId="17726"/>
    <cellStyle name="Note 4 2 2 5 3" xfId="25670"/>
    <cellStyle name="Note 4 2 2 6" xfId="10664"/>
    <cellStyle name="Note 4 2 2 7" xfId="18619"/>
    <cellStyle name="Note 4 2 2_Exh G" xfId="3639"/>
    <cellStyle name="Note 4 2 3" xfId="1035"/>
    <cellStyle name="Note 4 2 3 2" xfId="1935"/>
    <cellStyle name="Note 4 2 3 2 2" xfId="5453"/>
    <cellStyle name="Note 4 2 3 2 2 2" xfId="9044"/>
    <cellStyle name="Note 4 2 3 2 2 2 2" xfId="17015"/>
    <cellStyle name="Note 4 2 3 2 2 2 3" xfId="24961"/>
    <cellStyle name="Note 4 2 3 2 2 3" xfId="13477"/>
    <cellStyle name="Note 4 2 3 2 2 4" xfId="21432"/>
    <cellStyle name="Note 4 2 3 2 3" xfId="7285"/>
    <cellStyle name="Note 4 2 3 2 3 2" xfId="15257"/>
    <cellStyle name="Note 4 2 3 2 3 3" xfId="23204"/>
    <cellStyle name="Note 4 2 3 2 4" xfId="11721"/>
    <cellStyle name="Note 4 2 3 2 5" xfId="19676"/>
    <cellStyle name="Note 4 2 3 2_Exh G" xfId="3642"/>
    <cellStyle name="Note 4 2 3 3" xfId="4574"/>
    <cellStyle name="Note 4 2 3 3 2" xfId="8166"/>
    <cellStyle name="Note 4 2 3 3 2 2" xfId="16137"/>
    <cellStyle name="Note 4 2 3 3 2 3" xfId="24083"/>
    <cellStyle name="Note 4 2 3 3 3" xfId="12599"/>
    <cellStyle name="Note 4 2 3 3 4" xfId="20554"/>
    <cellStyle name="Note 4 2 3 4" xfId="6405"/>
    <cellStyle name="Note 4 2 3 4 2" xfId="14379"/>
    <cellStyle name="Note 4 2 3 4 3" xfId="22326"/>
    <cellStyle name="Note 4 2 3 5" xfId="9947"/>
    <cellStyle name="Note 4 2 3 5 2" xfId="17905"/>
    <cellStyle name="Note 4 2 3 5 3" xfId="25849"/>
    <cellStyle name="Note 4 2 3 6" xfId="10843"/>
    <cellStyle name="Note 4 2 3 7" xfId="18798"/>
    <cellStyle name="Note 4 2 3_Exh G" xfId="3641"/>
    <cellStyle name="Note 4 2 4" xfId="1743"/>
    <cellStyle name="Note 4 2 4 2" xfId="5273"/>
    <cellStyle name="Note 4 2 4 2 2" xfId="8864"/>
    <cellStyle name="Note 4 2 4 2 2 2" xfId="16835"/>
    <cellStyle name="Note 4 2 4 2 2 3" xfId="24781"/>
    <cellStyle name="Note 4 2 4 2 3" xfId="13297"/>
    <cellStyle name="Note 4 2 4 2 4" xfId="21252"/>
    <cellStyle name="Note 4 2 4 3" xfId="7105"/>
    <cellStyle name="Note 4 2 4 3 2" xfId="15077"/>
    <cellStyle name="Note 4 2 4 3 3" xfId="23024"/>
    <cellStyle name="Note 4 2 4 4" xfId="11541"/>
    <cellStyle name="Note 4 2 4 5" xfId="19496"/>
    <cellStyle name="Note 4 2 4_Exh G" xfId="3643"/>
    <cellStyle name="Note 4 2 5" xfId="4394"/>
    <cellStyle name="Note 4 2 5 2" xfId="7986"/>
    <cellStyle name="Note 4 2 5 2 2" xfId="15957"/>
    <cellStyle name="Note 4 2 5 2 3" xfId="23903"/>
    <cellStyle name="Note 4 2 5 3" xfId="12419"/>
    <cellStyle name="Note 4 2 5 4" xfId="20374"/>
    <cellStyle name="Note 4 2 6" xfId="6214"/>
    <cellStyle name="Note 4 2 6 2" xfId="14198"/>
    <cellStyle name="Note 4 2 6 3" xfId="22146"/>
    <cellStyle name="Note 4 2 7" xfId="9767"/>
    <cellStyle name="Note 4 2 7 2" xfId="17725"/>
    <cellStyle name="Note 4 2 7 3" xfId="25669"/>
    <cellStyle name="Note 4 2 8" xfId="10663"/>
    <cellStyle name="Note 4 2 9" xfId="18618"/>
    <cellStyle name="Note 4 2_Exh G" xfId="3638"/>
    <cellStyle name="Note 4 3" xfId="717"/>
    <cellStyle name="Note 4 3 2" xfId="1745"/>
    <cellStyle name="Note 4 3 2 2" xfId="5275"/>
    <cellStyle name="Note 4 3 2 2 2" xfId="8866"/>
    <cellStyle name="Note 4 3 2 2 2 2" xfId="16837"/>
    <cellStyle name="Note 4 3 2 2 2 3" xfId="24783"/>
    <cellStyle name="Note 4 3 2 2 3" xfId="13299"/>
    <cellStyle name="Note 4 3 2 2 4" xfId="21254"/>
    <cellStyle name="Note 4 3 2 3" xfId="7107"/>
    <cellStyle name="Note 4 3 2 3 2" xfId="15079"/>
    <cellStyle name="Note 4 3 2 3 3" xfId="23026"/>
    <cellStyle name="Note 4 3 2 4" xfId="11543"/>
    <cellStyle name="Note 4 3 2 5" xfId="19498"/>
    <cellStyle name="Note 4 3 2_Exh G" xfId="3645"/>
    <cellStyle name="Note 4 3 3" xfId="4396"/>
    <cellStyle name="Note 4 3 3 2" xfId="7988"/>
    <cellStyle name="Note 4 3 3 2 2" xfId="15959"/>
    <cellStyle name="Note 4 3 3 2 3" xfId="23905"/>
    <cellStyle name="Note 4 3 3 3" xfId="12421"/>
    <cellStyle name="Note 4 3 3 4" xfId="20376"/>
    <cellStyle name="Note 4 3 4" xfId="6216"/>
    <cellStyle name="Note 4 3 4 2" xfId="14200"/>
    <cellStyle name="Note 4 3 4 3" xfId="22148"/>
    <cellStyle name="Note 4 3 5" xfId="9769"/>
    <cellStyle name="Note 4 3 5 2" xfId="17727"/>
    <cellStyle name="Note 4 3 5 3" xfId="25671"/>
    <cellStyle name="Note 4 3 6" xfId="10665"/>
    <cellStyle name="Note 4 3 7" xfId="18620"/>
    <cellStyle name="Note 4 3_Exh G" xfId="3644"/>
    <cellStyle name="Note 4 4" xfId="1034"/>
    <cellStyle name="Note 4 4 2" xfId="1934"/>
    <cellStyle name="Note 4 4 2 2" xfId="5452"/>
    <cellStyle name="Note 4 4 2 2 2" xfId="9043"/>
    <cellStyle name="Note 4 4 2 2 2 2" xfId="17014"/>
    <cellStyle name="Note 4 4 2 2 2 3" xfId="24960"/>
    <cellStyle name="Note 4 4 2 2 3" xfId="13476"/>
    <cellStyle name="Note 4 4 2 2 4" xfId="21431"/>
    <cellStyle name="Note 4 4 2 3" xfId="7284"/>
    <cellStyle name="Note 4 4 2 3 2" xfId="15256"/>
    <cellStyle name="Note 4 4 2 3 3" xfId="23203"/>
    <cellStyle name="Note 4 4 2 4" xfId="11720"/>
    <cellStyle name="Note 4 4 2 5" xfId="19675"/>
    <cellStyle name="Note 4 4 2_Exh G" xfId="3647"/>
    <cellStyle name="Note 4 4 3" xfId="4573"/>
    <cellStyle name="Note 4 4 3 2" xfId="8165"/>
    <cellStyle name="Note 4 4 3 2 2" xfId="16136"/>
    <cellStyle name="Note 4 4 3 2 3" xfId="24082"/>
    <cellStyle name="Note 4 4 3 3" xfId="12598"/>
    <cellStyle name="Note 4 4 3 4" xfId="20553"/>
    <cellStyle name="Note 4 4 4" xfId="6404"/>
    <cellStyle name="Note 4 4 4 2" xfId="14378"/>
    <cellStyle name="Note 4 4 4 3" xfId="22325"/>
    <cellStyle name="Note 4 4 5" xfId="9946"/>
    <cellStyle name="Note 4 4 5 2" xfId="17904"/>
    <cellStyle name="Note 4 4 5 3" xfId="25848"/>
    <cellStyle name="Note 4 4 6" xfId="10842"/>
    <cellStyle name="Note 4 4 7" xfId="18797"/>
    <cellStyle name="Note 4 4_Exh G" xfId="3646"/>
    <cellStyle name="Note 4 5" xfId="1742"/>
    <cellStyle name="Note 4 5 2" xfId="5272"/>
    <cellStyle name="Note 4 5 2 2" xfId="8863"/>
    <cellStyle name="Note 4 5 2 2 2" xfId="16834"/>
    <cellStyle name="Note 4 5 2 2 3" xfId="24780"/>
    <cellStyle name="Note 4 5 2 3" xfId="13296"/>
    <cellStyle name="Note 4 5 2 4" xfId="21251"/>
    <cellStyle name="Note 4 5 3" xfId="7104"/>
    <cellStyle name="Note 4 5 3 2" xfId="15076"/>
    <cellStyle name="Note 4 5 3 3" xfId="23023"/>
    <cellStyle name="Note 4 5 4" xfId="11540"/>
    <cellStyle name="Note 4 5 5" xfId="19495"/>
    <cellStyle name="Note 4 5_Exh G" xfId="3648"/>
    <cellStyle name="Note 4 6" xfId="4393"/>
    <cellStyle name="Note 4 6 2" xfId="7985"/>
    <cellStyle name="Note 4 6 2 2" xfId="15956"/>
    <cellStyle name="Note 4 6 2 3" xfId="23902"/>
    <cellStyle name="Note 4 6 3" xfId="12418"/>
    <cellStyle name="Note 4 6 4" xfId="20373"/>
    <cellStyle name="Note 4 7" xfId="6213"/>
    <cellStyle name="Note 4 7 2" xfId="14197"/>
    <cellStyle name="Note 4 7 3" xfId="22145"/>
    <cellStyle name="Note 4 8" xfId="9766"/>
    <cellStyle name="Note 4 8 2" xfId="17724"/>
    <cellStyle name="Note 4 8 3" xfId="25668"/>
    <cellStyle name="Note 4 9" xfId="10662"/>
    <cellStyle name="Note 4_Exh G" xfId="3637"/>
    <cellStyle name="Note 5" xfId="718"/>
    <cellStyle name="Note 5 10" xfId="18621"/>
    <cellStyle name="Note 5 2" xfId="719"/>
    <cellStyle name="Note 5 2 2" xfId="720"/>
    <cellStyle name="Note 5 2 2 2" xfId="1748"/>
    <cellStyle name="Note 5 2 2 2 2" xfId="5278"/>
    <cellStyle name="Note 5 2 2 2 2 2" xfId="8869"/>
    <cellStyle name="Note 5 2 2 2 2 2 2" xfId="16840"/>
    <cellStyle name="Note 5 2 2 2 2 2 3" xfId="24786"/>
    <cellStyle name="Note 5 2 2 2 2 3" xfId="13302"/>
    <cellStyle name="Note 5 2 2 2 2 4" xfId="21257"/>
    <cellStyle name="Note 5 2 2 2 3" xfId="7110"/>
    <cellStyle name="Note 5 2 2 2 3 2" xfId="15082"/>
    <cellStyle name="Note 5 2 2 2 3 3" xfId="23029"/>
    <cellStyle name="Note 5 2 2 2 4" xfId="11546"/>
    <cellStyle name="Note 5 2 2 2 5" xfId="19501"/>
    <cellStyle name="Note 5 2 2 2_Exh G" xfId="3652"/>
    <cellStyle name="Note 5 2 2 3" xfId="4399"/>
    <cellStyle name="Note 5 2 2 3 2" xfId="7991"/>
    <cellStyle name="Note 5 2 2 3 2 2" xfId="15962"/>
    <cellStyle name="Note 5 2 2 3 2 3" xfId="23908"/>
    <cellStyle name="Note 5 2 2 3 3" xfId="12424"/>
    <cellStyle name="Note 5 2 2 3 4" xfId="20379"/>
    <cellStyle name="Note 5 2 2 4" xfId="6219"/>
    <cellStyle name="Note 5 2 2 4 2" xfId="14203"/>
    <cellStyle name="Note 5 2 2 4 3" xfId="22151"/>
    <cellStyle name="Note 5 2 2 5" xfId="9772"/>
    <cellStyle name="Note 5 2 2 5 2" xfId="17730"/>
    <cellStyle name="Note 5 2 2 5 3" xfId="25674"/>
    <cellStyle name="Note 5 2 2 6" xfId="10668"/>
    <cellStyle name="Note 5 2 2 7" xfId="18623"/>
    <cellStyle name="Note 5 2 2_Exh G" xfId="3651"/>
    <cellStyle name="Note 5 2 3" xfId="1747"/>
    <cellStyle name="Note 5 2 3 2" xfId="5277"/>
    <cellStyle name="Note 5 2 3 2 2" xfId="8868"/>
    <cellStyle name="Note 5 2 3 2 2 2" xfId="16839"/>
    <cellStyle name="Note 5 2 3 2 2 3" xfId="24785"/>
    <cellStyle name="Note 5 2 3 2 3" xfId="13301"/>
    <cellStyle name="Note 5 2 3 2 4" xfId="21256"/>
    <cellStyle name="Note 5 2 3 3" xfId="7109"/>
    <cellStyle name="Note 5 2 3 3 2" xfId="15081"/>
    <cellStyle name="Note 5 2 3 3 3" xfId="23028"/>
    <cellStyle name="Note 5 2 3 4" xfId="11545"/>
    <cellStyle name="Note 5 2 3 5" xfId="19500"/>
    <cellStyle name="Note 5 2 3_Exh G" xfId="3653"/>
    <cellStyle name="Note 5 2 4" xfId="4398"/>
    <cellStyle name="Note 5 2 4 2" xfId="7990"/>
    <cellStyle name="Note 5 2 4 2 2" xfId="15961"/>
    <cellStyle name="Note 5 2 4 2 3" xfId="23907"/>
    <cellStyle name="Note 5 2 4 3" xfId="12423"/>
    <cellStyle name="Note 5 2 4 4" xfId="20378"/>
    <cellStyle name="Note 5 2 5" xfId="6218"/>
    <cellStyle name="Note 5 2 5 2" xfId="14202"/>
    <cellStyle name="Note 5 2 5 3" xfId="22150"/>
    <cellStyle name="Note 5 2 6" xfId="9771"/>
    <cellStyle name="Note 5 2 6 2" xfId="17729"/>
    <cellStyle name="Note 5 2 6 3" xfId="25673"/>
    <cellStyle name="Note 5 2 7" xfId="10667"/>
    <cellStyle name="Note 5 2 8" xfId="18622"/>
    <cellStyle name="Note 5 2_Exh G" xfId="3650"/>
    <cellStyle name="Note 5 3" xfId="721"/>
    <cellStyle name="Note 5 3 2" xfId="1749"/>
    <cellStyle name="Note 5 3 2 2" xfId="5279"/>
    <cellStyle name="Note 5 3 2 2 2" xfId="8870"/>
    <cellStyle name="Note 5 3 2 2 2 2" xfId="16841"/>
    <cellStyle name="Note 5 3 2 2 2 3" xfId="24787"/>
    <cellStyle name="Note 5 3 2 2 3" xfId="13303"/>
    <cellStyle name="Note 5 3 2 2 4" xfId="21258"/>
    <cellStyle name="Note 5 3 2 3" xfId="7111"/>
    <cellStyle name="Note 5 3 2 3 2" xfId="15083"/>
    <cellStyle name="Note 5 3 2 3 3" xfId="23030"/>
    <cellStyle name="Note 5 3 2 4" xfId="11547"/>
    <cellStyle name="Note 5 3 2 5" xfId="19502"/>
    <cellStyle name="Note 5 3 2_Exh G" xfId="3655"/>
    <cellStyle name="Note 5 3 3" xfId="4400"/>
    <cellStyle name="Note 5 3 3 2" xfId="7992"/>
    <cellStyle name="Note 5 3 3 2 2" xfId="15963"/>
    <cellStyle name="Note 5 3 3 2 3" xfId="23909"/>
    <cellStyle name="Note 5 3 3 3" xfId="12425"/>
    <cellStyle name="Note 5 3 3 4" xfId="20380"/>
    <cellStyle name="Note 5 3 4" xfId="6220"/>
    <cellStyle name="Note 5 3 4 2" xfId="14204"/>
    <cellStyle name="Note 5 3 4 3" xfId="22152"/>
    <cellStyle name="Note 5 3 5" xfId="9773"/>
    <cellStyle name="Note 5 3 5 2" xfId="17731"/>
    <cellStyle name="Note 5 3 5 3" xfId="25675"/>
    <cellStyle name="Note 5 3 6" xfId="10669"/>
    <cellStyle name="Note 5 3 7" xfId="18624"/>
    <cellStyle name="Note 5 3_Exh G" xfId="3654"/>
    <cellStyle name="Note 5 4" xfId="1036"/>
    <cellStyle name="Note 5 4 2" xfId="6406"/>
    <cellStyle name="Note 5 5" xfId="1746"/>
    <cellStyle name="Note 5 5 2" xfId="5276"/>
    <cellStyle name="Note 5 5 2 2" xfId="8867"/>
    <cellStyle name="Note 5 5 2 2 2" xfId="16838"/>
    <cellStyle name="Note 5 5 2 2 3" xfId="24784"/>
    <cellStyle name="Note 5 5 2 3" xfId="13300"/>
    <cellStyle name="Note 5 5 2 4" xfId="21255"/>
    <cellStyle name="Note 5 5 3" xfId="7108"/>
    <cellStyle name="Note 5 5 3 2" xfId="15080"/>
    <cellStyle name="Note 5 5 3 3" xfId="23027"/>
    <cellStyle name="Note 5 5 4" xfId="11544"/>
    <cellStyle name="Note 5 5 5" xfId="19499"/>
    <cellStyle name="Note 5 5_Exh G" xfId="3656"/>
    <cellStyle name="Note 5 6" xfId="4397"/>
    <cellStyle name="Note 5 6 2" xfId="7989"/>
    <cellStyle name="Note 5 6 2 2" xfId="15960"/>
    <cellStyle name="Note 5 6 2 3" xfId="23906"/>
    <cellStyle name="Note 5 6 3" xfId="12422"/>
    <cellStyle name="Note 5 6 4" xfId="20377"/>
    <cellStyle name="Note 5 7" xfId="6217"/>
    <cellStyle name="Note 5 7 2" xfId="14201"/>
    <cellStyle name="Note 5 7 3" xfId="22149"/>
    <cellStyle name="Note 5 8" xfId="9770"/>
    <cellStyle name="Note 5 8 2" xfId="17728"/>
    <cellStyle name="Note 5 8 3" xfId="25672"/>
    <cellStyle name="Note 5 9" xfId="10666"/>
    <cellStyle name="Note 5_Exh G" xfId="3649"/>
    <cellStyle name="Note 6" xfId="722"/>
    <cellStyle name="Note 6 10" xfId="18625"/>
    <cellStyle name="Note 6 2" xfId="723"/>
    <cellStyle name="Note 6 2 2" xfId="724"/>
    <cellStyle name="Note 6 2 2 2" xfId="1752"/>
    <cellStyle name="Note 6 2 2 2 2" xfId="5282"/>
    <cellStyle name="Note 6 2 2 2 2 2" xfId="8873"/>
    <cellStyle name="Note 6 2 2 2 2 2 2" xfId="16844"/>
    <cellStyle name="Note 6 2 2 2 2 2 3" xfId="24790"/>
    <cellStyle name="Note 6 2 2 2 2 3" xfId="13306"/>
    <cellStyle name="Note 6 2 2 2 2 4" xfId="21261"/>
    <cellStyle name="Note 6 2 2 2 3" xfId="7114"/>
    <cellStyle name="Note 6 2 2 2 3 2" xfId="15086"/>
    <cellStyle name="Note 6 2 2 2 3 3" xfId="23033"/>
    <cellStyle name="Note 6 2 2 2 4" xfId="11550"/>
    <cellStyle name="Note 6 2 2 2 5" xfId="19505"/>
    <cellStyle name="Note 6 2 2 2_Exh G" xfId="3660"/>
    <cellStyle name="Note 6 2 2 3" xfId="4403"/>
    <cellStyle name="Note 6 2 2 3 2" xfId="7995"/>
    <cellStyle name="Note 6 2 2 3 2 2" xfId="15966"/>
    <cellStyle name="Note 6 2 2 3 2 3" xfId="23912"/>
    <cellStyle name="Note 6 2 2 3 3" xfId="12428"/>
    <cellStyle name="Note 6 2 2 3 4" xfId="20383"/>
    <cellStyle name="Note 6 2 2 4" xfId="6223"/>
    <cellStyle name="Note 6 2 2 4 2" xfId="14207"/>
    <cellStyle name="Note 6 2 2 4 3" xfId="22155"/>
    <cellStyle name="Note 6 2 2 5" xfId="9776"/>
    <cellStyle name="Note 6 2 2 5 2" xfId="17734"/>
    <cellStyle name="Note 6 2 2 5 3" xfId="25678"/>
    <cellStyle name="Note 6 2 2 6" xfId="10672"/>
    <cellStyle name="Note 6 2 2 7" xfId="18627"/>
    <cellStyle name="Note 6 2 2_Exh G" xfId="3659"/>
    <cellStyle name="Note 6 2 3" xfId="1751"/>
    <cellStyle name="Note 6 2 3 2" xfId="5281"/>
    <cellStyle name="Note 6 2 3 2 2" xfId="8872"/>
    <cellStyle name="Note 6 2 3 2 2 2" xfId="16843"/>
    <cellStyle name="Note 6 2 3 2 2 3" xfId="24789"/>
    <cellStyle name="Note 6 2 3 2 3" xfId="13305"/>
    <cellStyle name="Note 6 2 3 2 4" xfId="21260"/>
    <cellStyle name="Note 6 2 3 3" xfId="7113"/>
    <cellStyle name="Note 6 2 3 3 2" xfId="15085"/>
    <cellStyle name="Note 6 2 3 3 3" xfId="23032"/>
    <cellStyle name="Note 6 2 3 4" xfId="11549"/>
    <cellStyle name="Note 6 2 3 5" xfId="19504"/>
    <cellStyle name="Note 6 2 3_Exh G" xfId="3661"/>
    <cellStyle name="Note 6 2 4" xfId="4402"/>
    <cellStyle name="Note 6 2 4 2" xfId="7994"/>
    <cellStyle name="Note 6 2 4 2 2" xfId="15965"/>
    <cellStyle name="Note 6 2 4 2 3" xfId="23911"/>
    <cellStyle name="Note 6 2 4 3" xfId="12427"/>
    <cellStyle name="Note 6 2 4 4" xfId="20382"/>
    <cellStyle name="Note 6 2 5" xfId="6222"/>
    <cellStyle name="Note 6 2 5 2" xfId="14206"/>
    <cellStyle name="Note 6 2 5 3" xfId="22154"/>
    <cellStyle name="Note 6 2 6" xfId="9775"/>
    <cellStyle name="Note 6 2 6 2" xfId="17733"/>
    <cellStyle name="Note 6 2 6 3" xfId="25677"/>
    <cellStyle name="Note 6 2 7" xfId="10671"/>
    <cellStyle name="Note 6 2 8" xfId="18626"/>
    <cellStyle name="Note 6 2_Exh G" xfId="3658"/>
    <cellStyle name="Note 6 3" xfId="725"/>
    <cellStyle name="Note 6 3 2" xfId="1753"/>
    <cellStyle name="Note 6 3 2 2" xfId="5283"/>
    <cellStyle name="Note 6 3 2 2 2" xfId="8874"/>
    <cellStyle name="Note 6 3 2 2 2 2" xfId="16845"/>
    <cellStyle name="Note 6 3 2 2 2 3" xfId="24791"/>
    <cellStyle name="Note 6 3 2 2 3" xfId="13307"/>
    <cellStyle name="Note 6 3 2 2 4" xfId="21262"/>
    <cellStyle name="Note 6 3 2 3" xfId="7115"/>
    <cellStyle name="Note 6 3 2 3 2" xfId="15087"/>
    <cellStyle name="Note 6 3 2 3 3" xfId="23034"/>
    <cellStyle name="Note 6 3 2 4" xfId="11551"/>
    <cellStyle name="Note 6 3 2 5" xfId="19506"/>
    <cellStyle name="Note 6 3 2_Exh G" xfId="3663"/>
    <cellStyle name="Note 6 3 3" xfId="4404"/>
    <cellStyle name="Note 6 3 3 2" xfId="7996"/>
    <cellStyle name="Note 6 3 3 2 2" xfId="15967"/>
    <cellStyle name="Note 6 3 3 2 3" xfId="23913"/>
    <cellStyle name="Note 6 3 3 3" xfId="12429"/>
    <cellStyle name="Note 6 3 3 4" xfId="20384"/>
    <cellStyle name="Note 6 3 4" xfId="6224"/>
    <cellStyle name="Note 6 3 4 2" xfId="14208"/>
    <cellStyle name="Note 6 3 4 3" xfId="22156"/>
    <cellStyle name="Note 6 3 5" xfId="9777"/>
    <cellStyle name="Note 6 3 5 2" xfId="17735"/>
    <cellStyle name="Note 6 3 5 3" xfId="25679"/>
    <cellStyle name="Note 6 3 6" xfId="10673"/>
    <cellStyle name="Note 6 3 7" xfId="18628"/>
    <cellStyle name="Note 6 3_Exh G" xfId="3662"/>
    <cellStyle name="Note 6 4" xfId="1037"/>
    <cellStyle name="Note 6 4 2" xfId="1936"/>
    <cellStyle name="Note 6 4 2 2" xfId="5454"/>
    <cellStyle name="Note 6 4 2 2 2" xfId="9045"/>
    <cellStyle name="Note 6 4 2 2 2 2" xfId="17016"/>
    <cellStyle name="Note 6 4 2 2 2 3" xfId="24962"/>
    <cellStyle name="Note 6 4 2 2 3" xfId="13478"/>
    <cellStyle name="Note 6 4 2 2 4" xfId="21433"/>
    <cellStyle name="Note 6 4 2 3" xfId="7286"/>
    <cellStyle name="Note 6 4 2 3 2" xfId="15258"/>
    <cellStyle name="Note 6 4 2 3 3" xfId="23205"/>
    <cellStyle name="Note 6 4 2 4" xfId="11722"/>
    <cellStyle name="Note 6 4 2 5" xfId="19677"/>
    <cellStyle name="Note 6 4 2_Exh G" xfId="3665"/>
    <cellStyle name="Note 6 4 3" xfId="4575"/>
    <cellStyle name="Note 6 4 3 2" xfId="8167"/>
    <cellStyle name="Note 6 4 3 2 2" xfId="16138"/>
    <cellStyle name="Note 6 4 3 2 3" xfId="24084"/>
    <cellStyle name="Note 6 4 3 3" xfId="12600"/>
    <cellStyle name="Note 6 4 3 4" xfId="20555"/>
    <cellStyle name="Note 6 4 4" xfId="6407"/>
    <cellStyle name="Note 6 4 4 2" xfId="14380"/>
    <cellStyle name="Note 6 4 4 3" xfId="22327"/>
    <cellStyle name="Note 6 4 5" xfId="9948"/>
    <cellStyle name="Note 6 4 5 2" xfId="17906"/>
    <cellStyle name="Note 6 4 5 3" xfId="25850"/>
    <cellStyle name="Note 6 4 6" xfId="10844"/>
    <cellStyle name="Note 6 4 7" xfId="18799"/>
    <cellStyle name="Note 6 4_Exh G" xfId="3664"/>
    <cellStyle name="Note 6 5" xfId="1750"/>
    <cellStyle name="Note 6 5 2" xfId="5280"/>
    <cellStyle name="Note 6 5 2 2" xfId="8871"/>
    <cellStyle name="Note 6 5 2 2 2" xfId="16842"/>
    <cellStyle name="Note 6 5 2 2 3" xfId="24788"/>
    <cellStyle name="Note 6 5 2 3" xfId="13304"/>
    <cellStyle name="Note 6 5 2 4" xfId="21259"/>
    <cellStyle name="Note 6 5 3" xfId="7112"/>
    <cellStyle name="Note 6 5 3 2" xfId="15084"/>
    <cellStyle name="Note 6 5 3 3" xfId="23031"/>
    <cellStyle name="Note 6 5 4" xfId="11548"/>
    <cellStyle name="Note 6 5 5" xfId="19503"/>
    <cellStyle name="Note 6 5_Exh G" xfId="3666"/>
    <cellStyle name="Note 6 6" xfId="4401"/>
    <cellStyle name="Note 6 6 2" xfId="7993"/>
    <cellStyle name="Note 6 6 2 2" xfId="15964"/>
    <cellStyle name="Note 6 6 2 3" xfId="23910"/>
    <cellStyle name="Note 6 6 3" xfId="12426"/>
    <cellStyle name="Note 6 6 4" xfId="20381"/>
    <cellStyle name="Note 6 7" xfId="6221"/>
    <cellStyle name="Note 6 7 2" xfId="14205"/>
    <cellStyle name="Note 6 7 3" xfId="22153"/>
    <cellStyle name="Note 6 8" xfId="9774"/>
    <cellStyle name="Note 6 8 2" xfId="17732"/>
    <cellStyle name="Note 6 8 3" xfId="25676"/>
    <cellStyle name="Note 6 9" xfId="10670"/>
    <cellStyle name="Note 6_Exh G" xfId="3657"/>
    <cellStyle name="Note 7" xfId="726"/>
    <cellStyle name="Note 7 10" xfId="18629"/>
    <cellStyle name="Note 7 2" xfId="727"/>
    <cellStyle name="Note 7 2 2" xfId="728"/>
    <cellStyle name="Note 7 2 2 2" xfId="1756"/>
    <cellStyle name="Note 7 2 2 2 2" xfId="5286"/>
    <cellStyle name="Note 7 2 2 2 2 2" xfId="8877"/>
    <cellStyle name="Note 7 2 2 2 2 2 2" xfId="16848"/>
    <cellStyle name="Note 7 2 2 2 2 2 3" xfId="24794"/>
    <cellStyle name="Note 7 2 2 2 2 3" xfId="13310"/>
    <cellStyle name="Note 7 2 2 2 2 4" xfId="21265"/>
    <cellStyle name="Note 7 2 2 2 3" xfId="7118"/>
    <cellStyle name="Note 7 2 2 2 3 2" xfId="15090"/>
    <cellStyle name="Note 7 2 2 2 3 3" xfId="23037"/>
    <cellStyle name="Note 7 2 2 2 4" xfId="11554"/>
    <cellStyle name="Note 7 2 2 2 5" xfId="19509"/>
    <cellStyle name="Note 7 2 2 2_Exh G" xfId="3670"/>
    <cellStyle name="Note 7 2 2 3" xfId="4407"/>
    <cellStyle name="Note 7 2 2 3 2" xfId="7999"/>
    <cellStyle name="Note 7 2 2 3 2 2" xfId="15970"/>
    <cellStyle name="Note 7 2 2 3 2 3" xfId="23916"/>
    <cellStyle name="Note 7 2 2 3 3" xfId="12432"/>
    <cellStyle name="Note 7 2 2 3 4" xfId="20387"/>
    <cellStyle name="Note 7 2 2 4" xfId="6227"/>
    <cellStyle name="Note 7 2 2 4 2" xfId="14211"/>
    <cellStyle name="Note 7 2 2 4 3" xfId="22159"/>
    <cellStyle name="Note 7 2 2 5" xfId="9780"/>
    <cellStyle name="Note 7 2 2 5 2" xfId="17738"/>
    <cellStyle name="Note 7 2 2 5 3" xfId="25682"/>
    <cellStyle name="Note 7 2 2 6" xfId="10676"/>
    <cellStyle name="Note 7 2 2 7" xfId="18631"/>
    <cellStyle name="Note 7 2 2_Exh G" xfId="3669"/>
    <cellStyle name="Note 7 2 3" xfId="1755"/>
    <cellStyle name="Note 7 2 3 2" xfId="5285"/>
    <cellStyle name="Note 7 2 3 2 2" xfId="8876"/>
    <cellStyle name="Note 7 2 3 2 2 2" xfId="16847"/>
    <cellStyle name="Note 7 2 3 2 2 3" xfId="24793"/>
    <cellStyle name="Note 7 2 3 2 3" xfId="13309"/>
    <cellStyle name="Note 7 2 3 2 4" xfId="21264"/>
    <cellStyle name="Note 7 2 3 3" xfId="7117"/>
    <cellStyle name="Note 7 2 3 3 2" xfId="15089"/>
    <cellStyle name="Note 7 2 3 3 3" xfId="23036"/>
    <cellStyle name="Note 7 2 3 4" xfId="11553"/>
    <cellStyle name="Note 7 2 3 5" xfId="19508"/>
    <cellStyle name="Note 7 2 3_Exh G" xfId="3671"/>
    <cellStyle name="Note 7 2 4" xfId="4406"/>
    <cellStyle name="Note 7 2 4 2" xfId="7998"/>
    <cellStyle name="Note 7 2 4 2 2" xfId="15969"/>
    <cellStyle name="Note 7 2 4 2 3" xfId="23915"/>
    <cellStyle name="Note 7 2 4 3" xfId="12431"/>
    <cellStyle name="Note 7 2 4 4" xfId="20386"/>
    <cellStyle name="Note 7 2 5" xfId="6226"/>
    <cellStyle name="Note 7 2 5 2" xfId="14210"/>
    <cellStyle name="Note 7 2 5 3" xfId="22158"/>
    <cellStyle name="Note 7 2 6" xfId="9779"/>
    <cellStyle name="Note 7 2 6 2" xfId="17737"/>
    <cellStyle name="Note 7 2 6 3" xfId="25681"/>
    <cellStyle name="Note 7 2 7" xfId="10675"/>
    <cellStyle name="Note 7 2 8" xfId="18630"/>
    <cellStyle name="Note 7 2_Exh G" xfId="3668"/>
    <cellStyle name="Note 7 3" xfId="729"/>
    <cellStyle name="Note 7 3 2" xfId="1757"/>
    <cellStyle name="Note 7 3 2 2" xfId="5287"/>
    <cellStyle name="Note 7 3 2 2 2" xfId="8878"/>
    <cellStyle name="Note 7 3 2 2 2 2" xfId="16849"/>
    <cellStyle name="Note 7 3 2 2 2 3" xfId="24795"/>
    <cellStyle name="Note 7 3 2 2 3" xfId="13311"/>
    <cellStyle name="Note 7 3 2 2 4" xfId="21266"/>
    <cellStyle name="Note 7 3 2 3" xfId="7119"/>
    <cellStyle name="Note 7 3 2 3 2" xfId="15091"/>
    <cellStyle name="Note 7 3 2 3 3" xfId="23038"/>
    <cellStyle name="Note 7 3 2 4" xfId="11555"/>
    <cellStyle name="Note 7 3 2 5" xfId="19510"/>
    <cellStyle name="Note 7 3 2_Exh G" xfId="3673"/>
    <cellStyle name="Note 7 3 3" xfId="4408"/>
    <cellStyle name="Note 7 3 3 2" xfId="8000"/>
    <cellStyle name="Note 7 3 3 2 2" xfId="15971"/>
    <cellStyle name="Note 7 3 3 2 3" xfId="23917"/>
    <cellStyle name="Note 7 3 3 3" xfId="12433"/>
    <cellStyle name="Note 7 3 3 4" xfId="20388"/>
    <cellStyle name="Note 7 3 4" xfId="6228"/>
    <cellStyle name="Note 7 3 4 2" xfId="14212"/>
    <cellStyle name="Note 7 3 4 3" xfId="22160"/>
    <cellStyle name="Note 7 3 5" xfId="9781"/>
    <cellStyle name="Note 7 3 5 2" xfId="17739"/>
    <cellStyle name="Note 7 3 5 3" xfId="25683"/>
    <cellStyle name="Note 7 3 6" xfId="10677"/>
    <cellStyle name="Note 7 3 7" xfId="18632"/>
    <cellStyle name="Note 7 3_Exh G" xfId="3672"/>
    <cellStyle name="Note 7 4" xfId="1038"/>
    <cellStyle name="Note 7 4 2" xfId="1937"/>
    <cellStyle name="Note 7 4 2 2" xfId="5455"/>
    <cellStyle name="Note 7 4 2 2 2" xfId="9046"/>
    <cellStyle name="Note 7 4 2 2 2 2" xfId="17017"/>
    <cellStyle name="Note 7 4 2 2 2 3" xfId="24963"/>
    <cellStyle name="Note 7 4 2 2 3" xfId="13479"/>
    <cellStyle name="Note 7 4 2 2 4" xfId="21434"/>
    <cellStyle name="Note 7 4 2 3" xfId="7287"/>
    <cellStyle name="Note 7 4 2 3 2" xfId="15259"/>
    <cellStyle name="Note 7 4 2 3 3" xfId="23206"/>
    <cellStyle name="Note 7 4 2 4" xfId="11723"/>
    <cellStyle name="Note 7 4 2 5" xfId="19678"/>
    <cellStyle name="Note 7 4 2_Exh G" xfId="3675"/>
    <cellStyle name="Note 7 4 3" xfId="4576"/>
    <cellStyle name="Note 7 4 3 2" xfId="8168"/>
    <cellStyle name="Note 7 4 3 2 2" xfId="16139"/>
    <cellStyle name="Note 7 4 3 2 3" xfId="24085"/>
    <cellStyle name="Note 7 4 3 3" xfId="12601"/>
    <cellStyle name="Note 7 4 3 4" xfId="20556"/>
    <cellStyle name="Note 7 4 4" xfId="6408"/>
    <cellStyle name="Note 7 4 4 2" xfId="14381"/>
    <cellStyle name="Note 7 4 4 3" xfId="22328"/>
    <cellStyle name="Note 7 4 5" xfId="9949"/>
    <cellStyle name="Note 7 4 5 2" xfId="17907"/>
    <cellStyle name="Note 7 4 5 3" xfId="25851"/>
    <cellStyle name="Note 7 4 6" xfId="10845"/>
    <cellStyle name="Note 7 4 7" xfId="18800"/>
    <cellStyle name="Note 7 4_Exh G" xfId="3674"/>
    <cellStyle name="Note 7 5" xfId="1754"/>
    <cellStyle name="Note 7 5 2" xfId="5284"/>
    <cellStyle name="Note 7 5 2 2" xfId="8875"/>
    <cellStyle name="Note 7 5 2 2 2" xfId="16846"/>
    <cellStyle name="Note 7 5 2 2 3" xfId="24792"/>
    <cellStyle name="Note 7 5 2 3" xfId="13308"/>
    <cellStyle name="Note 7 5 2 4" xfId="21263"/>
    <cellStyle name="Note 7 5 3" xfId="7116"/>
    <cellStyle name="Note 7 5 3 2" xfId="15088"/>
    <cellStyle name="Note 7 5 3 3" xfId="23035"/>
    <cellStyle name="Note 7 5 4" xfId="11552"/>
    <cellStyle name="Note 7 5 5" xfId="19507"/>
    <cellStyle name="Note 7 5_Exh G" xfId="3676"/>
    <cellStyle name="Note 7 6" xfId="4405"/>
    <cellStyle name="Note 7 6 2" xfId="7997"/>
    <cellStyle name="Note 7 6 2 2" xfId="15968"/>
    <cellStyle name="Note 7 6 2 3" xfId="23914"/>
    <cellStyle name="Note 7 6 3" xfId="12430"/>
    <cellStyle name="Note 7 6 4" xfId="20385"/>
    <cellStyle name="Note 7 7" xfId="6225"/>
    <cellStyle name="Note 7 7 2" xfId="14209"/>
    <cellStyle name="Note 7 7 3" xfId="22157"/>
    <cellStyle name="Note 7 8" xfId="9778"/>
    <cellStyle name="Note 7 8 2" xfId="17736"/>
    <cellStyle name="Note 7 8 3" xfId="25680"/>
    <cellStyle name="Note 7 9" xfId="10674"/>
    <cellStyle name="Note 7_Exh G" xfId="3667"/>
    <cellStyle name="Note 8" xfId="730"/>
    <cellStyle name="Note 8 10" xfId="18633"/>
    <cellStyle name="Note 8 2" xfId="731"/>
    <cellStyle name="Note 8 2 2" xfId="732"/>
    <cellStyle name="Note 8 2 2 2" xfId="1760"/>
    <cellStyle name="Note 8 2 2 2 2" xfId="5290"/>
    <cellStyle name="Note 8 2 2 2 2 2" xfId="8881"/>
    <cellStyle name="Note 8 2 2 2 2 2 2" xfId="16852"/>
    <cellStyle name="Note 8 2 2 2 2 2 3" xfId="24798"/>
    <cellStyle name="Note 8 2 2 2 2 3" xfId="13314"/>
    <cellStyle name="Note 8 2 2 2 2 4" xfId="21269"/>
    <cellStyle name="Note 8 2 2 2 3" xfId="7122"/>
    <cellStyle name="Note 8 2 2 2 3 2" xfId="15094"/>
    <cellStyle name="Note 8 2 2 2 3 3" xfId="23041"/>
    <cellStyle name="Note 8 2 2 2 4" xfId="11558"/>
    <cellStyle name="Note 8 2 2 2 5" xfId="19513"/>
    <cellStyle name="Note 8 2 2 2_Exh G" xfId="3680"/>
    <cellStyle name="Note 8 2 2 3" xfId="4411"/>
    <cellStyle name="Note 8 2 2 3 2" xfId="8003"/>
    <cellStyle name="Note 8 2 2 3 2 2" xfId="15974"/>
    <cellStyle name="Note 8 2 2 3 2 3" xfId="23920"/>
    <cellStyle name="Note 8 2 2 3 3" xfId="12436"/>
    <cellStyle name="Note 8 2 2 3 4" xfId="20391"/>
    <cellStyle name="Note 8 2 2 4" xfId="6231"/>
    <cellStyle name="Note 8 2 2 4 2" xfId="14215"/>
    <cellStyle name="Note 8 2 2 4 3" xfId="22163"/>
    <cellStyle name="Note 8 2 2 5" xfId="9784"/>
    <cellStyle name="Note 8 2 2 5 2" xfId="17742"/>
    <cellStyle name="Note 8 2 2 5 3" xfId="25686"/>
    <cellStyle name="Note 8 2 2 6" xfId="10680"/>
    <cellStyle name="Note 8 2 2 7" xfId="18635"/>
    <cellStyle name="Note 8 2 2_Exh G" xfId="3679"/>
    <cellStyle name="Note 8 2 3" xfId="1759"/>
    <cellStyle name="Note 8 2 3 2" xfId="5289"/>
    <cellStyle name="Note 8 2 3 2 2" xfId="8880"/>
    <cellStyle name="Note 8 2 3 2 2 2" xfId="16851"/>
    <cellStyle name="Note 8 2 3 2 2 3" xfId="24797"/>
    <cellStyle name="Note 8 2 3 2 3" xfId="13313"/>
    <cellStyle name="Note 8 2 3 2 4" xfId="21268"/>
    <cellStyle name="Note 8 2 3 3" xfId="7121"/>
    <cellStyle name="Note 8 2 3 3 2" xfId="15093"/>
    <cellStyle name="Note 8 2 3 3 3" xfId="23040"/>
    <cellStyle name="Note 8 2 3 4" xfId="11557"/>
    <cellStyle name="Note 8 2 3 5" xfId="19512"/>
    <cellStyle name="Note 8 2 3_Exh G" xfId="3681"/>
    <cellStyle name="Note 8 2 4" xfId="4410"/>
    <cellStyle name="Note 8 2 4 2" xfId="8002"/>
    <cellStyle name="Note 8 2 4 2 2" xfId="15973"/>
    <cellStyle name="Note 8 2 4 2 3" xfId="23919"/>
    <cellStyle name="Note 8 2 4 3" xfId="12435"/>
    <cellStyle name="Note 8 2 4 4" xfId="20390"/>
    <cellStyle name="Note 8 2 5" xfId="6230"/>
    <cellStyle name="Note 8 2 5 2" xfId="14214"/>
    <cellStyle name="Note 8 2 5 3" xfId="22162"/>
    <cellStyle name="Note 8 2 6" xfId="9783"/>
    <cellStyle name="Note 8 2 6 2" xfId="17741"/>
    <cellStyle name="Note 8 2 6 3" xfId="25685"/>
    <cellStyle name="Note 8 2 7" xfId="10679"/>
    <cellStyle name="Note 8 2 8" xfId="18634"/>
    <cellStyle name="Note 8 2_Exh G" xfId="3678"/>
    <cellStyle name="Note 8 3" xfId="733"/>
    <cellStyle name="Note 8 3 2" xfId="1761"/>
    <cellStyle name="Note 8 3 2 2" xfId="5291"/>
    <cellStyle name="Note 8 3 2 2 2" xfId="8882"/>
    <cellStyle name="Note 8 3 2 2 2 2" xfId="16853"/>
    <cellStyle name="Note 8 3 2 2 2 3" xfId="24799"/>
    <cellStyle name="Note 8 3 2 2 3" xfId="13315"/>
    <cellStyle name="Note 8 3 2 2 4" xfId="21270"/>
    <cellStyle name="Note 8 3 2 3" xfId="7123"/>
    <cellStyle name="Note 8 3 2 3 2" xfId="15095"/>
    <cellStyle name="Note 8 3 2 3 3" xfId="23042"/>
    <cellStyle name="Note 8 3 2 4" xfId="11559"/>
    <cellStyle name="Note 8 3 2 5" xfId="19514"/>
    <cellStyle name="Note 8 3 2_Exh G" xfId="3683"/>
    <cellStyle name="Note 8 3 3" xfId="4412"/>
    <cellStyle name="Note 8 3 3 2" xfId="8004"/>
    <cellStyle name="Note 8 3 3 2 2" xfId="15975"/>
    <cellStyle name="Note 8 3 3 2 3" xfId="23921"/>
    <cellStyle name="Note 8 3 3 3" xfId="12437"/>
    <cellStyle name="Note 8 3 3 4" xfId="20392"/>
    <cellStyle name="Note 8 3 4" xfId="6232"/>
    <cellStyle name="Note 8 3 4 2" xfId="14216"/>
    <cellStyle name="Note 8 3 4 3" xfId="22164"/>
    <cellStyle name="Note 8 3 5" xfId="9785"/>
    <cellStyle name="Note 8 3 5 2" xfId="17743"/>
    <cellStyle name="Note 8 3 5 3" xfId="25687"/>
    <cellStyle name="Note 8 3 6" xfId="10681"/>
    <cellStyle name="Note 8 3 7" xfId="18636"/>
    <cellStyle name="Note 8 3_Exh G" xfId="3682"/>
    <cellStyle name="Note 8 4" xfId="1039"/>
    <cellStyle name="Note 8 4 2" xfId="1938"/>
    <cellStyle name="Note 8 4 2 2" xfId="5456"/>
    <cellStyle name="Note 8 4 2 2 2" xfId="9047"/>
    <cellStyle name="Note 8 4 2 2 2 2" xfId="17018"/>
    <cellStyle name="Note 8 4 2 2 2 3" xfId="24964"/>
    <cellStyle name="Note 8 4 2 2 3" xfId="13480"/>
    <cellStyle name="Note 8 4 2 2 4" xfId="21435"/>
    <cellStyle name="Note 8 4 2 3" xfId="7288"/>
    <cellStyle name="Note 8 4 2 3 2" xfId="15260"/>
    <cellStyle name="Note 8 4 2 3 3" xfId="23207"/>
    <cellStyle name="Note 8 4 2 4" xfId="11724"/>
    <cellStyle name="Note 8 4 2 5" xfId="19679"/>
    <cellStyle name="Note 8 4 2_Exh G" xfId="3685"/>
    <cellStyle name="Note 8 4 3" xfId="4577"/>
    <cellStyle name="Note 8 4 3 2" xfId="8169"/>
    <cellStyle name="Note 8 4 3 2 2" xfId="16140"/>
    <cellStyle name="Note 8 4 3 2 3" xfId="24086"/>
    <cellStyle name="Note 8 4 3 3" xfId="12602"/>
    <cellStyle name="Note 8 4 3 4" xfId="20557"/>
    <cellStyle name="Note 8 4 4" xfId="6409"/>
    <cellStyle name="Note 8 4 4 2" xfId="14382"/>
    <cellStyle name="Note 8 4 4 3" xfId="22329"/>
    <cellStyle name="Note 8 4 5" xfId="9950"/>
    <cellStyle name="Note 8 4 5 2" xfId="17908"/>
    <cellStyle name="Note 8 4 5 3" xfId="25852"/>
    <cellStyle name="Note 8 4 6" xfId="10846"/>
    <cellStyle name="Note 8 4 7" xfId="18801"/>
    <cellStyle name="Note 8 4_Exh G" xfId="3684"/>
    <cellStyle name="Note 8 5" xfId="1758"/>
    <cellStyle name="Note 8 5 2" xfId="5288"/>
    <cellStyle name="Note 8 5 2 2" xfId="8879"/>
    <cellStyle name="Note 8 5 2 2 2" xfId="16850"/>
    <cellStyle name="Note 8 5 2 2 3" xfId="24796"/>
    <cellStyle name="Note 8 5 2 3" xfId="13312"/>
    <cellStyle name="Note 8 5 2 4" xfId="21267"/>
    <cellStyle name="Note 8 5 3" xfId="7120"/>
    <cellStyle name="Note 8 5 3 2" xfId="15092"/>
    <cellStyle name="Note 8 5 3 3" xfId="23039"/>
    <cellStyle name="Note 8 5 4" xfId="11556"/>
    <cellStyle name="Note 8 5 5" xfId="19511"/>
    <cellStyle name="Note 8 5_Exh G" xfId="3686"/>
    <cellStyle name="Note 8 6" xfId="4409"/>
    <cellStyle name="Note 8 6 2" xfId="8001"/>
    <cellStyle name="Note 8 6 2 2" xfId="15972"/>
    <cellStyle name="Note 8 6 2 3" xfId="23918"/>
    <cellStyle name="Note 8 6 3" xfId="12434"/>
    <cellStyle name="Note 8 6 4" xfId="20389"/>
    <cellStyle name="Note 8 7" xfId="6229"/>
    <cellStyle name="Note 8 7 2" xfId="14213"/>
    <cellStyle name="Note 8 7 3" xfId="22161"/>
    <cellStyle name="Note 8 8" xfId="9782"/>
    <cellStyle name="Note 8 8 2" xfId="17740"/>
    <cellStyle name="Note 8 8 3" xfId="25684"/>
    <cellStyle name="Note 8 9" xfId="10678"/>
    <cellStyle name="Note 8_Exh G" xfId="3677"/>
    <cellStyle name="Note 9" xfId="734"/>
    <cellStyle name="Note 9 10" xfId="18637"/>
    <cellStyle name="Note 9 2" xfId="735"/>
    <cellStyle name="Note 9 2 2" xfId="736"/>
    <cellStyle name="Note 9 2 2 2" xfId="1764"/>
    <cellStyle name="Note 9 2 2 2 2" xfId="5294"/>
    <cellStyle name="Note 9 2 2 2 2 2" xfId="8885"/>
    <cellStyle name="Note 9 2 2 2 2 2 2" xfId="16856"/>
    <cellStyle name="Note 9 2 2 2 2 2 3" xfId="24802"/>
    <cellStyle name="Note 9 2 2 2 2 3" xfId="13318"/>
    <cellStyle name="Note 9 2 2 2 2 4" xfId="21273"/>
    <cellStyle name="Note 9 2 2 2 3" xfId="7126"/>
    <cellStyle name="Note 9 2 2 2 3 2" xfId="15098"/>
    <cellStyle name="Note 9 2 2 2 3 3" xfId="23045"/>
    <cellStyle name="Note 9 2 2 2 4" xfId="11562"/>
    <cellStyle name="Note 9 2 2 2 5" xfId="19517"/>
    <cellStyle name="Note 9 2 2 2_Exh G" xfId="3690"/>
    <cellStyle name="Note 9 2 2 3" xfId="4415"/>
    <cellStyle name="Note 9 2 2 3 2" xfId="8007"/>
    <cellStyle name="Note 9 2 2 3 2 2" xfId="15978"/>
    <cellStyle name="Note 9 2 2 3 2 3" xfId="23924"/>
    <cellStyle name="Note 9 2 2 3 3" xfId="12440"/>
    <cellStyle name="Note 9 2 2 3 4" xfId="20395"/>
    <cellStyle name="Note 9 2 2 4" xfId="6235"/>
    <cellStyle name="Note 9 2 2 4 2" xfId="14219"/>
    <cellStyle name="Note 9 2 2 4 3" xfId="22167"/>
    <cellStyle name="Note 9 2 2 5" xfId="9788"/>
    <cellStyle name="Note 9 2 2 5 2" xfId="17746"/>
    <cellStyle name="Note 9 2 2 5 3" xfId="25690"/>
    <cellStyle name="Note 9 2 2 6" xfId="10684"/>
    <cellStyle name="Note 9 2 2 7" xfId="18639"/>
    <cellStyle name="Note 9 2 2_Exh G" xfId="3689"/>
    <cellStyle name="Note 9 2 3" xfId="1763"/>
    <cellStyle name="Note 9 2 3 2" xfId="5293"/>
    <cellStyle name="Note 9 2 3 2 2" xfId="8884"/>
    <cellStyle name="Note 9 2 3 2 2 2" xfId="16855"/>
    <cellStyle name="Note 9 2 3 2 2 3" xfId="24801"/>
    <cellStyle name="Note 9 2 3 2 3" xfId="13317"/>
    <cellStyle name="Note 9 2 3 2 4" xfId="21272"/>
    <cellStyle name="Note 9 2 3 3" xfId="7125"/>
    <cellStyle name="Note 9 2 3 3 2" xfId="15097"/>
    <cellStyle name="Note 9 2 3 3 3" xfId="23044"/>
    <cellStyle name="Note 9 2 3 4" xfId="11561"/>
    <cellStyle name="Note 9 2 3 5" xfId="19516"/>
    <cellStyle name="Note 9 2 3_Exh G" xfId="3691"/>
    <cellStyle name="Note 9 2 4" xfId="4414"/>
    <cellStyle name="Note 9 2 4 2" xfId="8006"/>
    <cellStyle name="Note 9 2 4 2 2" xfId="15977"/>
    <cellStyle name="Note 9 2 4 2 3" xfId="23923"/>
    <cellStyle name="Note 9 2 4 3" xfId="12439"/>
    <cellStyle name="Note 9 2 4 4" xfId="20394"/>
    <cellStyle name="Note 9 2 5" xfId="6234"/>
    <cellStyle name="Note 9 2 5 2" xfId="14218"/>
    <cellStyle name="Note 9 2 5 3" xfId="22166"/>
    <cellStyle name="Note 9 2 6" xfId="9787"/>
    <cellStyle name="Note 9 2 6 2" xfId="17745"/>
    <cellStyle name="Note 9 2 6 3" xfId="25689"/>
    <cellStyle name="Note 9 2 7" xfId="10683"/>
    <cellStyle name="Note 9 2 8" xfId="18638"/>
    <cellStyle name="Note 9 2_Exh G" xfId="3688"/>
    <cellStyle name="Note 9 3" xfId="737"/>
    <cellStyle name="Note 9 3 2" xfId="1765"/>
    <cellStyle name="Note 9 3 2 2" xfId="5295"/>
    <cellStyle name="Note 9 3 2 2 2" xfId="8886"/>
    <cellStyle name="Note 9 3 2 2 2 2" xfId="16857"/>
    <cellStyle name="Note 9 3 2 2 2 3" xfId="24803"/>
    <cellStyle name="Note 9 3 2 2 3" xfId="13319"/>
    <cellStyle name="Note 9 3 2 2 4" xfId="21274"/>
    <cellStyle name="Note 9 3 2 3" xfId="7127"/>
    <cellStyle name="Note 9 3 2 3 2" xfId="15099"/>
    <cellStyle name="Note 9 3 2 3 3" xfId="23046"/>
    <cellStyle name="Note 9 3 2 4" xfId="11563"/>
    <cellStyle name="Note 9 3 2 5" xfId="19518"/>
    <cellStyle name="Note 9 3 2_Exh G" xfId="3693"/>
    <cellStyle name="Note 9 3 3" xfId="4416"/>
    <cellStyle name="Note 9 3 3 2" xfId="8008"/>
    <cellStyle name="Note 9 3 3 2 2" xfId="15979"/>
    <cellStyle name="Note 9 3 3 2 3" xfId="23925"/>
    <cellStyle name="Note 9 3 3 3" xfId="12441"/>
    <cellStyle name="Note 9 3 3 4" xfId="20396"/>
    <cellStyle name="Note 9 3 4" xfId="6236"/>
    <cellStyle name="Note 9 3 4 2" xfId="14220"/>
    <cellStyle name="Note 9 3 4 3" xfId="22168"/>
    <cellStyle name="Note 9 3 5" xfId="9789"/>
    <cellStyle name="Note 9 3 5 2" xfId="17747"/>
    <cellStyle name="Note 9 3 5 3" xfId="25691"/>
    <cellStyle name="Note 9 3 6" xfId="10685"/>
    <cellStyle name="Note 9 3 7" xfId="18640"/>
    <cellStyle name="Note 9 3_Exh G" xfId="3692"/>
    <cellStyle name="Note 9 4" xfId="1040"/>
    <cellStyle name="Note 9 4 2" xfId="1939"/>
    <cellStyle name="Note 9 4 2 2" xfId="5457"/>
    <cellStyle name="Note 9 4 2 2 2" xfId="9048"/>
    <cellStyle name="Note 9 4 2 2 2 2" xfId="17019"/>
    <cellStyle name="Note 9 4 2 2 2 3" xfId="24965"/>
    <cellStyle name="Note 9 4 2 2 3" xfId="13481"/>
    <cellStyle name="Note 9 4 2 2 4" xfId="21436"/>
    <cellStyle name="Note 9 4 2 3" xfId="7289"/>
    <cellStyle name="Note 9 4 2 3 2" xfId="15261"/>
    <cellStyle name="Note 9 4 2 3 3" xfId="23208"/>
    <cellStyle name="Note 9 4 2 4" xfId="11725"/>
    <cellStyle name="Note 9 4 2 5" xfId="19680"/>
    <cellStyle name="Note 9 4 2_Exh G" xfId="3695"/>
    <cellStyle name="Note 9 4 3" xfId="4578"/>
    <cellStyle name="Note 9 4 3 2" xfId="8170"/>
    <cellStyle name="Note 9 4 3 2 2" xfId="16141"/>
    <cellStyle name="Note 9 4 3 2 3" xfId="24087"/>
    <cellStyle name="Note 9 4 3 3" xfId="12603"/>
    <cellStyle name="Note 9 4 3 4" xfId="20558"/>
    <cellStyle name="Note 9 4 4" xfId="6410"/>
    <cellStyle name="Note 9 4 4 2" xfId="14383"/>
    <cellStyle name="Note 9 4 4 3" xfId="22330"/>
    <cellStyle name="Note 9 4 5" xfId="9951"/>
    <cellStyle name="Note 9 4 5 2" xfId="17909"/>
    <cellStyle name="Note 9 4 5 3" xfId="25853"/>
    <cellStyle name="Note 9 4 6" xfId="10847"/>
    <cellStyle name="Note 9 4 7" xfId="18802"/>
    <cellStyle name="Note 9 4_Exh G" xfId="3694"/>
    <cellStyle name="Note 9 5" xfId="1762"/>
    <cellStyle name="Note 9 5 2" xfId="5292"/>
    <cellStyle name="Note 9 5 2 2" xfId="8883"/>
    <cellStyle name="Note 9 5 2 2 2" xfId="16854"/>
    <cellStyle name="Note 9 5 2 2 3" xfId="24800"/>
    <cellStyle name="Note 9 5 2 3" xfId="13316"/>
    <cellStyle name="Note 9 5 2 4" xfId="21271"/>
    <cellStyle name="Note 9 5 3" xfId="7124"/>
    <cellStyle name="Note 9 5 3 2" xfId="15096"/>
    <cellStyle name="Note 9 5 3 3" xfId="23043"/>
    <cellStyle name="Note 9 5 4" xfId="11560"/>
    <cellStyle name="Note 9 5 5" xfId="19515"/>
    <cellStyle name="Note 9 5_Exh G" xfId="3696"/>
    <cellStyle name="Note 9 6" xfId="4413"/>
    <cellStyle name="Note 9 6 2" xfId="8005"/>
    <cellStyle name="Note 9 6 2 2" xfId="15976"/>
    <cellStyle name="Note 9 6 2 3" xfId="23922"/>
    <cellStyle name="Note 9 6 3" xfId="12438"/>
    <cellStyle name="Note 9 6 4" xfId="20393"/>
    <cellStyle name="Note 9 7" xfId="6233"/>
    <cellStyle name="Note 9 7 2" xfId="14217"/>
    <cellStyle name="Note 9 7 3" xfId="22165"/>
    <cellStyle name="Note 9 8" xfId="9786"/>
    <cellStyle name="Note 9 8 2" xfId="17744"/>
    <cellStyle name="Note 9 8 3" xfId="25688"/>
    <cellStyle name="Note 9 9" xfId="10682"/>
    <cellStyle name="Note 9_Exh G" xfId="3687"/>
    <cellStyle name="Output 2" xfId="815"/>
    <cellStyle name="Output 3" xfId="816"/>
    <cellStyle name="Output 3 2" xfId="6244"/>
    <cellStyle name="Output 4" xfId="817"/>
    <cellStyle name="Output 4 2" xfId="6245"/>
    <cellStyle name="Output Amounts" xfId="12"/>
    <cellStyle name="Output Column Headings" xfId="13"/>
    <cellStyle name="Output Line Items" xfId="14"/>
    <cellStyle name="Output Line Items 2" xfId="3699"/>
    <cellStyle name="Output Line Items 2 2" xfId="7292"/>
    <cellStyle name="Output Line Items 2 2 2" xfId="15263"/>
    <cellStyle name="Output Line Items 3" xfId="5460"/>
    <cellStyle name="Output Line Items 3 2" xfId="13482"/>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Percent 4" xfId="7290"/>
    <cellStyle name="Title 2" xfId="818"/>
    <cellStyle name="Title 3" xfId="819"/>
    <cellStyle name="Title 4" xfId="820"/>
    <cellStyle name="Total 2" xfId="821"/>
    <cellStyle name="Total 3" xfId="822"/>
    <cellStyle name="Total 3 2" xfId="6246"/>
    <cellStyle name="Total 4" xfId="823"/>
    <cellStyle name="Total 4 2" xfId="6247"/>
    <cellStyle name="Warning Text 2" xfId="824"/>
    <cellStyle name="Warning Text 3" xfId="825"/>
    <cellStyle name="Warning Text 4" xfId="826"/>
  </cellStyles>
  <dxfs count="0"/>
  <tableStyles count="0" defaultTableStyle="TableStyleMedium9" defaultPivotStyle="PivotStyleLight16"/>
  <colors>
    <mruColors>
      <color rgb="FF1362D7"/>
      <color rgb="FF0000FF"/>
      <color rgb="FF5C39EF"/>
      <color rgb="FF371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10026</xdr:colOff>
      <xdr:row>0</xdr:row>
      <xdr:rowOff>0</xdr:rowOff>
    </xdr:from>
    <xdr:to>
      <xdr:col>1</xdr:col>
      <xdr:colOff>1314951</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10026"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143</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141</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39</xdr:row>
      <xdr:rowOff>0</xdr:rowOff>
    </xdr:from>
    <xdr:to>
      <xdr:col>5</xdr:col>
      <xdr:colOff>1276350</xdr:colOff>
      <xdr:row>39</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IU109"/>
  <sheetViews>
    <sheetView tabSelected="1" zoomScale="94" zoomScaleNormal="94" workbookViewId="0"/>
  </sheetViews>
  <sheetFormatPr defaultColWidth="8.90625" defaultRowHeight="13.2"/>
  <cols>
    <col min="1" max="1" width="2.1796875" style="1076" customWidth="1"/>
    <col min="2" max="2" width="22.81640625" style="1076" customWidth="1"/>
    <col min="3" max="3" width="6" style="1076" customWidth="1"/>
    <col min="4" max="4" width="24.08984375" style="1076" customWidth="1"/>
    <col min="5" max="6" width="12.453125" style="1076" customWidth="1"/>
    <col min="7" max="7" width="4" style="1076" customWidth="1"/>
    <col min="8" max="8" width="12.453125" style="1076" customWidth="1"/>
    <col min="9" max="9" width="12" style="1076" customWidth="1"/>
    <col min="10" max="10" width="3.90625" style="1076" customWidth="1"/>
    <col min="11" max="11" width="28.453125" style="1076" customWidth="1"/>
    <col min="12" max="16384" width="8.90625" style="1076"/>
  </cols>
  <sheetData>
    <row r="1" spans="1:10" s="1073" customFormat="1">
      <c r="A1" s="1071"/>
      <c r="B1" s="1071"/>
      <c r="C1" s="1071"/>
      <c r="D1" s="1071"/>
      <c r="E1" s="1071"/>
      <c r="F1" s="1071"/>
      <c r="G1" s="1071"/>
      <c r="H1" s="1071"/>
      <c r="I1" s="1071"/>
      <c r="J1" s="1072"/>
    </row>
    <row r="2" spans="1:10" s="1073" customFormat="1">
      <c r="A2" s="1071"/>
      <c r="B2" s="1071"/>
      <c r="C2" s="1071"/>
      <c r="D2" s="1071"/>
      <c r="E2" s="1071"/>
      <c r="F2" s="1071"/>
      <c r="G2" s="1071"/>
      <c r="H2" s="1071"/>
      <c r="I2" s="1071"/>
      <c r="J2" s="1072"/>
    </row>
    <row r="3" spans="1:10" s="1073" customFormat="1">
      <c r="A3" s="1071"/>
      <c r="B3" s="1071"/>
      <c r="C3" s="1071"/>
      <c r="D3" s="1071"/>
      <c r="E3" s="1071"/>
      <c r="F3" s="1071"/>
      <c r="G3" s="1071"/>
      <c r="H3" s="1071"/>
      <c r="I3" s="1071"/>
      <c r="J3" s="1072"/>
    </row>
    <row r="4" spans="1:10" s="1073" customFormat="1">
      <c r="A4" s="1071" t="s">
        <v>1059</v>
      </c>
      <c r="B4" s="1071"/>
      <c r="C4" s="1071"/>
      <c r="D4" s="1071"/>
      <c r="E4" s="1071"/>
      <c r="F4" s="1071"/>
      <c r="G4" s="1071"/>
      <c r="H4" s="1071"/>
      <c r="I4" s="1523" t="s">
        <v>1055</v>
      </c>
      <c r="J4" s="1072"/>
    </row>
    <row r="5" spans="1:10" ht="17.399999999999999">
      <c r="A5" s="1071" t="s">
        <v>1057</v>
      </c>
      <c r="B5" s="1074"/>
      <c r="C5" s="1074"/>
      <c r="D5" s="1074"/>
      <c r="E5" s="1074"/>
      <c r="F5" s="1074"/>
      <c r="G5" s="1074"/>
      <c r="H5" s="1074"/>
      <c r="I5" s="1523" t="s">
        <v>1056</v>
      </c>
      <c r="J5" s="1075"/>
    </row>
    <row r="6" spans="1:10" ht="17.399999999999999">
      <c r="A6" s="1071" t="s">
        <v>915</v>
      </c>
      <c r="B6" s="1074"/>
      <c r="C6" s="1074"/>
      <c r="D6" s="1074"/>
      <c r="E6" s="1074"/>
      <c r="F6" s="1074"/>
      <c r="G6" s="1074"/>
      <c r="H6" s="1074"/>
      <c r="I6" s="1074"/>
      <c r="J6" s="1075"/>
    </row>
    <row r="7" spans="1:10" ht="17.399999999999999">
      <c r="A7" s="1071" t="s">
        <v>916</v>
      </c>
      <c r="B7" s="1074"/>
      <c r="C7" s="1074"/>
      <c r="D7" s="1074"/>
      <c r="E7" s="1074"/>
      <c r="F7" s="1074"/>
      <c r="G7" s="1074"/>
      <c r="H7" s="1074"/>
      <c r="I7" s="1074"/>
      <c r="J7" s="1075"/>
    </row>
    <row r="8" spans="1:10" ht="18" thickBot="1">
      <c r="A8" s="1074"/>
      <c r="B8" s="1074"/>
      <c r="C8" s="1074"/>
      <c r="D8" s="1074"/>
      <c r="E8" s="1074"/>
      <c r="F8" s="1074"/>
      <c r="G8" s="1074"/>
      <c r="H8" s="1074"/>
      <c r="I8" s="1074"/>
      <c r="J8" s="1075"/>
    </row>
    <row r="9" spans="1:10" ht="18" thickTop="1">
      <c r="A9" s="1077" t="s">
        <v>917</v>
      </c>
      <c r="B9" s="1078"/>
      <c r="C9" s="1078"/>
      <c r="D9" s="1078"/>
      <c r="E9" s="1078"/>
      <c r="F9" s="1078"/>
      <c r="G9" s="1078"/>
      <c r="H9" s="1078"/>
      <c r="I9" s="1078"/>
      <c r="J9" s="1079"/>
    </row>
    <row r="10" spans="1:10" ht="18" thickBot="1">
      <c r="A10" s="3007" t="s">
        <v>1484</v>
      </c>
      <c r="B10" s="1074"/>
      <c r="C10" s="1074"/>
      <c r="D10" s="1074"/>
      <c r="E10" s="1074"/>
      <c r="F10" s="1074"/>
      <c r="G10" s="1074"/>
      <c r="H10" s="1074"/>
      <c r="I10" s="1074"/>
      <c r="J10" s="1079"/>
    </row>
    <row r="11" spans="1:10" ht="18" thickTop="1">
      <c r="A11" s="1080"/>
      <c r="B11" s="1081"/>
      <c r="C11" s="1081"/>
      <c r="D11" s="1081"/>
      <c r="E11" s="1081"/>
      <c r="F11" s="1081"/>
      <c r="G11" s="1081"/>
      <c r="H11" s="1081"/>
      <c r="I11" s="1081"/>
      <c r="J11" s="1082"/>
    </row>
    <row r="12" spans="1:10">
      <c r="A12" s="1071" t="s">
        <v>918</v>
      </c>
      <c r="B12" s="1074"/>
      <c r="C12" s="1074"/>
      <c r="D12" s="1074"/>
      <c r="E12" s="1071"/>
      <c r="F12" s="1071"/>
      <c r="G12" s="1071"/>
      <c r="H12" s="1074"/>
      <c r="I12" s="1074"/>
      <c r="J12" s="1083"/>
    </row>
    <row r="13" spans="1:10">
      <c r="A13" s="1073"/>
      <c r="J13" s="1083"/>
    </row>
    <row r="14" spans="1:10">
      <c r="A14" s="1073" t="s">
        <v>919</v>
      </c>
      <c r="B14" s="1086"/>
      <c r="J14" s="1084"/>
    </row>
    <row r="15" spans="1:10">
      <c r="A15" s="1073"/>
      <c r="B15" s="1192"/>
      <c r="J15" s="1084"/>
    </row>
    <row r="16" spans="1:10">
      <c r="A16" s="1073"/>
      <c r="B16" s="2624" t="s">
        <v>952</v>
      </c>
      <c r="D16" s="1085" t="s">
        <v>920</v>
      </c>
      <c r="F16" s="1086"/>
      <c r="J16" s="1193">
        <v>2</v>
      </c>
    </row>
    <row r="17" spans="1:255">
      <c r="A17" s="1073"/>
      <c r="B17" s="2624" t="s">
        <v>953</v>
      </c>
      <c r="D17" s="1076" t="s">
        <v>1321</v>
      </c>
      <c r="E17" s="1088"/>
      <c r="F17" s="1089"/>
      <c r="G17" s="1088"/>
      <c r="H17" s="1088"/>
      <c r="I17" s="1088"/>
      <c r="J17" s="1193">
        <v>3</v>
      </c>
      <c r="M17" s="1090"/>
    </row>
    <row r="18" spans="1:255">
      <c r="A18" s="1091"/>
      <c r="B18" s="2619" t="s">
        <v>954</v>
      </c>
      <c r="D18" s="1093" t="s">
        <v>1101</v>
      </c>
      <c r="E18" s="1085"/>
      <c r="F18" s="1085"/>
      <c r="G18" s="1085"/>
      <c r="H18" s="1085"/>
      <c r="I18" s="1085"/>
      <c r="J18" s="1193">
        <v>4</v>
      </c>
    </row>
    <row r="19" spans="1:255">
      <c r="A19" s="1073"/>
      <c r="B19" s="2619" t="s">
        <v>955</v>
      </c>
      <c r="D19" s="1092" t="s">
        <v>921</v>
      </c>
      <c r="E19" s="1092"/>
      <c r="F19" s="1092"/>
      <c r="G19" s="1092"/>
      <c r="H19" s="1092"/>
      <c r="I19" s="1092"/>
      <c r="J19" s="1193">
        <v>5</v>
      </c>
      <c r="M19" s="1090"/>
    </row>
    <row r="20" spans="1:255">
      <c r="A20" s="1073"/>
      <c r="B20" s="2619" t="s">
        <v>956</v>
      </c>
      <c r="D20" s="1092" t="s">
        <v>922</v>
      </c>
      <c r="E20" s="1092"/>
      <c r="F20" s="1092"/>
      <c r="G20" s="1092"/>
      <c r="H20" s="1092"/>
      <c r="I20" s="1092"/>
      <c r="J20" s="1193">
        <v>6</v>
      </c>
      <c r="M20" s="1090"/>
    </row>
    <row r="21" spans="1:255">
      <c r="A21" s="1073"/>
      <c r="B21" s="2619" t="s">
        <v>1282</v>
      </c>
      <c r="D21" s="1093" t="s">
        <v>1322</v>
      </c>
      <c r="E21" s="1092"/>
      <c r="F21" s="1092"/>
      <c r="G21" s="1092"/>
      <c r="H21" s="1092"/>
      <c r="I21" s="1092"/>
      <c r="J21" s="1193">
        <v>7</v>
      </c>
      <c r="M21" s="1090"/>
    </row>
    <row r="22" spans="1:255">
      <c r="A22" s="1073"/>
      <c r="B22" s="2619" t="s">
        <v>1283</v>
      </c>
      <c r="D22" s="1093" t="s">
        <v>1323</v>
      </c>
      <c r="E22" s="1092"/>
      <c r="F22" s="1092"/>
      <c r="G22" s="1092"/>
      <c r="H22" s="1092"/>
      <c r="I22" s="1092"/>
      <c r="J22" s="1193">
        <v>8</v>
      </c>
      <c r="M22" s="1090"/>
    </row>
    <row r="23" spans="1:255">
      <c r="A23" s="1073"/>
      <c r="B23" s="2619" t="s">
        <v>1284</v>
      </c>
      <c r="D23" s="1093" t="s">
        <v>1330</v>
      </c>
      <c r="E23" s="1092"/>
      <c r="F23" s="1092"/>
      <c r="G23" s="1092"/>
      <c r="H23" s="1092"/>
      <c r="I23" s="1092"/>
      <c r="J23" s="1193">
        <v>9</v>
      </c>
      <c r="M23" s="1090"/>
    </row>
    <row r="24" spans="1:255">
      <c r="A24" s="1073"/>
      <c r="B24" s="2619" t="s">
        <v>1285</v>
      </c>
      <c r="D24" s="1093" t="s">
        <v>1324</v>
      </c>
      <c r="E24" s="1092"/>
      <c r="F24" s="1092"/>
      <c r="G24" s="1092"/>
      <c r="H24" s="1092"/>
      <c r="I24" s="1092"/>
      <c r="J24" s="1193">
        <v>10</v>
      </c>
      <c r="M24" s="1090"/>
    </row>
    <row r="25" spans="1:255">
      <c r="A25" s="1073"/>
      <c r="B25" s="2619" t="s">
        <v>1286</v>
      </c>
      <c r="D25" s="1093" t="s">
        <v>1325</v>
      </c>
      <c r="E25" s="1092"/>
      <c r="F25" s="1092"/>
      <c r="G25" s="1092"/>
      <c r="H25" s="1092"/>
      <c r="I25" s="1092"/>
      <c r="J25" s="1193">
        <v>11</v>
      </c>
      <c r="M25" s="1090"/>
    </row>
    <row r="26" spans="1:255">
      <c r="A26" s="1073"/>
      <c r="B26" s="2619" t="s">
        <v>1287</v>
      </c>
      <c r="D26" s="1093" t="s">
        <v>1326</v>
      </c>
      <c r="E26" s="1092"/>
      <c r="F26" s="1092"/>
      <c r="G26" s="1092"/>
      <c r="H26" s="1092"/>
      <c r="I26" s="1092"/>
      <c r="J26" s="1193">
        <v>12</v>
      </c>
      <c r="M26" s="1090"/>
    </row>
    <row r="27" spans="1:255">
      <c r="A27" s="1073"/>
      <c r="B27" s="2619" t="s">
        <v>1288</v>
      </c>
      <c r="D27" s="1093" t="s">
        <v>1327</v>
      </c>
      <c r="E27" s="1092"/>
      <c r="F27" s="1092"/>
      <c r="G27" s="1092"/>
      <c r="H27" s="1092"/>
      <c r="I27" s="1092"/>
      <c r="J27" s="1193">
        <v>13</v>
      </c>
      <c r="M27" s="1090"/>
    </row>
    <row r="28" spans="1:255">
      <c r="A28" s="1073"/>
      <c r="B28" s="2619" t="s">
        <v>1289</v>
      </c>
      <c r="D28" s="1093" t="s">
        <v>1328</v>
      </c>
      <c r="E28" s="1092"/>
      <c r="F28" s="1092"/>
      <c r="G28" s="1092"/>
      <c r="H28" s="1092"/>
      <c r="I28" s="1092"/>
      <c r="J28" s="1193">
        <v>14</v>
      </c>
      <c r="M28" s="1090"/>
    </row>
    <row r="29" spans="1:255">
      <c r="A29" s="1073"/>
      <c r="B29" s="2619" t="s">
        <v>957</v>
      </c>
      <c r="D29" s="1094" t="s">
        <v>923</v>
      </c>
      <c r="E29" s="1092"/>
      <c r="F29" s="1092"/>
      <c r="G29" s="1092"/>
      <c r="H29" s="1092"/>
      <c r="I29" s="1092"/>
      <c r="J29" s="1193">
        <v>15</v>
      </c>
      <c r="M29" s="1090"/>
    </row>
    <row r="30" spans="1:255">
      <c r="A30" s="1073"/>
      <c r="B30" s="2624" t="s">
        <v>978</v>
      </c>
      <c r="D30" s="1093" t="s">
        <v>1329</v>
      </c>
      <c r="E30" s="1093"/>
      <c r="F30" s="1093"/>
      <c r="G30" s="1093"/>
      <c r="H30" s="1093"/>
      <c r="I30" s="1093"/>
      <c r="J30" s="1193">
        <v>16</v>
      </c>
      <c r="K30" s="1073"/>
      <c r="L30" s="1073"/>
      <c r="M30" s="1073"/>
      <c r="N30" s="1073"/>
      <c r="O30" s="1073"/>
      <c r="P30" s="1073"/>
      <c r="Q30" s="1073"/>
      <c r="R30" s="1073"/>
      <c r="S30" s="1073"/>
      <c r="T30" s="1073"/>
      <c r="U30" s="1073"/>
      <c r="V30" s="1073"/>
      <c r="W30" s="1073"/>
      <c r="X30" s="1073"/>
      <c r="Y30" s="1073"/>
      <c r="Z30" s="1073"/>
      <c r="AA30" s="1073"/>
      <c r="AB30" s="1073"/>
      <c r="AC30" s="1073"/>
      <c r="AD30" s="1073"/>
      <c r="AE30" s="1073"/>
      <c r="AF30" s="1073"/>
      <c r="AG30" s="1073"/>
      <c r="AH30" s="1073"/>
      <c r="AI30" s="1073"/>
      <c r="AJ30" s="1073"/>
      <c r="AK30" s="1073"/>
      <c r="AL30" s="1073"/>
      <c r="AM30" s="1073"/>
      <c r="AN30" s="1073"/>
      <c r="AO30" s="1073"/>
      <c r="AP30" s="1073"/>
      <c r="AQ30" s="1073"/>
      <c r="AR30" s="1073"/>
      <c r="AS30" s="1073"/>
      <c r="AT30" s="1073"/>
      <c r="AU30" s="1073"/>
      <c r="AV30" s="1073"/>
      <c r="AW30" s="1073"/>
      <c r="AX30" s="1073"/>
      <c r="AY30" s="1073"/>
      <c r="AZ30" s="1073"/>
      <c r="BA30" s="1073"/>
      <c r="BB30" s="1073"/>
      <c r="BC30" s="1073"/>
      <c r="BD30" s="1073"/>
      <c r="BE30" s="1073"/>
      <c r="BF30" s="1073"/>
      <c r="BG30" s="1073"/>
      <c r="BH30" s="1073"/>
      <c r="BI30" s="1073"/>
      <c r="BJ30" s="1073"/>
      <c r="BK30" s="1073"/>
      <c r="BL30" s="1073"/>
      <c r="BM30" s="1073"/>
      <c r="BN30" s="1073"/>
      <c r="BO30" s="1073"/>
      <c r="BP30" s="1073"/>
      <c r="BQ30" s="1073"/>
      <c r="BR30" s="1073"/>
      <c r="BS30" s="1073"/>
      <c r="BT30" s="1073"/>
      <c r="BU30" s="1073"/>
      <c r="BV30" s="1073"/>
      <c r="BW30" s="1073"/>
      <c r="BX30" s="1073"/>
      <c r="BY30" s="1073"/>
      <c r="BZ30" s="1073"/>
      <c r="CA30" s="1073"/>
      <c r="CB30" s="1073"/>
      <c r="CC30" s="1073"/>
      <c r="CD30" s="1073"/>
      <c r="CE30" s="1073"/>
      <c r="CF30" s="1073"/>
      <c r="CG30" s="1073"/>
      <c r="CH30" s="1073"/>
      <c r="CI30" s="1073"/>
      <c r="CJ30" s="1073"/>
      <c r="CK30" s="1073"/>
      <c r="CL30" s="1073"/>
      <c r="CM30" s="1073"/>
      <c r="CN30" s="1073"/>
      <c r="CO30" s="1073"/>
      <c r="CP30" s="1073"/>
      <c r="CQ30" s="1073"/>
      <c r="CR30" s="1073"/>
      <c r="CS30" s="1073"/>
      <c r="CT30" s="1073"/>
      <c r="CU30" s="1073"/>
      <c r="CV30" s="1073"/>
      <c r="CW30" s="1073"/>
      <c r="CX30" s="1073"/>
      <c r="CY30" s="1073"/>
      <c r="CZ30" s="1073"/>
      <c r="DA30" s="1073"/>
      <c r="DB30" s="1073"/>
      <c r="DC30" s="1073"/>
      <c r="DD30" s="1073"/>
      <c r="DE30" s="1073"/>
      <c r="DF30" s="1073"/>
      <c r="DG30" s="1073"/>
      <c r="DH30" s="1073"/>
      <c r="DI30" s="1073"/>
      <c r="DJ30" s="1073"/>
      <c r="DK30" s="1073"/>
      <c r="DL30" s="1073"/>
      <c r="DM30" s="1073"/>
      <c r="DN30" s="1073"/>
      <c r="DO30" s="1073"/>
      <c r="DP30" s="1073"/>
      <c r="DQ30" s="1073"/>
      <c r="DR30" s="1073"/>
      <c r="DS30" s="1073"/>
      <c r="DT30" s="1073"/>
      <c r="DU30" s="1073"/>
      <c r="DV30" s="1073"/>
      <c r="DW30" s="1073"/>
      <c r="DX30" s="1073"/>
      <c r="DY30" s="1073"/>
      <c r="DZ30" s="1073"/>
      <c r="EA30" s="1073"/>
      <c r="EB30" s="1073"/>
      <c r="EC30" s="1073"/>
      <c r="ED30" s="1073"/>
      <c r="EE30" s="1073"/>
      <c r="EF30" s="1073"/>
      <c r="EG30" s="1073"/>
      <c r="EH30" s="1073"/>
      <c r="EI30" s="1073"/>
      <c r="EJ30" s="1073"/>
      <c r="EK30" s="1073"/>
      <c r="EL30" s="1073"/>
      <c r="EM30" s="1073"/>
      <c r="EN30" s="1073"/>
      <c r="EO30" s="1073"/>
      <c r="EP30" s="1073"/>
      <c r="EQ30" s="1073"/>
      <c r="ER30" s="1073"/>
      <c r="ES30" s="1073"/>
      <c r="ET30" s="1073"/>
      <c r="EU30" s="1073"/>
      <c r="EV30" s="1073"/>
      <c r="EW30" s="1073"/>
      <c r="EX30" s="1073"/>
      <c r="EY30" s="1073"/>
      <c r="EZ30" s="1073"/>
      <c r="FA30" s="1073"/>
      <c r="FB30" s="1073"/>
      <c r="FC30" s="1073"/>
      <c r="FD30" s="1073"/>
      <c r="FE30" s="1073"/>
      <c r="FF30" s="1073"/>
      <c r="FG30" s="1073"/>
      <c r="FH30" s="1073"/>
      <c r="FI30" s="1073"/>
      <c r="FJ30" s="1073"/>
      <c r="FK30" s="1073"/>
      <c r="FL30" s="1073"/>
      <c r="FM30" s="1073"/>
      <c r="FN30" s="1073"/>
      <c r="FO30" s="1073"/>
      <c r="FP30" s="1073"/>
      <c r="FQ30" s="1073"/>
      <c r="FR30" s="1073"/>
      <c r="FS30" s="1073"/>
      <c r="FT30" s="1073"/>
      <c r="FU30" s="1073"/>
      <c r="FV30" s="1073"/>
      <c r="FW30" s="1073"/>
      <c r="FX30" s="1073"/>
      <c r="FY30" s="1073"/>
      <c r="FZ30" s="1073"/>
      <c r="GA30" s="1073"/>
      <c r="GB30" s="1073"/>
      <c r="GC30" s="1073"/>
      <c r="GD30" s="1073"/>
      <c r="GE30" s="1073"/>
      <c r="GF30" s="1073"/>
      <c r="GG30" s="1073"/>
      <c r="GH30" s="1073"/>
      <c r="GI30" s="1073"/>
      <c r="GJ30" s="1073"/>
      <c r="GK30" s="1073"/>
      <c r="GL30" s="1073"/>
      <c r="GM30" s="1073"/>
      <c r="GN30" s="1073"/>
      <c r="GO30" s="1073"/>
      <c r="GP30" s="1073"/>
      <c r="GQ30" s="1073"/>
      <c r="GR30" s="1073"/>
      <c r="GS30" s="1073"/>
      <c r="GT30" s="1073"/>
      <c r="GU30" s="1073"/>
      <c r="GV30" s="1073"/>
      <c r="GW30" s="1073"/>
      <c r="GX30" s="1073"/>
      <c r="GY30" s="1073"/>
      <c r="GZ30" s="1073"/>
      <c r="HA30" s="1073"/>
      <c r="HB30" s="1073"/>
      <c r="HC30" s="1073"/>
      <c r="HD30" s="1073"/>
      <c r="HE30" s="1073"/>
      <c r="HF30" s="1073"/>
      <c r="HG30" s="1073"/>
      <c r="HH30" s="1073"/>
      <c r="HI30" s="1073"/>
      <c r="HJ30" s="1073"/>
      <c r="HK30" s="1073"/>
      <c r="HL30" s="1073"/>
      <c r="HM30" s="1073"/>
      <c r="HN30" s="1073"/>
      <c r="HO30" s="1073"/>
      <c r="HP30" s="1073"/>
      <c r="HQ30" s="1073"/>
      <c r="HR30" s="1073"/>
      <c r="HS30" s="1073"/>
      <c r="HT30" s="1073"/>
      <c r="HU30" s="1073"/>
      <c r="HV30" s="1073"/>
      <c r="HW30" s="1073"/>
      <c r="HX30" s="1073"/>
      <c r="HY30" s="1073"/>
      <c r="HZ30" s="1073"/>
      <c r="IA30" s="1073"/>
      <c r="IB30" s="1073"/>
      <c r="IC30" s="1073"/>
      <c r="ID30" s="1073"/>
      <c r="IE30" s="1073"/>
      <c r="IF30" s="1073"/>
      <c r="IG30" s="1073"/>
      <c r="IH30" s="1073"/>
      <c r="II30" s="1073"/>
      <c r="IJ30" s="1073"/>
      <c r="IK30" s="1073"/>
      <c r="IL30" s="1073"/>
      <c r="IM30" s="1073"/>
      <c r="IN30" s="1073"/>
      <c r="IO30" s="1073"/>
      <c r="IP30" s="1073"/>
      <c r="IQ30" s="1073"/>
      <c r="IR30" s="1073"/>
      <c r="IS30" s="1073"/>
      <c r="IT30" s="1073"/>
      <c r="IU30" s="1073"/>
    </row>
    <row r="31" spans="1:255">
      <c r="A31" s="1073"/>
      <c r="B31" s="2619" t="s">
        <v>1290</v>
      </c>
      <c r="D31" s="1093" t="s">
        <v>1321</v>
      </c>
      <c r="E31" s="1088"/>
      <c r="F31" s="1088"/>
      <c r="G31" s="1088"/>
      <c r="H31" s="1088"/>
      <c r="I31" s="1088"/>
      <c r="J31" s="1193">
        <v>18</v>
      </c>
      <c r="K31" s="1073"/>
      <c r="L31" s="1073"/>
      <c r="M31" s="1073"/>
      <c r="N31" s="1073"/>
      <c r="O31" s="1073"/>
      <c r="P31" s="1073"/>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1073"/>
      <c r="AL31" s="1073"/>
      <c r="AM31" s="1073"/>
      <c r="AN31" s="1073"/>
      <c r="AO31" s="1073"/>
      <c r="AP31" s="1073"/>
      <c r="AQ31" s="1073"/>
      <c r="AR31" s="1073"/>
      <c r="AS31" s="1073"/>
      <c r="AT31" s="1073"/>
      <c r="AU31" s="1073"/>
      <c r="AV31" s="1073"/>
      <c r="AW31" s="1073"/>
      <c r="AX31" s="1073"/>
      <c r="AY31" s="1073"/>
      <c r="AZ31" s="1073"/>
      <c r="BA31" s="1073"/>
      <c r="BB31" s="1073"/>
      <c r="BC31" s="1073"/>
      <c r="BD31" s="1073"/>
      <c r="BE31" s="1073"/>
      <c r="BF31" s="1073"/>
      <c r="BG31" s="1073"/>
      <c r="BH31" s="1073"/>
      <c r="BI31" s="1073"/>
      <c r="BJ31" s="1073"/>
      <c r="BK31" s="1073"/>
      <c r="BL31" s="1073"/>
      <c r="BM31" s="1073"/>
      <c r="BN31" s="1073"/>
      <c r="BO31" s="1073"/>
      <c r="BP31" s="1073"/>
      <c r="BQ31" s="1073"/>
      <c r="BR31" s="1073"/>
      <c r="BS31" s="1073"/>
      <c r="BT31" s="1073"/>
      <c r="BU31" s="1073"/>
      <c r="BV31" s="1073"/>
      <c r="BW31" s="1073"/>
      <c r="BX31" s="1073"/>
      <c r="BY31" s="1073"/>
      <c r="BZ31" s="1073"/>
      <c r="CA31" s="1073"/>
      <c r="CB31" s="1073"/>
      <c r="CC31" s="1073"/>
      <c r="CD31" s="1073"/>
      <c r="CE31" s="1073"/>
      <c r="CF31" s="1073"/>
      <c r="CG31" s="1073"/>
      <c r="CH31" s="1073"/>
      <c r="CI31" s="1073"/>
      <c r="CJ31" s="1073"/>
      <c r="CK31" s="1073"/>
      <c r="CL31" s="1073"/>
      <c r="CM31" s="1073"/>
      <c r="CN31" s="1073"/>
      <c r="CO31" s="1073"/>
      <c r="CP31" s="1073"/>
      <c r="CQ31" s="1073"/>
      <c r="CR31" s="1073"/>
      <c r="CS31" s="1073"/>
      <c r="CT31" s="1073"/>
      <c r="CU31" s="1073"/>
      <c r="CV31" s="1073"/>
      <c r="CW31" s="1073"/>
      <c r="CX31" s="1073"/>
      <c r="CY31" s="1073"/>
      <c r="CZ31" s="1073"/>
      <c r="DA31" s="1073"/>
      <c r="DB31" s="1073"/>
      <c r="DC31" s="1073"/>
      <c r="DD31" s="1073"/>
      <c r="DE31" s="1073"/>
      <c r="DF31" s="1073"/>
      <c r="DG31" s="1073"/>
      <c r="DH31" s="1073"/>
      <c r="DI31" s="1073"/>
      <c r="DJ31" s="1073"/>
      <c r="DK31" s="1073"/>
      <c r="DL31" s="1073"/>
      <c r="DM31" s="1073"/>
      <c r="DN31" s="1073"/>
      <c r="DO31" s="1073"/>
      <c r="DP31" s="1073"/>
      <c r="DQ31" s="1073"/>
      <c r="DR31" s="1073"/>
      <c r="DS31" s="1073"/>
      <c r="DT31" s="1073"/>
      <c r="DU31" s="1073"/>
      <c r="DV31" s="1073"/>
      <c r="DW31" s="1073"/>
      <c r="DX31" s="1073"/>
      <c r="DY31" s="1073"/>
      <c r="DZ31" s="1073"/>
      <c r="EA31" s="1073"/>
      <c r="EB31" s="1073"/>
      <c r="EC31" s="1073"/>
      <c r="ED31" s="1073"/>
      <c r="EE31" s="1073"/>
      <c r="EF31" s="1073"/>
      <c r="EG31" s="1073"/>
      <c r="EH31" s="1073"/>
      <c r="EI31" s="1073"/>
      <c r="EJ31" s="1073"/>
      <c r="EK31" s="1073"/>
      <c r="EL31" s="1073"/>
      <c r="EM31" s="1073"/>
      <c r="EN31" s="1073"/>
      <c r="EO31" s="1073"/>
      <c r="EP31" s="1073"/>
      <c r="EQ31" s="1073"/>
      <c r="ER31" s="1073"/>
      <c r="ES31" s="1073"/>
      <c r="ET31" s="1073"/>
      <c r="EU31" s="1073"/>
      <c r="EV31" s="1073"/>
      <c r="EW31" s="1073"/>
      <c r="EX31" s="1073"/>
      <c r="EY31" s="1073"/>
      <c r="EZ31" s="1073"/>
      <c r="FA31" s="1073"/>
      <c r="FB31" s="1073"/>
      <c r="FC31" s="1073"/>
      <c r="FD31" s="1073"/>
      <c r="FE31" s="1073"/>
      <c r="FF31" s="1073"/>
      <c r="FG31" s="1073"/>
      <c r="FH31" s="1073"/>
      <c r="FI31" s="1073"/>
      <c r="FJ31" s="1073"/>
      <c r="FK31" s="1073"/>
      <c r="FL31" s="1073"/>
      <c r="FM31" s="1073"/>
      <c r="FN31" s="1073"/>
      <c r="FO31" s="1073"/>
      <c r="FP31" s="1073"/>
      <c r="FQ31" s="1073"/>
      <c r="FR31" s="1073"/>
      <c r="FS31" s="1073"/>
      <c r="FT31" s="1073"/>
      <c r="FU31" s="1073"/>
      <c r="FV31" s="1073"/>
      <c r="FW31" s="1073"/>
      <c r="FX31" s="1073"/>
      <c r="FY31" s="1073"/>
      <c r="FZ31" s="1073"/>
      <c r="GA31" s="1073"/>
      <c r="GB31" s="1073"/>
      <c r="GC31" s="1073"/>
      <c r="GD31" s="1073"/>
      <c r="GE31" s="1073"/>
      <c r="GF31" s="1073"/>
      <c r="GG31" s="1073"/>
      <c r="GH31" s="1073"/>
      <c r="GI31" s="1073"/>
      <c r="GJ31" s="1073"/>
      <c r="GK31" s="1073"/>
      <c r="GL31" s="1073"/>
      <c r="GM31" s="1073"/>
      <c r="GN31" s="1073"/>
      <c r="GO31" s="1073"/>
      <c r="GP31" s="1073"/>
      <c r="GQ31" s="1073"/>
      <c r="GR31" s="1073"/>
      <c r="GS31" s="1073"/>
      <c r="GT31" s="1073"/>
      <c r="GU31" s="1073"/>
      <c r="GV31" s="1073"/>
      <c r="GW31" s="1073"/>
      <c r="GX31" s="1073"/>
      <c r="GY31" s="1073"/>
      <c r="GZ31" s="1073"/>
      <c r="HA31" s="1073"/>
      <c r="HB31" s="1073"/>
      <c r="HC31" s="1073"/>
      <c r="HD31" s="1073"/>
      <c r="HE31" s="1073"/>
      <c r="HF31" s="1073"/>
      <c r="HG31" s="1073"/>
      <c r="HH31" s="1073"/>
      <c r="HI31" s="1073"/>
      <c r="HJ31" s="1073"/>
      <c r="HK31" s="1073"/>
      <c r="HL31" s="1073"/>
      <c r="HM31" s="1073"/>
      <c r="HN31" s="1073"/>
      <c r="HO31" s="1073"/>
      <c r="HP31" s="1073"/>
      <c r="HQ31" s="1073"/>
      <c r="HR31" s="1073"/>
      <c r="HS31" s="1073"/>
      <c r="HT31" s="1073"/>
      <c r="HU31" s="1073"/>
      <c r="HV31" s="1073"/>
      <c r="HW31" s="1073"/>
      <c r="HX31" s="1073"/>
      <c r="HY31" s="1073"/>
      <c r="HZ31" s="1073"/>
      <c r="IA31" s="1073"/>
      <c r="IB31" s="1073"/>
      <c r="IC31" s="1073"/>
      <c r="ID31" s="1073"/>
      <c r="IE31" s="1073"/>
      <c r="IF31" s="1073"/>
      <c r="IG31" s="1073"/>
      <c r="IH31" s="1073"/>
      <c r="II31" s="1073"/>
      <c r="IJ31" s="1073"/>
      <c r="IK31" s="1073"/>
      <c r="IL31" s="1073"/>
      <c r="IM31" s="1073"/>
      <c r="IN31" s="1073"/>
      <c r="IO31" s="1073"/>
      <c r="IP31" s="1073"/>
      <c r="IQ31" s="1073"/>
      <c r="IR31" s="1073"/>
      <c r="IS31" s="1073"/>
      <c r="IT31" s="1073"/>
      <c r="IU31" s="1073"/>
    </row>
    <row r="32" spans="1:255">
      <c r="A32" s="1073"/>
      <c r="B32" s="2619"/>
      <c r="D32" s="1095"/>
      <c r="E32" s="1095"/>
      <c r="F32" s="1095"/>
      <c r="G32" s="1095"/>
      <c r="H32" s="1095"/>
      <c r="I32" s="1095"/>
      <c r="J32" s="1193"/>
      <c r="K32" s="1073"/>
      <c r="L32" s="1073"/>
      <c r="M32" s="1073"/>
      <c r="N32" s="1073"/>
      <c r="O32" s="1073"/>
      <c r="P32" s="1073"/>
      <c r="Q32" s="1073"/>
      <c r="R32" s="1073"/>
      <c r="S32" s="1073"/>
      <c r="T32" s="1073"/>
      <c r="U32" s="1073"/>
      <c r="V32" s="1073"/>
      <c r="W32" s="1073"/>
      <c r="X32" s="1073"/>
      <c r="Y32" s="1073"/>
      <c r="Z32" s="1073"/>
      <c r="AA32" s="1073"/>
      <c r="AB32" s="1073"/>
      <c r="AC32" s="1073"/>
      <c r="AD32" s="1073"/>
      <c r="AE32" s="1073"/>
      <c r="AF32" s="1073"/>
      <c r="AG32" s="1073"/>
      <c r="AH32" s="1073"/>
      <c r="AI32" s="1073"/>
      <c r="AJ32" s="1073"/>
      <c r="AK32" s="1073"/>
      <c r="AL32" s="1073"/>
      <c r="AM32" s="1073"/>
      <c r="AN32" s="1073"/>
      <c r="AO32" s="1073"/>
      <c r="AP32" s="1073"/>
      <c r="AQ32" s="1073"/>
      <c r="AR32" s="1073"/>
      <c r="AS32" s="1073"/>
      <c r="AT32" s="1073"/>
      <c r="AU32" s="1073"/>
      <c r="AV32" s="1073"/>
      <c r="AW32" s="1073"/>
      <c r="AX32" s="1073"/>
      <c r="AY32" s="1073"/>
      <c r="AZ32" s="1073"/>
      <c r="BA32" s="1073"/>
      <c r="BB32" s="1073"/>
      <c r="BC32" s="1073"/>
      <c r="BD32" s="1073"/>
      <c r="BE32" s="1073"/>
      <c r="BF32" s="1073"/>
      <c r="BG32" s="1073"/>
      <c r="BH32" s="1073"/>
      <c r="BI32" s="1073"/>
      <c r="BJ32" s="1073"/>
      <c r="BK32" s="1073"/>
      <c r="BL32" s="1073"/>
      <c r="BM32" s="1073"/>
      <c r="BN32" s="1073"/>
      <c r="BO32" s="1073"/>
      <c r="BP32" s="1073"/>
      <c r="BQ32" s="1073"/>
      <c r="BR32" s="1073"/>
      <c r="BS32" s="1073"/>
      <c r="BT32" s="1073"/>
      <c r="BU32" s="1073"/>
      <c r="BV32" s="1073"/>
      <c r="BW32" s="1073"/>
      <c r="BX32" s="1073"/>
      <c r="BY32" s="1073"/>
      <c r="BZ32" s="1073"/>
      <c r="CA32" s="1073"/>
      <c r="CB32" s="1073"/>
      <c r="CC32" s="1073"/>
      <c r="CD32" s="1073"/>
      <c r="CE32" s="1073"/>
      <c r="CF32" s="1073"/>
      <c r="CG32" s="1073"/>
      <c r="CH32" s="1073"/>
      <c r="CI32" s="1073"/>
      <c r="CJ32" s="1073"/>
      <c r="CK32" s="1073"/>
      <c r="CL32" s="1073"/>
      <c r="CM32" s="1073"/>
      <c r="CN32" s="1073"/>
      <c r="CO32" s="1073"/>
      <c r="CP32" s="1073"/>
      <c r="CQ32" s="1073"/>
      <c r="CR32" s="1073"/>
      <c r="CS32" s="1073"/>
      <c r="CT32" s="1073"/>
      <c r="CU32" s="1073"/>
      <c r="CV32" s="1073"/>
      <c r="CW32" s="1073"/>
      <c r="CX32" s="1073"/>
      <c r="CY32" s="1073"/>
      <c r="CZ32" s="1073"/>
      <c r="DA32" s="1073"/>
      <c r="DB32" s="1073"/>
      <c r="DC32" s="1073"/>
      <c r="DD32" s="1073"/>
      <c r="DE32" s="1073"/>
      <c r="DF32" s="1073"/>
      <c r="DG32" s="1073"/>
      <c r="DH32" s="1073"/>
      <c r="DI32" s="1073"/>
      <c r="DJ32" s="1073"/>
      <c r="DK32" s="1073"/>
      <c r="DL32" s="1073"/>
      <c r="DM32" s="1073"/>
      <c r="DN32" s="1073"/>
      <c r="DO32" s="1073"/>
      <c r="DP32" s="1073"/>
      <c r="DQ32" s="1073"/>
      <c r="DR32" s="1073"/>
      <c r="DS32" s="1073"/>
      <c r="DT32" s="1073"/>
      <c r="DU32" s="1073"/>
      <c r="DV32" s="1073"/>
      <c r="DW32" s="1073"/>
      <c r="DX32" s="1073"/>
      <c r="DY32" s="1073"/>
      <c r="DZ32" s="1073"/>
      <c r="EA32" s="1073"/>
      <c r="EB32" s="1073"/>
      <c r="EC32" s="1073"/>
      <c r="ED32" s="1073"/>
      <c r="EE32" s="1073"/>
      <c r="EF32" s="1073"/>
      <c r="EG32" s="1073"/>
      <c r="EH32" s="1073"/>
      <c r="EI32" s="1073"/>
      <c r="EJ32" s="1073"/>
      <c r="EK32" s="1073"/>
      <c r="EL32" s="1073"/>
      <c r="EM32" s="1073"/>
      <c r="EN32" s="1073"/>
      <c r="EO32" s="1073"/>
      <c r="EP32" s="1073"/>
      <c r="EQ32" s="1073"/>
      <c r="ER32" s="1073"/>
      <c r="ES32" s="1073"/>
      <c r="ET32" s="1073"/>
      <c r="EU32" s="1073"/>
      <c r="EV32" s="1073"/>
      <c r="EW32" s="1073"/>
      <c r="EX32" s="1073"/>
      <c r="EY32" s="1073"/>
      <c r="EZ32" s="1073"/>
      <c r="FA32" s="1073"/>
      <c r="FB32" s="1073"/>
      <c r="FC32" s="1073"/>
      <c r="FD32" s="1073"/>
      <c r="FE32" s="1073"/>
      <c r="FF32" s="1073"/>
      <c r="FG32" s="1073"/>
      <c r="FH32" s="1073"/>
      <c r="FI32" s="1073"/>
      <c r="FJ32" s="1073"/>
      <c r="FK32" s="1073"/>
      <c r="FL32" s="1073"/>
      <c r="FM32" s="1073"/>
      <c r="FN32" s="1073"/>
      <c r="FO32" s="1073"/>
      <c r="FP32" s="1073"/>
      <c r="FQ32" s="1073"/>
      <c r="FR32" s="1073"/>
      <c r="FS32" s="1073"/>
      <c r="FT32" s="1073"/>
      <c r="FU32" s="1073"/>
      <c r="FV32" s="1073"/>
      <c r="FW32" s="1073"/>
      <c r="FX32" s="1073"/>
      <c r="FY32" s="1073"/>
      <c r="FZ32" s="1073"/>
      <c r="GA32" s="1073"/>
      <c r="GB32" s="1073"/>
      <c r="GC32" s="1073"/>
      <c r="GD32" s="1073"/>
      <c r="GE32" s="1073"/>
      <c r="GF32" s="1073"/>
      <c r="GG32" s="1073"/>
      <c r="GH32" s="1073"/>
      <c r="GI32" s="1073"/>
      <c r="GJ32" s="1073"/>
      <c r="GK32" s="1073"/>
      <c r="GL32" s="1073"/>
      <c r="GM32" s="1073"/>
      <c r="GN32" s="1073"/>
      <c r="GO32" s="1073"/>
      <c r="GP32" s="1073"/>
      <c r="GQ32" s="1073"/>
      <c r="GR32" s="1073"/>
      <c r="GS32" s="1073"/>
      <c r="GT32" s="1073"/>
      <c r="GU32" s="1073"/>
      <c r="GV32" s="1073"/>
      <c r="GW32" s="1073"/>
      <c r="GX32" s="1073"/>
      <c r="GY32" s="1073"/>
      <c r="GZ32" s="1073"/>
      <c r="HA32" s="1073"/>
      <c r="HB32" s="1073"/>
      <c r="HC32" s="1073"/>
      <c r="HD32" s="1073"/>
      <c r="HE32" s="1073"/>
      <c r="HF32" s="1073"/>
      <c r="HG32" s="1073"/>
      <c r="HH32" s="1073"/>
      <c r="HI32" s="1073"/>
      <c r="HJ32" s="1073"/>
      <c r="HK32" s="1073"/>
      <c r="HL32" s="1073"/>
      <c r="HM32" s="1073"/>
      <c r="HN32" s="1073"/>
      <c r="HO32" s="1073"/>
      <c r="HP32" s="1073"/>
      <c r="HQ32" s="1073"/>
      <c r="HR32" s="1073"/>
      <c r="HS32" s="1073"/>
      <c r="HT32" s="1073"/>
      <c r="HU32" s="1073"/>
      <c r="HV32" s="1073"/>
      <c r="HW32" s="1073"/>
      <c r="HX32" s="1073"/>
      <c r="HY32" s="1073"/>
      <c r="HZ32" s="1073"/>
      <c r="IA32" s="1073"/>
      <c r="IB32" s="1073"/>
      <c r="IC32" s="1073"/>
      <c r="ID32" s="1073"/>
      <c r="IE32" s="1073"/>
      <c r="IF32" s="1073"/>
      <c r="IG32" s="1073"/>
      <c r="IH32" s="1073"/>
      <c r="II32" s="1073"/>
      <c r="IJ32" s="1073"/>
      <c r="IK32" s="1073"/>
      <c r="IL32" s="1073"/>
      <c r="IM32" s="1073"/>
      <c r="IN32" s="1073"/>
      <c r="IO32" s="1073"/>
      <c r="IP32" s="1073"/>
      <c r="IQ32" s="1073"/>
      <c r="IR32" s="1073"/>
      <c r="IS32" s="1073"/>
      <c r="IT32" s="1073"/>
      <c r="IU32" s="1073"/>
    </row>
    <row r="33" spans="1:255">
      <c r="A33" s="1073"/>
      <c r="B33" s="2620"/>
      <c r="D33" s="1095"/>
      <c r="E33" s="1095"/>
      <c r="F33" s="1095"/>
      <c r="G33" s="1095"/>
      <c r="H33" s="1095"/>
      <c r="I33" s="1095"/>
      <c r="J33" s="1193"/>
      <c r="M33" s="1090"/>
    </row>
    <row r="34" spans="1:255">
      <c r="A34" s="1073" t="s">
        <v>924</v>
      </c>
      <c r="B34" s="2621"/>
      <c r="C34" s="1073"/>
      <c r="D34" s="1073"/>
      <c r="E34" s="1073"/>
      <c r="F34" s="1073"/>
      <c r="G34" s="1073"/>
      <c r="H34" s="1073"/>
      <c r="I34" s="1073"/>
      <c r="J34" s="1194"/>
      <c r="M34" s="1090"/>
    </row>
    <row r="35" spans="1:255">
      <c r="A35" s="1073"/>
      <c r="B35" s="2621"/>
      <c r="C35" s="1073"/>
      <c r="D35" s="1096"/>
      <c r="E35" s="1096"/>
      <c r="F35" s="1096"/>
      <c r="G35" s="1096"/>
      <c r="H35" s="1096"/>
      <c r="I35" s="1096"/>
      <c r="J35" s="1195"/>
      <c r="M35" s="1090"/>
    </row>
    <row r="36" spans="1:255">
      <c r="A36" s="1073"/>
      <c r="B36" s="2624" t="s">
        <v>958</v>
      </c>
      <c r="D36" s="1085" t="s">
        <v>983</v>
      </c>
      <c r="E36" s="1085"/>
      <c r="F36" s="1085"/>
      <c r="G36" s="1085"/>
      <c r="H36" s="1085"/>
      <c r="I36" s="1085"/>
      <c r="J36" s="1193">
        <v>20</v>
      </c>
      <c r="M36" s="1090"/>
    </row>
    <row r="37" spans="1:255">
      <c r="A37" s="1073"/>
      <c r="B37" s="2624" t="s">
        <v>925</v>
      </c>
      <c r="D37" s="1095" t="s">
        <v>975</v>
      </c>
      <c r="E37" s="1095"/>
      <c r="F37" s="1095"/>
      <c r="G37" s="1095"/>
      <c r="H37" s="1095"/>
      <c r="I37" s="1095"/>
      <c r="J37" s="1193">
        <v>22</v>
      </c>
      <c r="M37" s="1090"/>
    </row>
    <row r="38" spans="1:255">
      <c r="A38" s="1073"/>
      <c r="B38" s="2624" t="s">
        <v>959</v>
      </c>
      <c r="D38" s="1092" t="s">
        <v>926</v>
      </c>
      <c r="E38" s="1092"/>
      <c r="F38" s="1092"/>
      <c r="G38" s="1092"/>
      <c r="H38" s="1092"/>
      <c r="I38" s="1092"/>
      <c r="J38" s="1193">
        <v>24</v>
      </c>
      <c r="M38" s="1090"/>
    </row>
    <row r="39" spans="1:255">
      <c r="A39" s="1073"/>
      <c r="B39" s="2624" t="s">
        <v>960</v>
      </c>
      <c r="D39" s="1092" t="s">
        <v>976</v>
      </c>
      <c r="E39" s="1092"/>
      <c r="F39" s="1092"/>
      <c r="G39" s="1092"/>
      <c r="H39" s="1092"/>
      <c r="I39" s="1092"/>
      <c r="J39" s="1193">
        <v>26</v>
      </c>
      <c r="M39" s="1090"/>
    </row>
    <row r="40" spans="1:255">
      <c r="A40" s="1073"/>
      <c r="B40" s="2619" t="s">
        <v>927</v>
      </c>
      <c r="D40" s="1092" t="s">
        <v>1168</v>
      </c>
      <c r="E40" s="1092"/>
      <c r="F40" s="1092"/>
      <c r="G40" s="1092"/>
      <c r="H40" s="1092"/>
      <c r="I40" s="1092"/>
      <c r="J40" s="1193">
        <v>28</v>
      </c>
      <c r="M40" s="1090"/>
    </row>
    <row r="41" spans="1:255">
      <c r="A41" s="1073"/>
      <c r="B41" s="2624" t="s">
        <v>928</v>
      </c>
      <c r="D41" s="1092" t="s">
        <v>1117</v>
      </c>
      <c r="E41" s="1092"/>
      <c r="F41" s="1092"/>
      <c r="G41" s="1092"/>
      <c r="H41" s="1092"/>
      <c r="I41" s="1092"/>
      <c r="J41" s="1193">
        <v>29</v>
      </c>
      <c r="M41" s="1090"/>
    </row>
    <row r="42" spans="1:255">
      <c r="A42" s="1073"/>
      <c r="B42" s="2619" t="s">
        <v>961</v>
      </c>
      <c r="D42" s="1092" t="s">
        <v>977</v>
      </c>
      <c r="E42" s="1092"/>
      <c r="F42" s="1092"/>
      <c r="G42" s="1092"/>
      <c r="H42" s="1092"/>
      <c r="I42" s="1092"/>
      <c r="J42" s="1193">
        <v>31</v>
      </c>
      <c r="M42" s="1090"/>
    </row>
    <row r="43" spans="1:255">
      <c r="A43" s="1073"/>
      <c r="B43" s="2624" t="s">
        <v>962</v>
      </c>
      <c r="D43" s="1092" t="s">
        <v>979</v>
      </c>
      <c r="E43" s="1092"/>
      <c r="F43" s="1092"/>
      <c r="G43" s="1092"/>
      <c r="H43" s="1092"/>
      <c r="I43" s="1092"/>
      <c r="J43" s="1193">
        <v>33</v>
      </c>
      <c r="M43" s="1090"/>
    </row>
    <row r="44" spans="1:255">
      <c r="A44" s="1073"/>
      <c r="B44" s="2619" t="s">
        <v>929</v>
      </c>
      <c r="D44" s="1092" t="s">
        <v>984</v>
      </c>
      <c r="E44" s="1092"/>
      <c r="F44" s="1092"/>
      <c r="G44" s="1092"/>
      <c r="H44" s="1092"/>
      <c r="I44" s="1092"/>
      <c r="J44" s="1193">
        <v>34</v>
      </c>
      <c r="M44" s="1090"/>
    </row>
    <row r="45" spans="1:255">
      <c r="A45" s="1073"/>
      <c r="B45" s="2619" t="s">
        <v>930</v>
      </c>
      <c r="D45" s="1092" t="s">
        <v>980</v>
      </c>
      <c r="E45" s="1092"/>
      <c r="F45" s="1092"/>
      <c r="G45" s="1092"/>
      <c r="H45" s="1092"/>
      <c r="I45" s="1092"/>
      <c r="J45" s="1193">
        <v>35</v>
      </c>
      <c r="M45" s="1090"/>
    </row>
    <row r="46" spans="1:255">
      <c r="A46" s="1073"/>
      <c r="B46" s="2619" t="s">
        <v>931</v>
      </c>
      <c r="D46" s="1092" t="s">
        <v>981</v>
      </c>
      <c r="E46" s="1092"/>
      <c r="F46" s="1092"/>
      <c r="G46" s="1092"/>
      <c r="H46" s="1092"/>
      <c r="I46" s="1092"/>
      <c r="J46" s="1193">
        <v>36</v>
      </c>
      <c r="M46" s="1090"/>
    </row>
    <row r="47" spans="1:255">
      <c r="A47" s="1073"/>
      <c r="B47" s="2619" t="s">
        <v>932</v>
      </c>
      <c r="D47" s="1093" t="s">
        <v>982</v>
      </c>
      <c r="E47" s="1093"/>
      <c r="F47" s="1093"/>
      <c r="G47" s="1093"/>
      <c r="H47" s="1093"/>
      <c r="I47" s="1093"/>
      <c r="J47" s="1193">
        <v>37</v>
      </c>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I47" s="1073"/>
      <c r="AJ47" s="1073"/>
      <c r="AK47" s="1073"/>
      <c r="AL47" s="1073"/>
      <c r="AM47" s="1073"/>
      <c r="AN47" s="1073"/>
      <c r="AO47" s="1073"/>
      <c r="AP47" s="1073"/>
      <c r="AQ47" s="1073"/>
      <c r="AR47" s="1073"/>
      <c r="AS47" s="1073"/>
      <c r="AT47" s="1073"/>
      <c r="AU47" s="1073"/>
      <c r="AV47" s="1073"/>
      <c r="AW47" s="1073"/>
      <c r="AX47" s="1073"/>
      <c r="AY47" s="1073"/>
      <c r="AZ47" s="1073"/>
      <c r="BA47" s="1073"/>
      <c r="BB47" s="1073"/>
      <c r="BC47" s="1073"/>
      <c r="BD47" s="1073"/>
      <c r="BE47" s="1073"/>
      <c r="BF47" s="1073"/>
      <c r="BG47" s="1073"/>
      <c r="BH47" s="1073"/>
      <c r="BI47" s="1073"/>
      <c r="BJ47" s="1073"/>
      <c r="BK47" s="1073"/>
      <c r="BL47" s="1073"/>
      <c r="BM47" s="1073"/>
      <c r="BN47" s="1073"/>
      <c r="BO47" s="1073"/>
      <c r="BP47" s="1073"/>
      <c r="BQ47" s="1073"/>
      <c r="BR47" s="1073"/>
      <c r="BS47" s="1073"/>
      <c r="BT47" s="1073"/>
      <c r="BU47" s="1073"/>
      <c r="BV47" s="1073"/>
      <c r="BW47" s="1073"/>
      <c r="BX47" s="1073"/>
      <c r="BY47" s="1073"/>
      <c r="BZ47" s="1073"/>
      <c r="CA47" s="1073"/>
      <c r="CB47" s="1073"/>
      <c r="CC47" s="1073"/>
      <c r="CD47" s="1073"/>
      <c r="CE47" s="1073"/>
      <c r="CF47" s="1073"/>
      <c r="CG47" s="1073"/>
      <c r="CH47" s="1073"/>
      <c r="CI47" s="1073"/>
      <c r="CJ47" s="1073"/>
      <c r="CK47" s="1073"/>
      <c r="CL47" s="1073"/>
      <c r="CM47" s="1073"/>
      <c r="CN47" s="1073"/>
      <c r="CO47" s="1073"/>
      <c r="CP47" s="1073"/>
      <c r="CQ47" s="1073"/>
      <c r="CR47" s="1073"/>
      <c r="CS47" s="1073"/>
      <c r="CT47" s="1073"/>
      <c r="CU47" s="1073"/>
      <c r="CV47" s="1073"/>
      <c r="CW47" s="1073"/>
      <c r="CX47" s="1073"/>
      <c r="CY47" s="1073"/>
      <c r="CZ47" s="1073"/>
      <c r="DA47" s="1073"/>
      <c r="DB47" s="1073"/>
      <c r="DC47" s="1073"/>
      <c r="DD47" s="1073"/>
      <c r="DE47" s="1073"/>
      <c r="DF47" s="1073"/>
      <c r="DG47" s="1073"/>
      <c r="DH47" s="1073"/>
      <c r="DI47" s="1073"/>
      <c r="DJ47" s="1073"/>
      <c r="DK47" s="1073"/>
      <c r="DL47" s="1073"/>
      <c r="DM47" s="1073"/>
      <c r="DN47" s="1073"/>
      <c r="DO47" s="1073"/>
      <c r="DP47" s="1073"/>
      <c r="DQ47" s="1073"/>
      <c r="DR47" s="1073"/>
      <c r="DS47" s="1073"/>
      <c r="DT47" s="1073"/>
      <c r="DU47" s="1073"/>
      <c r="DV47" s="1073"/>
      <c r="DW47" s="1073"/>
      <c r="DX47" s="1073"/>
      <c r="DY47" s="1073"/>
      <c r="DZ47" s="1073"/>
      <c r="EA47" s="1073"/>
      <c r="EB47" s="1073"/>
      <c r="EC47" s="1073"/>
      <c r="ED47" s="1073"/>
      <c r="EE47" s="1073"/>
      <c r="EF47" s="1073"/>
      <c r="EG47" s="1073"/>
      <c r="EH47" s="1073"/>
      <c r="EI47" s="1073"/>
      <c r="EJ47" s="1073"/>
      <c r="EK47" s="1073"/>
      <c r="EL47" s="1073"/>
      <c r="EM47" s="1073"/>
      <c r="EN47" s="1073"/>
      <c r="EO47" s="1073"/>
      <c r="EP47" s="1073"/>
      <c r="EQ47" s="1073"/>
      <c r="ER47" s="1073"/>
      <c r="ES47" s="1073"/>
      <c r="ET47" s="1073"/>
      <c r="EU47" s="1073"/>
      <c r="EV47" s="1073"/>
      <c r="EW47" s="1073"/>
      <c r="EX47" s="1073"/>
      <c r="EY47" s="1073"/>
      <c r="EZ47" s="1073"/>
      <c r="FA47" s="1073"/>
      <c r="FB47" s="1073"/>
      <c r="FC47" s="1073"/>
      <c r="FD47" s="1073"/>
      <c r="FE47" s="1073"/>
      <c r="FF47" s="1073"/>
      <c r="FG47" s="1073"/>
      <c r="FH47" s="1073"/>
      <c r="FI47" s="1073"/>
      <c r="FJ47" s="1073"/>
      <c r="FK47" s="1073"/>
      <c r="FL47" s="1073"/>
      <c r="FM47" s="1073"/>
      <c r="FN47" s="1073"/>
      <c r="FO47" s="1073"/>
      <c r="FP47" s="1073"/>
      <c r="FQ47" s="1073"/>
      <c r="FR47" s="1073"/>
      <c r="FS47" s="1073"/>
      <c r="FT47" s="1073"/>
      <c r="FU47" s="1073"/>
      <c r="FV47" s="1073"/>
      <c r="FW47" s="1073"/>
      <c r="FX47" s="1073"/>
      <c r="FY47" s="1073"/>
      <c r="FZ47" s="1073"/>
      <c r="GA47" s="1073"/>
      <c r="GB47" s="1073"/>
      <c r="GC47" s="1073"/>
      <c r="GD47" s="1073"/>
      <c r="GE47" s="1073"/>
      <c r="GF47" s="1073"/>
      <c r="GG47" s="1073"/>
      <c r="GH47" s="1073"/>
      <c r="GI47" s="1073"/>
      <c r="GJ47" s="1073"/>
      <c r="GK47" s="1073"/>
      <c r="GL47" s="1073"/>
      <c r="GM47" s="1073"/>
      <c r="GN47" s="1073"/>
      <c r="GO47" s="1073"/>
      <c r="GP47" s="1073"/>
      <c r="GQ47" s="1073"/>
      <c r="GR47" s="1073"/>
      <c r="GS47" s="1073"/>
      <c r="GT47" s="1073"/>
      <c r="GU47" s="1073"/>
      <c r="GV47" s="1073"/>
      <c r="GW47" s="1073"/>
      <c r="GX47" s="1073"/>
      <c r="GY47" s="1073"/>
      <c r="GZ47" s="1073"/>
      <c r="HA47" s="1073"/>
      <c r="HB47" s="1073"/>
      <c r="HC47" s="1073"/>
      <c r="HD47" s="1073"/>
      <c r="HE47" s="1073"/>
      <c r="HF47" s="1073"/>
      <c r="HG47" s="1073"/>
      <c r="HH47" s="1073"/>
      <c r="HI47" s="1073"/>
      <c r="HJ47" s="1073"/>
      <c r="HK47" s="1073"/>
      <c r="HL47" s="1073"/>
      <c r="HM47" s="1073"/>
      <c r="HN47" s="1073"/>
      <c r="HO47" s="1073"/>
      <c r="HP47" s="1073"/>
      <c r="HQ47" s="1073"/>
      <c r="HR47" s="1073"/>
      <c r="HS47" s="1073"/>
      <c r="HT47" s="1073"/>
      <c r="HU47" s="1073"/>
      <c r="HV47" s="1073"/>
      <c r="HW47" s="1073"/>
      <c r="HX47" s="1073"/>
      <c r="HY47" s="1073"/>
      <c r="HZ47" s="1073"/>
      <c r="IA47" s="1073"/>
      <c r="IB47" s="1073"/>
      <c r="IC47" s="1073"/>
      <c r="ID47" s="1073"/>
      <c r="IE47" s="1073"/>
      <c r="IF47" s="1073"/>
      <c r="IG47" s="1073"/>
      <c r="IH47" s="1073"/>
      <c r="II47" s="1073"/>
      <c r="IJ47" s="1073"/>
      <c r="IK47" s="1073"/>
      <c r="IL47" s="1073"/>
      <c r="IM47" s="1073"/>
      <c r="IN47" s="1073"/>
      <c r="IO47" s="1073"/>
      <c r="IP47" s="1073"/>
      <c r="IQ47" s="1073"/>
      <c r="IR47" s="1073"/>
      <c r="IS47" s="1073"/>
      <c r="IT47" s="1073"/>
      <c r="IU47" s="1073"/>
    </row>
    <row r="48" spans="1:255">
      <c r="A48" s="1073"/>
      <c r="B48" s="2620"/>
      <c r="D48" s="1095"/>
      <c r="E48" s="1095"/>
      <c r="F48" s="1095"/>
      <c r="G48" s="1095"/>
      <c r="H48" s="1095"/>
      <c r="I48" s="1095"/>
      <c r="J48" s="1193"/>
      <c r="M48" s="1090"/>
    </row>
    <row r="49" spans="1:13">
      <c r="A49" s="1073" t="s">
        <v>933</v>
      </c>
      <c r="B49" s="2620"/>
      <c r="D49" s="1095"/>
      <c r="E49" s="1095"/>
      <c r="F49" s="1095"/>
      <c r="G49" s="1095"/>
      <c r="H49" s="1095"/>
      <c r="I49" s="1095"/>
      <c r="J49" s="1193"/>
      <c r="M49" s="1090"/>
    </row>
    <row r="50" spans="1:13">
      <c r="A50" s="1073"/>
      <c r="B50" s="2621"/>
      <c r="C50" s="1073"/>
      <c r="D50" s="1096"/>
      <c r="E50" s="1096"/>
      <c r="F50" s="1096"/>
      <c r="G50" s="1096"/>
      <c r="H50" s="1096"/>
      <c r="I50" s="1096"/>
      <c r="J50" s="1194"/>
      <c r="M50" s="1090"/>
    </row>
    <row r="51" spans="1:13">
      <c r="A51" s="1073"/>
      <c r="B51" s="2619" t="s">
        <v>934</v>
      </c>
      <c r="D51" s="1095" t="s">
        <v>985</v>
      </c>
      <c r="E51" s="1095"/>
      <c r="F51" s="1095"/>
      <c r="G51" s="1095"/>
      <c r="H51" s="1095"/>
      <c r="I51" s="1095"/>
      <c r="J51" s="1193">
        <v>38</v>
      </c>
      <c r="M51" s="1090"/>
    </row>
    <row r="52" spans="1:13">
      <c r="A52" s="1073"/>
      <c r="B52" s="2619" t="s">
        <v>935</v>
      </c>
      <c r="D52" s="1092" t="s">
        <v>986</v>
      </c>
      <c r="E52" s="1092"/>
      <c r="F52" s="1092"/>
      <c r="G52" s="1092"/>
      <c r="H52" s="1092"/>
      <c r="I52" s="1092"/>
      <c r="J52" s="1193">
        <v>41</v>
      </c>
      <c r="M52" s="1090"/>
    </row>
    <row r="53" spans="1:13">
      <c r="A53" s="1073"/>
      <c r="B53" s="2619" t="s">
        <v>936</v>
      </c>
      <c r="D53" s="1092" t="s">
        <v>987</v>
      </c>
      <c r="E53" s="1092"/>
      <c r="F53" s="1092"/>
      <c r="G53" s="1092"/>
      <c r="H53" s="1092"/>
      <c r="I53" s="1092"/>
      <c r="J53" s="1193">
        <v>42</v>
      </c>
      <c r="M53" s="1090"/>
    </row>
    <row r="54" spans="1:13">
      <c r="A54" s="1073"/>
      <c r="B54" s="2619" t="s">
        <v>937</v>
      </c>
      <c r="D54" s="1092" t="s">
        <v>990</v>
      </c>
      <c r="E54" s="1092"/>
      <c r="F54" s="1092"/>
      <c r="G54" s="1092"/>
      <c r="H54" s="1092"/>
      <c r="I54" s="1092"/>
      <c r="J54" s="1193">
        <v>43</v>
      </c>
      <c r="M54" s="1090"/>
    </row>
    <row r="55" spans="1:13">
      <c r="A55" s="1073"/>
      <c r="B55" s="2619" t="s">
        <v>938</v>
      </c>
      <c r="D55" s="1092" t="s">
        <v>988</v>
      </c>
      <c r="E55" s="1092"/>
      <c r="F55" s="1092"/>
      <c r="G55" s="1092"/>
      <c r="H55" s="1092"/>
      <c r="I55" s="1092"/>
      <c r="J55" s="1193">
        <v>44</v>
      </c>
      <c r="K55" s="1097"/>
      <c r="M55" s="1090"/>
    </row>
    <row r="56" spans="1:13">
      <c r="A56" s="1073"/>
      <c r="B56" s="2619" t="s">
        <v>939</v>
      </c>
      <c r="D56" s="1092" t="s">
        <v>989</v>
      </c>
      <c r="E56" s="1092"/>
      <c r="F56" s="1092"/>
      <c r="G56" s="1092"/>
      <c r="H56" s="1092"/>
      <c r="I56" s="1092"/>
      <c r="J56" s="1193">
        <v>45</v>
      </c>
      <c r="K56" s="1083"/>
    </row>
    <row r="57" spans="1:13">
      <c r="A57" s="1073"/>
      <c r="B57" s="2619" t="s">
        <v>940</v>
      </c>
      <c r="D57" s="1093" t="s">
        <v>941</v>
      </c>
      <c r="E57" s="1093"/>
      <c r="F57" s="1093"/>
      <c r="G57" s="1093"/>
      <c r="H57" s="1093"/>
      <c r="I57" s="1093"/>
      <c r="J57" s="1193">
        <v>46</v>
      </c>
      <c r="K57" s="1083"/>
    </row>
    <row r="58" spans="1:13">
      <c r="A58" s="1073"/>
      <c r="B58" s="2622" t="s">
        <v>963</v>
      </c>
      <c r="D58" s="1085" t="s">
        <v>942</v>
      </c>
      <c r="E58" s="1085"/>
      <c r="F58" s="1085"/>
      <c r="G58" s="1085"/>
      <c r="H58" s="1085"/>
      <c r="I58" s="1085"/>
      <c r="J58" s="1193">
        <v>47</v>
      </c>
      <c r="K58" s="1083"/>
      <c r="M58" s="1090"/>
    </row>
    <row r="59" spans="1:13">
      <c r="A59" s="1073"/>
      <c r="B59" s="2623" t="s">
        <v>964</v>
      </c>
      <c r="D59" s="1088" t="s">
        <v>943</v>
      </c>
      <c r="E59" s="1088"/>
      <c r="F59" s="1088"/>
      <c r="G59" s="1088"/>
      <c r="H59" s="1088"/>
      <c r="I59" s="1088"/>
      <c r="J59" s="1193">
        <v>48</v>
      </c>
      <c r="K59" s="1083"/>
      <c r="M59" s="1090"/>
    </row>
    <row r="60" spans="1:13">
      <c r="A60" s="1073"/>
      <c r="B60" s="2623" t="s">
        <v>965</v>
      </c>
      <c r="D60" s="1098" t="s">
        <v>944</v>
      </c>
      <c r="E60" s="1088"/>
      <c r="F60" s="1098"/>
      <c r="G60" s="1088"/>
      <c r="H60" s="1088"/>
      <c r="I60" s="1088"/>
      <c r="J60" s="1193">
        <v>50</v>
      </c>
      <c r="K60" s="1083"/>
      <c r="M60" s="1090"/>
    </row>
    <row r="61" spans="1:13">
      <c r="A61" s="1073"/>
      <c r="B61" s="2623" t="s">
        <v>966</v>
      </c>
      <c r="D61" s="1088" t="s">
        <v>945</v>
      </c>
      <c r="E61" s="1088"/>
      <c r="F61" s="1088"/>
      <c r="G61" s="1088"/>
      <c r="H61" s="1088"/>
      <c r="I61" s="1088"/>
      <c r="J61" s="1193">
        <v>51</v>
      </c>
      <c r="K61" s="1095"/>
      <c r="M61" s="1090"/>
    </row>
    <row r="62" spans="1:13">
      <c r="A62" s="1073"/>
      <c r="B62" s="3376" t="s">
        <v>967</v>
      </c>
      <c r="D62" s="1088" t="s">
        <v>1100</v>
      </c>
      <c r="E62" s="1088"/>
      <c r="F62" s="1088"/>
      <c r="G62" s="1088"/>
      <c r="H62" s="1089"/>
      <c r="I62" s="1088"/>
      <c r="J62" s="1193">
        <v>52</v>
      </c>
      <c r="K62" s="1095"/>
      <c r="M62" s="1090"/>
    </row>
    <row r="63" spans="1:13">
      <c r="A63" s="1073"/>
      <c r="B63" s="3376" t="s">
        <v>968</v>
      </c>
      <c r="D63" s="1088" t="s">
        <v>946</v>
      </c>
      <c r="E63" s="1088"/>
      <c r="F63" s="1088"/>
      <c r="G63" s="1088"/>
      <c r="H63" s="1089"/>
      <c r="I63" s="1088"/>
      <c r="J63" s="1193">
        <v>53</v>
      </c>
      <c r="K63" s="1095"/>
      <c r="M63" s="1090"/>
    </row>
    <row r="64" spans="1:13">
      <c r="A64" s="1073"/>
      <c r="B64" s="2624" t="s">
        <v>969</v>
      </c>
      <c r="D64" s="1088" t="s">
        <v>1431</v>
      </c>
      <c r="E64" s="1088"/>
      <c r="F64" s="1088"/>
      <c r="G64" s="1088"/>
      <c r="H64" s="1089"/>
      <c r="I64" s="1088"/>
      <c r="J64" s="1193">
        <v>57</v>
      </c>
      <c r="K64" s="1095"/>
      <c r="M64" s="1090"/>
    </row>
    <row r="65" spans="1:13" ht="12.9" customHeight="1">
      <c r="A65" s="1073"/>
      <c r="B65" s="1099"/>
      <c r="D65" s="1100"/>
      <c r="E65" s="1100"/>
      <c r="F65" s="1100"/>
      <c r="G65" s="1100"/>
      <c r="H65" s="1100"/>
      <c r="I65" s="1100"/>
      <c r="J65" s="1087"/>
      <c r="K65" s="1095"/>
      <c r="M65" s="1090"/>
    </row>
    <row r="66" spans="1:13" ht="12.9" customHeight="1">
      <c r="A66" s="1073"/>
      <c r="B66" s="1099"/>
      <c r="D66" s="1100"/>
      <c r="E66" s="1100"/>
      <c r="F66" s="1100"/>
      <c r="G66" s="1100"/>
      <c r="H66" s="1100"/>
      <c r="I66" s="1100"/>
      <c r="J66" s="1087"/>
      <c r="K66" s="1095"/>
      <c r="M66" s="1090"/>
    </row>
    <row r="67" spans="1:13" ht="12.9" customHeight="1">
      <c r="A67" s="1073"/>
      <c r="B67" s="1099"/>
      <c r="D67" s="1100"/>
      <c r="E67" s="1100"/>
      <c r="F67" s="1100"/>
      <c r="G67" s="1100"/>
      <c r="H67" s="1100"/>
      <c r="I67" s="1100"/>
      <c r="J67" s="1087"/>
      <c r="K67" s="1095"/>
      <c r="M67" s="1090"/>
    </row>
    <row r="68" spans="1:13" ht="12.9" customHeight="1">
      <c r="A68" s="1073"/>
      <c r="B68" s="1099"/>
      <c r="D68" s="1100"/>
      <c r="E68" s="1100"/>
      <c r="F68" s="1100"/>
      <c r="G68" s="1100"/>
      <c r="H68" s="1100"/>
      <c r="I68" s="1100"/>
      <c r="J68" s="1087"/>
      <c r="K68" s="1095"/>
      <c r="M68" s="1090"/>
    </row>
    <row r="69" spans="1:13" ht="12.9" customHeight="1">
      <c r="A69" s="1073"/>
      <c r="B69" s="1099"/>
      <c r="D69" s="1100"/>
      <c r="E69" s="1100"/>
      <c r="F69" s="1100"/>
      <c r="G69" s="1100"/>
      <c r="H69" s="1100"/>
      <c r="I69" s="1100"/>
      <c r="J69" s="1087"/>
      <c r="K69" s="1095"/>
      <c r="M69" s="1090"/>
    </row>
    <row r="70" spans="1:13" ht="12.9" customHeight="1">
      <c r="A70" s="1073"/>
      <c r="B70" s="1099"/>
      <c r="D70" s="1100"/>
      <c r="E70" s="1100"/>
      <c r="F70" s="1100"/>
      <c r="G70" s="1100"/>
      <c r="H70" s="1100"/>
      <c r="I70" s="1100"/>
      <c r="J70" s="1087"/>
      <c r="K70" s="1095"/>
      <c r="M70" s="1090"/>
    </row>
    <row r="71" spans="1:13" ht="12.9" customHeight="1">
      <c r="A71" s="1073"/>
      <c r="B71" s="1099"/>
      <c r="D71" s="1100"/>
      <c r="E71" s="1100"/>
      <c r="F71" s="1100"/>
      <c r="G71" s="1100"/>
      <c r="H71" s="1100"/>
      <c r="I71" s="1100"/>
      <c r="J71" s="1087"/>
      <c r="K71" s="1095"/>
      <c r="M71" s="1090"/>
    </row>
    <row r="72" spans="1:13" ht="12.9" customHeight="1">
      <c r="A72" s="1073"/>
      <c r="B72" s="1099"/>
      <c r="D72" s="1100"/>
      <c r="E72" s="1100"/>
      <c r="F72" s="1100"/>
      <c r="G72" s="1100"/>
      <c r="H72" s="1100"/>
      <c r="I72" s="1100"/>
      <c r="J72" s="1087"/>
      <c r="K72" s="1095"/>
      <c r="M72" s="1090"/>
    </row>
    <row r="73" spans="1:13" ht="12.9" customHeight="1">
      <c r="A73" s="1073"/>
      <c r="B73" s="1099"/>
      <c r="D73" s="1100"/>
      <c r="E73" s="1100"/>
      <c r="F73" s="1100"/>
      <c r="G73" s="1100"/>
      <c r="H73" s="1100"/>
      <c r="I73" s="1100"/>
      <c r="J73" s="1087"/>
      <c r="K73" s="1095"/>
      <c r="M73" s="1090"/>
    </row>
    <row r="74" spans="1:13" ht="12.9" customHeight="1">
      <c r="A74" s="1073"/>
      <c r="B74" s="1099"/>
      <c r="D74" s="1100"/>
      <c r="E74" s="1100"/>
      <c r="F74" s="1100"/>
      <c r="G74" s="1100"/>
      <c r="H74" s="1100"/>
      <c r="I74" s="1100"/>
      <c r="J74" s="1087"/>
      <c r="K74" s="1095"/>
      <c r="M74" s="1090"/>
    </row>
    <row r="75" spans="1:13" ht="12.9" customHeight="1">
      <c r="A75" s="1073"/>
      <c r="B75" s="1099"/>
      <c r="D75" s="1100"/>
      <c r="E75" s="1100"/>
      <c r="F75" s="1100"/>
      <c r="G75" s="1100"/>
      <c r="H75" s="1100"/>
      <c r="I75" s="1100"/>
      <c r="J75" s="1087"/>
      <c r="K75" s="1095"/>
      <c r="M75" s="1090"/>
    </row>
    <row r="76" spans="1:13" ht="12.9" customHeight="1">
      <c r="A76" s="1073"/>
      <c r="B76" s="1099"/>
      <c r="D76" s="1100"/>
      <c r="E76" s="1100"/>
      <c r="F76" s="1100"/>
      <c r="G76" s="1100"/>
      <c r="H76" s="1100"/>
      <c r="I76" s="1100"/>
      <c r="J76" s="1087"/>
      <c r="K76" s="1095"/>
      <c r="M76" s="1090"/>
    </row>
    <row r="77" spans="1:13" ht="12.9" customHeight="1">
      <c r="A77" s="1073"/>
      <c r="B77" s="1099"/>
      <c r="D77" s="1100"/>
      <c r="E77" s="1100"/>
      <c r="F77" s="1100"/>
      <c r="G77" s="1100"/>
      <c r="H77" s="1100"/>
      <c r="I77" s="1100"/>
      <c r="J77" s="1087"/>
      <c r="K77" s="1095"/>
      <c r="M77" s="1090"/>
    </row>
    <row r="78" spans="1:13" ht="12.9" customHeight="1">
      <c r="A78" s="1073"/>
      <c r="B78" s="1099"/>
      <c r="D78" s="1100"/>
      <c r="E78" s="1100"/>
      <c r="F78" s="1100"/>
      <c r="G78" s="1100"/>
      <c r="H78" s="1100"/>
      <c r="I78" s="1100"/>
      <c r="J78" s="1087"/>
      <c r="K78" s="1095"/>
      <c r="M78" s="1090"/>
    </row>
    <row r="79" spans="1:13" ht="12.9" customHeight="1">
      <c r="A79" s="1073"/>
      <c r="B79" s="1099"/>
      <c r="D79" s="1100"/>
      <c r="E79" s="1100"/>
      <c r="F79" s="1100"/>
      <c r="G79" s="1100"/>
      <c r="H79" s="1100"/>
      <c r="I79" s="1100"/>
      <c r="J79" s="1087"/>
      <c r="K79" s="1095"/>
      <c r="M79" s="1090"/>
    </row>
    <row r="80" spans="1:13" ht="12.9" customHeight="1">
      <c r="A80" s="1073"/>
      <c r="B80" s="1099"/>
      <c r="D80" s="1100"/>
      <c r="E80" s="1100"/>
      <c r="F80" s="1100"/>
      <c r="G80" s="1100"/>
      <c r="H80" s="1100"/>
      <c r="I80" s="1100"/>
      <c r="J80" s="1087"/>
      <c r="K80" s="1095"/>
      <c r="M80" s="1090"/>
    </row>
    <row r="81" spans="1:13" ht="12.9" customHeight="1">
      <c r="A81" s="1073"/>
      <c r="B81" s="1099"/>
      <c r="D81" s="1100"/>
      <c r="E81" s="1100"/>
      <c r="F81" s="1100"/>
      <c r="G81" s="1100"/>
      <c r="H81" s="1100"/>
      <c r="I81" s="1100"/>
      <c r="J81" s="1087"/>
      <c r="K81" s="1095"/>
      <c r="M81" s="1090"/>
    </row>
    <row r="82" spans="1:13" ht="12.9" customHeight="1">
      <c r="A82" s="1073"/>
      <c r="B82" s="1099"/>
      <c r="D82" s="1100"/>
      <c r="E82" s="1100"/>
      <c r="F82" s="1100"/>
      <c r="G82" s="1100"/>
      <c r="H82" s="1100"/>
      <c r="I82" s="1100"/>
      <c r="J82" s="1087"/>
      <c r="K82" s="1095"/>
      <c r="M82" s="1090"/>
    </row>
    <row r="83" spans="1:13" ht="12.9" customHeight="1">
      <c r="A83" s="1073"/>
      <c r="B83" s="1099"/>
      <c r="D83" s="1100"/>
      <c r="E83" s="1100"/>
      <c r="F83" s="1100"/>
      <c r="G83" s="1100"/>
      <c r="H83" s="1100"/>
      <c r="I83" s="1100"/>
      <c r="J83" s="1087"/>
      <c r="K83" s="1095"/>
      <c r="M83" s="1090"/>
    </row>
    <row r="84" spans="1:13" ht="12.9" customHeight="1">
      <c r="A84" s="1073"/>
      <c r="B84" s="1099"/>
      <c r="D84" s="1100"/>
      <c r="E84" s="1100"/>
      <c r="F84" s="1100"/>
      <c r="G84" s="1100"/>
      <c r="H84" s="1100"/>
      <c r="I84" s="1100"/>
      <c r="J84" s="1087"/>
      <c r="K84" s="1095"/>
      <c r="M84" s="1090"/>
    </row>
    <row r="85" spans="1:13" ht="12.9" customHeight="1">
      <c r="A85" s="1073"/>
      <c r="B85" s="1099"/>
      <c r="D85" s="1100"/>
      <c r="E85" s="1100"/>
      <c r="F85" s="1100"/>
      <c r="G85" s="1100"/>
      <c r="H85" s="1100"/>
      <c r="I85" s="1100"/>
      <c r="J85" s="1087"/>
      <c r="K85" s="1095"/>
      <c r="M85" s="1090"/>
    </row>
    <row r="86" spans="1:13" ht="12.9" customHeight="1">
      <c r="A86" s="1073"/>
      <c r="B86" s="1099"/>
      <c r="D86" s="1100"/>
      <c r="E86" s="1100"/>
      <c r="F86" s="1100"/>
      <c r="G86" s="1100"/>
      <c r="H86" s="1100"/>
      <c r="I86" s="1100"/>
      <c r="J86" s="1087"/>
      <c r="K86" s="1095"/>
      <c r="M86" s="1090"/>
    </row>
    <row r="87" spans="1:13" ht="12.9" customHeight="1">
      <c r="A87" s="1073"/>
      <c r="B87" s="1099"/>
      <c r="D87" s="1100"/>
      <c r="E87" s="1100"/>
      <c r="F87" s="1100"/>
      <c r="G87" s="1100"/>
      <c r="H87" s="1100"/>
      <c r="I87" s="1100"/>
      <c r="J87" s="1087"/>
      <c r="K87" s="1095"/>
      <c r="M87" s="1090"/>
    </row>
    <row r="88" spans="1:13" ht="12.9" customHeight="1">
      <c r="A88" s="1073"/>
      <c r="B88" s="1099"/>
      <c r="D88" s="1100"/>
      <c r="E88" s="1100"/>
      <c r="F88" s="1100"/>
      <c r="G88" s="1100"/>
      <c r="H88" s="1100"/>
      <c r="I88" s="1100"/>
      <c r="J88" s="1087"/>
      <c r="K88" s="1095"/>
      <c r="M88" s="1090"/>
    </row>
    <row r="89" spans="1:13" ht="12.9" customHeight="1">
      <c r="A89" s="1073"/>
      <c r="B89" s="1099"/>
      <c r="D89" s="1100"/>
      <c r="E89" s="1100"/>
      <c r="F89" s="1100"/>
      <c r="G89" s="1100"/>
      <c r="H89" s="1100"/>
      <c r="I89" s="1100"/>
      <c r="J89" s="1087"/>
      <c r="K89" s="1095"/>
      <c r="M89" s="1090"/>
    </row>
    <row r="90" spans="1:13" ht="12.9" customHeight="1">
      <c r="A90" s="1073"/>
      <c r="B90" s="1099"/>
      <c r="D90" s="1100"/>
      <c r="E90" s="1100"/>
      <c r="F90" s="1100"/>
      <c r="G90" s="1100"/>
      <c r="H90" s="1100"/>
      <c r="I90" s="1100"/>
      <c r="J90" s="1087"/>
      <c r="K90" s="1095"/>
      <c r="M90" s="1090"/>
    </row>
    <row r="91" spans="1:13" ht="12.9" customHeight="1">
      <c r="A91" s="1073"/>
      <c r="B91" s="1099"/>
      <c r="D91" s="1100"/>
      <c r="E91" s="1100"/>
      <c r="F91" s="1100"/>
      <c r="G91" s="1100"/>
      <c r="H91" s="1100"/>
      <c r="I91" s="1100"/>
      <c r="J91" s="1087"/>
      <c r="K91" s="1095"/>
      <c r="M91" s="1090"/>
    </row>
    <row r="92" spans="1:13" ht="12.9" customHeight="1">
      <c r="A92" s="1073"/>
      <c r="B92" s="1099"/>
      <c r="D92" s="1100"/>
      <c r="E92" s="1100"/>
      <c r="F92" s="1100"/>
      <c r="G92" s="1100"/>
      <c r="H92" s="1100"/>
      <c r="I92" s="1100"/>
      <c r="J92" s="1087"/>
      <c r="M92" s="1090"/>
    </row>
    <row r="93" spans="1:13" ht="12.9" customHeight="1">
      <c r="A93" s="1073"/>
      <c r="B93" s="1099"/>
      <c r="D93" s="1100"/>
      <c r="E93" s="1100"/>
      <c r="F93" s="1100"/>
      <c r="G93" s="1100"/>
      <c r="H93" s="1100"/>
      <c r="I93" s="1100"/>
      <c r="J93" s="1087"/>
      <c r="M93" s="1090"/>
    </row>
    <row r="94" spans="1:13" ht="12.9" customHeight="1">
      <c r="A94" s="1073"/>
      <c r="B94" s="1099"/>
      <c r="D94" s="1100"/>
      <c r="E94" s="1100"/>
      <c r="F94" s="1100"/>
      <c r="G94" s="1100"/>
      <c r="H94" s="1100"/>
      <c r="I94" s="1100"/>
      <c r="J94" s="1087"/>
      <c r="M94" s="1090"/>
    </row>
    <row r="95" spans="1:13" ht="12.9" customHeight="1">
      <c r="A95" s="1073"/>
      <c r="B95" s="1099"/>
      <c r="D95" s="1100"/>
      <c r="E95" s="1100"/>
      <c r="F95" s="1100"/>
      <c r="G95" s="1100"/>
      <c r="H95" s="1100"/>
      <c r="I95" s="1100"/>
      <c r="J95" s="1087"/>
      <c r="M95" s="1090"/>
    </row>
    <row r="96" spans="1:13" ht="12.9" customHeight="1">
      <c r="A96" s="1073"/>
      <c r="B96" s="1099"/>
      <c r="D96" s="1100"/>
      <c r="E96" s="1100"/>
      <c r="F96" s="1100"/>
      <c r="G96" s="1100"/>
      <c r="H96" s="1100"/>
      <c r="I96" s="1100"/>
      <c r="J96" s="1087"/>
      <c r="M96" s="1090"/>
    </row>
    <row r="97" spans="1:13" ht="12.9" customHeight="1">
      <c r="A97" s="1073"/>
      <c r="B97" s="1099"/>
      <c r="D97" s="1100"/>
      <c r="E97" s="1100"/>
      <c r="F97" s="1100"/>
      <c r="G97" s="1100"/>
      <c r="H97" s="1100"/>
      <c r="I97" s="1100"/>
      <c r="J97" s="1087"/>
      <c r="M97" s="1090"/>
    </row>
    <row r="98" spans="1:13" ht="12.9" customHeight="1">
      <c r="A98" s="1073"/>
      <c r="B98" s="1099"/>
      <c r="D98" s="1100"/>
      <c r="E98" s="1100"/>
      <c r="F98" s="1100"/>
      <c r="G98" s="1100"/>
      <c r="H98" s="1100"/>
      <c r="I98" s="1100"/>
      <c r="J98" s="1087"/>
      <c r="M98" s="1090"/>
    </row>
    <row r="99" spans="1:13" ht="12.9" customHeight="1">
      <c r="A99" s="1073"/>
      <c r="B99" s="1099"/>
      <c r="D99" s="1100"/>
      <c r="E99" s="1100"/>
      <c r="F99" s="1100"/>
      <c r="G99" s="1100"/>
      <c r="H99" s="1100"/>
      <c r="I99" s="1100"/>
      <c r="J99" s="1087"/>
      <c r="M99" s="1090"/>
    </row>
    <row r="100" spans="1:13" ht="12.9" customHeight="1">
      <c r="A100" s="1073"/>
      <c r="B100" s="1099"/>
      <c r="D100" s="1100"/>
      <c r="E100" s="1100"/>
      <c r="F100" s="1100"/>
      <c r="G100" s="1100"/>
      <c r="H100" s="1100"/>
      <c r="I100" s="1100"/>
      <c r="J100" s="1087"/>
      <c r="M100" s="1090"/>
    </row>
    <row r="101" spans="1:13">
      <c r="A101" s="1095"/>
      <c r="B101" s="1101"/>
      <c r="C101" s="1095"/>
      <c r="D101" s="1095"/>
      <c r="E101" s="1095"/>
      <c r="F101" s="1095"/>
      <c r="G101" s="1095"/>
      <c r="H101" s="1095"/>
      <c r="I101" s="1095"/>
      <c r="J101" s="1103"/>
    </row>
    <row r="102" spans="1:13">
      <c r="B102" s="1099"/>
      <c r="J102" s="1102"/>
    </row>
    <row r="103" spans="1:13">
      <c r="B103" s="1099"/>
      <c r="J103" s="1102"/>
    </row>
    <row r="104" spans="1:13">
      <c r="B104" s="1099"/>
    </row>
    <row r="105" spans="1:13">
      <c r="B105" s="1099"/>
    </row>
    <row r="106" spans="1:13">
      <c r="B106" s="1099"/>
    </row>
    <row r="107" spans="1:13">
      <c r="B107" s="1099"/>
    </row>
    <row r="108" spans="1:13">
      <c r="B108" s="1099"/>
    </row>
    <row r="109" spans="1:13">
      <c r="B109" s="1099"/>
    </row>
  </sheetData>
  <customSheetViews>
    <customSheetView guid="{8EE6466D-211E-4E05-9F84-CC0A1C6F79F4}" scale="95" showGridLines="0" outlineSymbols="0" topLeftCell="A13">
      <selection activeCell="I4" sqref="I4"/>
      <rowBreaks count="3" manualBreakCount="3">
        <brk id="103" max="9" man="1"/>
        <brk id="116" max="9" man="1"/>
        <brk id="130" max="10" man="1"/>
      </rowBreaks>
      <pageMargins left="1" right="0.5" top="0.45" bottom="0.35" header="0" footer="0"/>
      <printOptions horizontalCentered="1" verticalCentered="1"/>
      <pageSetup scale="62" orientation="landscape" horizontalDpi="300" verticalDpi="300" r:id="rId1"/>
      <headerFooter alignWithMargins="0"/>
    </customSheetView>
  </customSheetViews>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ibit F'!A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 Exhbit I '!A1" display="Exhibit I"/>
    <hyperlink ref="B42" location="' Exhibit I State'!B1" display="Exhibit I State"/>
    <hyperlink ref="B43" location="'Exhibit I Federal'!A1" display="Exhibit I Federal"/>
    <hyperlink ref="B44" location="'Exhibit J'!A1" display="Exhibit J"/>
    <hyperlink ref="B45" location="'Exhibit K'!B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 '!B1" display="Schedule 5a"/>
    <hyperlink ref="B57" location="'Sch 6'!A1" display="Schedule 6"/>
    <hyperlink ref="B58" location="'HCRA '!A1" display="Appendix A "/>
    <hyperlink ref="B59" location="'HCRA PROG DISB'!A1" display="Appendix B"/>
    <hyperlink ref="B60" location="'Public Goods '!A1" display="Appendix D"/>
    <hyperlink ref="B61" location="'Medicaid Disp Share'!B1" display="Appendix E"/>
    <hyperlink ref="B62" location="'Appendix E'!A1" display="Appendix E"/>
    <hyperlink ref="B63" location="'Appendix F'!D1" display="Appendix F"/>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 ref="B64" location="'Appendix G'!A1" display="Appendix G"/>
  </hyperlinks>
  <printOptions horizontalCentered="1" verticalCentered="1"/>
  <pageMargins left="1" right="0.5" top="0.45" bottom="0.35" header="0" footer="0"/>
  <pageSetup scale="62" orientation="landscape" r:id="rId2"/>
  <headerFooter alignWithMargins="0"/>
  <rowBreaks count="3" manualBreakCount="3">
    <brk id="103" max="9" man="1"/>
    <brk id="116" max="9" man="1"/>
    <brk id="130" max="10"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50"/>
  <sheetViews>
    <sheetView zoomScale="80" zoomScaleNormal="80" workbookViewId="0"/>
  </sheetViews>
  <sheetFormatPr defaultColWidth="8.90625" defaultRowHeight="15"/>
  <cols>
    <col min="1" max="1" width="50.36328125" style="1848" customWidth="1"/>
    <col min="2" max="2" width="3.6328125" style="1137" customWidth="1"/>
    <col min="3" max="3" width="16.6328125" style="1137" customWidth="1"/>
    <col min="4" max="4" width="4.81640625" style="1137" customWidth="1"/>
    <col min="5" max="5" width="16.453125" style="789" customWidth="1"/>
    <col min="6" max="6" width="4.81640625" style="1852" customWidth="1"/>
    <col min="7" max="7" width="14.36328125" style="1852" customWidth="1"/>
    <col min="8" max="8" width="4.81640625" style="1852" customWidth="1"/>
    <col min="9" max="9" width="16.08984375" style="1852" customWidth="1"/>
    <col min="10" max="10" width="4.81640625" style="1137" customWidth="1"/>
    <col min="11" max="11" width="12.54296875" style="1137" customWidth="1"/>
    <col min="12" max="12" width="11.453125" style="1137" customWidth="1"/>
    <col min="13" max="13" width="1.90625" style="1137" customWidth="1"/>
    <col min="14" max="14" width="11.6328125" style="1137" customWidth="1"/>
    <col min="15" max="15" width="2.08984375" style="1137" customWidth="1"/>
    <col min="16" max="16" width="11.453125" style="1137" customWidth="1"/>
    <col min="17" max="17" width="0.54296875" style="1137" customWidth="1"/>
    <col min="18" max="18" width="2.36328125" style="1137" customWidth="1"/>
    <col min="19" max="19" width="10.54296875" style="1137" customWidth="1"/>
    <col min="20" max="20" width="11.08984375" style="1137" customWidth="1"/>
    <col min="21" max="21" width="2.1796875" style="1137" customWidth="1"/>
    <col min="22" max="22" width="11.08984375" style="1137" customWidth="1"/>
    <col min="23" max="23" width="2.08984375" style="1137" customWidth="1"/>
    <col min="24" max="24" width="12.453125" style="1137" customWidth="1"/>
    <col min="25" max="29" width="8.90625" style="1137"/>
    <col min="30" max="30" width="8.90625" style="1852"/>
    <col min="31" max="16384" width="8.90625" style="1848"/>
  </cols>
  <sheetData>
    <row r="1" spans="1:24">
      <c r="A1" s="1172" t="s">
        <v>1103</v>
      </c>
      <c r="B1" s="388"/>
      <c r="C1" s="388"/>
      <c r="D1" s="388"/>
      <c r="E1" s="783"/>
      <c r="F1" s="389"/>
      <c r="G1" s="389"/>
      <c r="H1" s="389"/>
      <c r="I1" s="389"/>
      <c r="J1" s="389"/>
      <c r="K1" s="388"/>
      <c r="L1" s="388"/>
      <c r="M1" s="388"/>
      <c r="N1" s="388"/>
      <c r="O1" s="388"/>
      <c r="P1" s="388"/>
      <c r="Q1" s="388"/>
      <c r="R1" s="388"/>
      <c r="S1" s="388"/>
      <c r="T1" s="388"/>
      <c r="U1" s="388"/>
      <c r="V1" s="388"/>
      <c r="W1" s="388"/>
      <c r="X1" s="388"/>
    </row>
    <row r="2" spans="1:24" ht="17.25" customHeight="1">
      <c r="A2" s="390"/>
      <c r="B2" s="388"/>
      <c r="C2" s="388"/>
      <c r="D2" s="388"/>
      <c r="E2" s="783"/>
      <c r="F2" s="389"/>
      <c r="G2" s="392"/>
      <c r="H2" s="389"/>
      <c r="I2" s="389"/>
      <c r="J2" s="389"/>
      <c r="K2" s="388"/>
      <c r="L2" s="388"/>
      <c r="M2" s="388"/>
      <c r="N2" s="388"/>
      <c r="O2" s="388"/>
      <c r="P2" s="388"/>
      <c r="Q2" s="388"/>
      <c r="R2" s="388"/>
      <c r="S2" s="388"/>
      <c r="T2" s="388"/>
      <c r="U2" s="388"/>
      <c r="V2" s="388"/>
      <c r="W2" s="388"/>
      <c r="X2" s="388"/>
    </row>
    <row r="3" spans="1:24" ht="21" customHeight="1">
      <c r="A3" s="393" t="s">
        <v>0</v>
      </c>
      <c r="B3" s="358"/>
      <c r="C3" s="358"/>
      <c r="D3" s="358"/>
      <c r="E3" s="786"/>
      <c r="F3" s="344"/>
      <c r="G3" s="344"/>
      <c r="H3" s="344"/>
      <c r="I3" s="1683"/>
      <c r="J3" s="344"/>
      <c r="K3" s="1683" t="s">
        <v>86</v>
      </c>
      <c r="L3" s="358"/>
      <c r="M3" s="358"/>
      <c r="N3" s="358"/>
      <c r="O3" s="358"/>
      <c r="P3" s="358"/>
      <c r="Q3" s="358"/>
      <c r="R3" s="358"/>
      <c r="S3" s="358"/>
      <c r="T3" s="358"/>
      <c r="U3" s="358"/>
      <c r="V3" s="358"/>
      <c r="W3" s="358"/>
      <c r="X3" s="394"/>
    </row>
    <row r="4" spans="1:24" ht="21.75" customHeight="1">
      <c r="A4" s="393" t="s">
        <v>85</v>
      </c>
      <c r="B4" s="358"/>
      <c r="C4" s="358"/>
      <c r="D4" s="358"/>
      <c r="E4" s="786"/>
      <c r="F4" s="344"/>
      <c r="G4" s="344"/>
      <c r="H4" s="344"/>
      <c r="I4" s="1684"/>
      <c r="J4" s="344"/>
      <c r="K4" s="1684" t="s">
        <v>107</v>
      </c>
      <c r="L4" s="358"/>
      <c r="M4" s="358"/>
      <c r="N4" s="358"/>
      <c r="O4" s="358"/>
      <c r="P4" s="358"/>
      <c r="Q4" s="358"/>
      <c r="R4" s="358"/>
      <c r="S4" s="358"/>
      <c r="T4" s="358"/>
      <c r="U4" s="358"/>
      <c r="V4" s="358"/>
      <c r="W4" s="358"/>
      <c r="X4" s="358"/>
    </row>
    <row r="5" spans="1:24" ht="21.75" customHeight="1">
      <c r="A5" s="3020" t="s">
        <v>1457</v>
      </c>
      <c r="B5" s="358"/>
      <c r="C5" s="358"/>
      <c r="D5" s="358"/>
      <c r="E5" s="786"/>
      <c r="F5" s="344"/>
      <c r="G5" s="344"/>
      <c r="H5" s="344"/>
      <c r="I5" s="344"/>
      <c r="J5" s="344"/>
      <c r="K5" s="358"/>
      <c r="L5" s="358"/>
      <c r="M5" s="358"/>
      <c r="N5" s="358"/>
      <c r="O5" s="358"/>
      <c r="P5" s="358"/>
      <c r="Q5" s="358"/>
      <c r="R5" s="358"/>
      <c r="S5" s="358"/>
      <c r="T5" s="358"/>
      <c r="U5" s="358"/>
      <c r="V5" s="358"/>
      <c r="W5" s="358"/>
      <c r="X5" s="358"/>
    </row>
    <row r="6" spans="1:24" ht="17.25" customHeight="1">
      <c r="A6" s="2789" t="str">
        <f>+'Exh D-Governmental  '!A6</f>
        <v>FOR ONE MONTH ENDED APRIL 30, 2016</v>
      </c>
      <c r="B6" s="358"/>
      <c r="C6" s="358"/>
      <c r="D6" s="358"/>
      <c r="E6" s="786"/>
      <c r="F6" s="344"/>
      <c r="G6" s="344"/>
      <c r="H6" s="344"/>
      <c r="I6" s="344"/>
      <c r="J6" s="344"/>
      <c r="K6" s="358"/>
      <c r="L6" s="358"/>
      <c r="M6" s="358"/>
      <c r="N6" s="358"/>
      <c r="O6" s="358"/>
      <c r="P6" s="358"/>
      <c r="Q6" s="358"/>
      <c r="R6" s="358"/>
      <c r="S6" s="358"/>
      <c r="T6" s="358"/>
      <c r="U6" s="358"/>
      <c r="V6" s="358"/>
      <c r="W6" s="358"/>
      <c r="X6" s="358"/>
    </row>
    <row r="7" spans="1:24" ht="17.399999999999999">
      <c r="A7" s="393" t="s">
        <v>992</v>
      </c>
      <c r="B7" s="358"/>
      <c r="C7" s="358"/>
      <c r="D7" s="358"/>
      <c r="E7" s="786"/>
      <c r="F7" s="344"/>
      <c r="G7" s="344"/>
      <c r="H7" s="344"/>
      <c r="I7" s="344"/>
      <c r="J7" s="344"/>
      <c r="K7" s="358"/>
      <c r="L7" s="358"/>
      <c r="M7" s="358"/>
      <c r="N7" s="358"/>
      <c r="O7" s="358"/>
      <c r="P7" s="358"/>
      <c r="Q7" s="358"/>
      <c r="R7" s="358"/>
      <c r="S7" s="358"/>
      <c r="T7" s="358"/>
      <c r="U7" s="358"/>
      <c r="V7" s="358"/>
      <c r="W7" s="358"/>
      <c r="X7" s="358"/>
    </row>
    <row r="8" spans="1:24" ht="15" customHeight="1">
      <c r="A8" s="395"/>
      <c r="B8" s="358"/>
      <c r="C8" s="358"/>
      <c r="D8" s="358"/>
      <c r="E8" s="786"/>
      <c r="F8" s="344"/>
      <c r="G8" s="344"/>
      <c r="H8" s="344"/>
      <c r="I8" s="344"/>
      <c r="J8" s="344"/>
      <c r="K8" s="358"/>
      <c r="L8" s="358"/>
      <c r="M8" s="358"/>
      <c r="N8" s="358"/>
      <c r="O8" s="358"/>
      <c r="P8" s="358"/>
      <c r="Q8" s="358"/>
      <c r="R8" s="358"/>
      <c r="S8" s="358"/>
      <c r="T8" s="358"/>
      <c r="U8" s="358"/>
      <c r="V8" s="358"/>
      <c r="W8" s="358"/>
      <c r="X8" s="358"/>
    </row>
    <row r="9" spans="1:24">
      <c r="A9" s="352"/>
      <c r="B9" s="358"/>
      <c r="C9" s="358"/>
      <c r="D9" s="358"/>
      <c r="E9" s="786"/>
      <c r="F9" s="344"/>
      <c r="G9" s="344"/>
      <c r="H9" s="344"/>
      <c r="I9" s="344"/>
      <c r="J9" s="344"/>
      <c r="K9" s="358"/>
      <c r="L9" s="358"/>
      <c r="M9" s="358"/>
      <c r="N9" s="358"/>
      <c r="O9" s="358"/>
      <c r="P9" s="358"/>
      <c r="Q9" s="358"/>
      <c r="R9" s="358"/>
      <c r="S9" s="358"/>
      <c r="T9" s="358"/>
      <c r="U9" s="358"/>
      <c r="V9" s="358"/>
      <c r="W9" s="358"/>
      <c r="X9" s="358"/>
    </row>
    <row r="10" spans="1:24">
      <c r="A10" s="352"/>
      <c r="B10" s="358"/>
      <c r="C10" s="358"/>
      <c r="D10" s="358"/>
      <c r="E10" s="785"/>
      <c r="F10" s="350"/>
      <c r="G10" s="350"/>
      <c r="H10" s="350"/>
      <c r="I10" s="350"/>
      <c r="J10" s="344"/>
      <c r="K10" s="358"/>
      <c r="L10" s="358"/>
      <c r="M10" s="358"/>
      <c r="N10" s="358"/>
      <c r="O10" s="358"/>
      <c r="P10" s="358"/>
      <c r="Q10" s="358"/>
      <c r="R10" s="358"/>
      <c r="S10" s="358"/>
      <c r="T10" s="358"/>
      <c r="U10" s="358"/>
      <c r="V10" s="358"/>
      <c r="W10" s="358"/>
      <c r="X10" s="358"/>
    </row>
    <row r="11" spans="1:24" ht="15.6">
      <c r="A11" s="1343"/>
      <c r="C11" s="2297"/>
      <c r="D11" s="2297"/>
      <c r="E11" s="2330" t="s">
        <v>1296</v>
      </c>
      <c r="F11" s="2304"/>
      <c r="G11" s="2304"/>
      <c r="H11" s="2304"/>
      <c r="I11" s="2304"/>
      <c r="J11" s="2307"/>
      <c r="K11" s="2296"/>
      <c r="L11" s="396"/>
      <c r="M11" s="396"/>
      <c r="N11" s="396"/>
      <c r="O11" s="396"/>
      <c r="P11" s="396"/>
      <c r="Q11" s="396"/>
      <c r="R11" s="353"/>
      <c r="S11" s="396"/>
      <c r="T11" s="397"/>
      <c r="U11" s="396"/>
      <c r="V11" s="396"/>
      <c r="W11" s="396"/>
      <c r="X11" s="396"/>
    </row>
    <row r="12" spans="1:24" ht="15.6">
      <c r="A12" s="1343"/>
      <c r="E12" s="790"/>
      <c r="F12" s="398"/>
      <c r="G12" s="399"/>
      <c r="H12" s="398"/>
      <c r="I12" s="398" t="s">
        <v>87</v>
      </c>
      <c r="J12" s="353"/>
      <c r="K12" s="398" t="s">
        <v>87</v>
      </c>
      <c r="L12" s="396"/>
      <c r="M12" s="396"/>
      <c r="N12" s="396"/>
      <c r="O12" s="396"/>
      <c r="P12" s="396"/>
      <c r="Q12" s="396"/>
      <c r="R12" s="353"/>
      <c r="S12" s="396"/>
      <c r="T12" s="397"/>
      <c r="U12" s="396"/>
      <c r="V12" s="396"/>
      <c r="W12" s="396"/>
      <c r="X12" s="396"/>
    </row>
    <row r="13" spans="1:24" ht="15.6">
      <c r="A13" s="1343"/>
      <c r="E13" s="790"/>
      <c r="F13" s="398"/>
      <c r="G13" s="399"/>
      <c r="H13" s="398"/>
      <c r="I13" s="401" t="s">
        <v>999</v>
      </c>
      <c r="J13" s="353"/>
      <c r="K13" s="401" t="s">
        <v>999</v>
      </c>
      <c r="L13" s="396"/>
      <c r="M13" s="396"/>
      <c r="N13" s="396"/>
      <c r="O13" s="396"/>
      <c r="P13" s="396"/>
      <c r="Q13" s="396"/>
      <c r="R13" s="353"/>
      <c r="S13" s="396"/>
      <c r="T13" s="397"/>
      <c r="U13" s="396"/>
      <c r="V13" s="396"/>
      <c r="W13" s="396"/>
      <c r="X13" s="396"/>
    </row>
    <row r="14" spans="1:24" ht="15.6">
      <c r="A14" s="1343"/>
      <c r="B14" s="353"/>
      <c r="C14" s="356" t="s">
        <v>1235</v>
      </c>
      <c r="D14" s="353"/>
      <c r="E14" s="355" t="s">
        <v>1236</v>
      </c>
      <c r="F14" s="400"/>
      <c r="G14" s="400"/>
      <c r="H14" s="400"/>
      <c r="I14" s="355" t="s">
        <v>88</v>
      </c>
      <c r="J14" s="353"/>
      <c r="K14" s="355" t="s">
        <v>88</v>
      </c>
      <c r="L14" s="353"/>
      <c r="M14" s="353"/>
      <c r="N14" s="353"/>
      <c r="O14" s="353"/>
      <c r="P14" s="402"/>
      <c r="Q14" s="403"/>
      <c r="R14" s="353"/>
      <c r="S14" s="353"/>
      <c r="T14" s="353"/>
      <c r="U14" s="353"/>
      <c r="V14" s="353"/>
      <c r="W14" s="353"/>
      <c r="X14" s="402"/>
    </row>
    <row r="15" spans="1:24" ht="15.6">
      <c r="A15" s="1343"/>
      <c r="B15" s="404"/>
      <c r="C15" s="355" t="s">
        <v>1279</v>
      </c>
      <c r="D15" s="404"/>
      <c r="E15" s="355" t="s">
        <v>1279</v>
      </c>
      <c r="F15" s="354"/>
      <c r="G15" s="354"/>
      <c r="H15" s="354"/>
      <c r="I15" s="355" t="s">
        <v>1235</v>
      </c>
      <c r="J15" s="353"/>
      <c r="K15" s="355" t="s">
        <v>1236</v>
      </c>
      <c r="L15" s="403"/>
      <c r="M15" s="353"/>
      <c r="N15" s="353"/>
      <c r="O15" s="353"/>
      <c r="P15" s="402"/>
      <c r="Q15" s="403"/>
      <c r="R15" s="353"/>
      <c r="S15" s="402"/>
      <c r="T15" s="403"/>
      <c r="U15" s="353"/>
      <c r="V15" s="353"/>
      <c r="W15" s="353"/>
      <c r="X15" s="402"/>
    </row>
    <row r="16" spans="1:24" ht="15.6">
      <c r="A16" s="1343"/>
      <c r="B16" s="403"/>
      <c r="C16" s="2306" t="s">
        <v>1280</v>
      </c>
      <c r="D16" s="403"/>
      <c r="E16" s="355" t="s">
        <v>1464</v>
      </c>
      <c r="F16" s="354"/>
      <c r="G16" s="356" t="s">
        <v>87</v>
      </c>
      <c r="H16" s="354"/>
      <c r="I16" s="355" t="s">
        <v>89</v>
      </c>
      <c r="J16" s="353"/>
      <c r="K16" s="2306" t="s">
        <v>89</v>
      </c>
      <c r="L16" s="403"/>
      <c r="M16" s="353"/>
      <c r="N16" s="402"/>
      <c r="O16" s="353"/>
      <c r="P16" s="402"/>
      <c r="Q16" s="403"/>
      <c r="R16" s="353"/>
      <c r="S16" s="403"/>
      <c r="T16" s="403"/>
      <c r="U16" s="353"/>
      <c r="V16" s="402"/>
      <c r="W16" s="353"/>
      <c r="X16" s="402"/>
    </row>
    <row r="17" spans="1:24">
      <c r="A17" s="357"/>
      <c r="B17" s="358"/>
      <c r="C17" s="358"/>
      <c r="D17" s="358"/>
      <c r="E17" s="359"/>
      <c r="F17" s="344"/>
      <c r="G17" s="359"/>
      <c r="H17" s="344"/>
      <c r="I17" s="359"/>
      <c r="J17" s="358"/>
      <c r="K17" s="358"/>
      <c r="L17" s="358"/>
      <c r="M17" s="358"/>
      <c r="N17" s="358"/>
      <c r="O17" s="358"/>
      <c r="P17" s="358"/>
      <c r="Q17" s="358"/>
      <c r="R17" s="358"/>
      <c r="S17" s="358"/>
      <c r="T17" s="358"/>
      <c r="U17" s="358"/>
      <c r="V17" s="358"/>
      <c r="W17" s="358"/>
      <c r="X17" s="358"/>
    </row>
    <row r="18" spans="1:24" ht="15.6">
      <c r="A18" s="221" t="s">
        <v>15</v>
      </c>
      <c r="B18" s="1840"/>
      <c r="C18" s="1840"/>
      <c r="D18" s="1840"/>
      <c r="E18" s="1237"/>
      <c r="F18" s="1237"/>
      <c r="G18" s="1237"/>
      <c r="H18" s="1237"/>
      <c r="I18" s="1237"/>
      <c r="J18" s="1840"/>
      <c r="K18" s="1840"/>
      <c r="L18" s="1840"/>
      <c r="M18" s="1840"/>
      <c r="N18" s="1840"/>
      <c r="O18" s="1840"/>
      <c r="P18" s="1840"/>
      <c r="Q18" s="1840"/>
      <c r="R18" s="1840"/>
      <c r="S18" s="1840"/>
      <c r="T18" s="1840"/>
      <c r="U18" s="1840"/>
      <c r="V18" s="1840"/>
      <c r="W18" s="1840"/>
      <c r="X18" s="1840"/>
    </row>
    <row r="19" spans="1:24">
      <c r="A19" s="1674" t="s">
        <v>90</v>
      </c>
      <c r="B19" s="1841"/>
      <c r="C19" s="1841"/>
      <c r="D19" s="1841"/>
      <c r="E19" s="1237"/>
      <c r="F19" s="1237"/>
      <c r="G19" s="1237"/>
      <c r="H19" s="1841"/>
      <c r="I19" s="1237"/>
      <c r="J19" s="1840"/>
      <c r="K19" s="3026"/>
      <c r="L19" s="1840"/>
      <c r="M19" s="1840"/>
      <c r="N19" s="1840"/>
      <c r="O19" s="1840"/>
      <c r="P19" s="1840"/>
      <c r="Q19" s="1840"/>
      <c r="R19" s="1840"/>
      <c r="S19" s="1840"/>
      <c r="T19" s="1840"/>
      <c r="U19" s="1840"/>
      <c r="V19" s="1840"/>
      <c r="W19" s="1840"/>
      <c r="X19" s="1840"/>
    </row>
    <row r="20" spans="1:24">
      <c r="A20" s="1674" t="s">
        <v>91</v>
      </c>
      <c r="B20" s="1841"/>
      <c r="C20" s="1858">
        <f>+'Exh D Special Revenue State Fed'!C20</f>
        <v>1</v>
      </c>
      <c r="D20" s="1841"/>
      <c r="E20" s="1858">
        <f>+'Exh D Special Revenue State Fed'!E20</f>
        <v>0</v>
      </c>
      <c r="F20" s="1240"/>
      <c r="G20" s="1858">
        <f>+'Exh D Special Revenue State Fed'!G20</f>
        <v>1.3</v>
      </c>
      <c r="H20" s="1240"/>
      <c r="I20" s="1238">
        <f t="shared" ref="I20:I26" si="0">ROUND(SUM(G20)-SUM(C20),1)</f>
        <v>0.3</v>
      </c>
      <c r="J20" s="1840"/>
      <c r="K20" s="1238">
        <v>0</v>
      </c>
      <c r="L20" s="1840"/>
      <c r="M20" s="1840"/>
      <c r="N20" s="1840"/>
      <c r="O20" s="1840"/>
      <c r="P20" s="1840"/>
      <c r="Q20" s="1840"/>
      <c r="R20" s="1840"/>
      <c r="S20" s="1840"/>
      <c r="T20" s="1840"/>
      <c r="U20" s="1840"/>
      <c r="V20" s="1840"/>
      <c r="W20" s="1840"/>
      <c r="X20" s="1840"/>
    </row>
    <row r="21" spans="1:24">
      <c r="A21" s="1674" t="s">
        <v>92</v>
      </c>
      <c r="B21" s="1840"/>
      <c r="C21" s="1159">
        <f>+'Exh D Special Revenue State Fed'!C21</f>
        <v>187</v>
      </c>
      <c r="D21" s="1840"/>
      <c r="E21" s="1159">
        <f>+'Exh D Special Revenue State Fed'!E21</f>
        <v>0</v>
      </c>
      <c r="F21" s="1159"/>
      <c r="G21" s="1159">
        <f>+'Exh D Special Revenue State Fed'!G21</f>
        <v>185.4</v>
      </c>
      <c r="H21" s="1159"/>
      <c r="I21" s="1159">
        <f t="shared" si="0"/>
        <v>-1.6</v>
      </c>
      <c r="J21" s="1860"/>
      <c r="K21" s="2993">
        <v>0</v>
      </c>
      <c r="L21" s="1840"/>
      <c r="M21" s="1840"/>
      <c r="N21" s="1840"/>
      <c r="O21" s="1840"/>
      <c r="P21" s="1840"/>
      <c r="Q21" s="1840"/>
      <c r="R21" s="1840"/>
      <c r="S21" s="1840"/>
      <c r="T21" s="1840"/>
      <c r="U21" s="1840"/>
      <c r="V21" s="1840"/>
      <c r="W21" s="1840"/>
      <c r="X21" s="1840"/>
    </row>
    <row r="22" spans="1:24">
      <c r="A22" s="1674" t="s">
        <v>93</v>
      </c>
      <c r="B22" s="1841"/>
      <c r="C22" s="1159">
        <f>+'Exh D Special Revenue State Fed'!C22</f>
        <v>71</v>
      </c>
      <c r="D22" s="1841"/>
      <c r="E22" s="1159">
        <f>+'Exh D Special Revenue State Fed'!E22</f>
        <v>0</v>
      </c>
      <c r="F22" s="1313"/>
      <c r="G22" s="1159">
        <f>+'Exh D Special Revenue State Fed'!G22</f>
        <v>73.3</v>
      </c>
      <c r="H22" s="1313"/>
      <c r="I22" s="1159">
        <f t="shared" si="0"/>
        <v>2.2999999999999998</v>
      </c>
      <c r="J22" s="1861"/>
      <c r="K22" s="2993">
        <v>0</v>
      </c>
      <c r="L22" s="1840"/>
      <c r="M22" s="1862"/>
      <c r="N22" s="1840"/>
      <c r="O22" s="1862"/>
      <c r="P22" s="1840"/>
      <c r="Q22" s="1840"/>
      <c r="R22" s="1862"/>
      <c r="S22" s="1840"/>
      <c r="T22" s="1840"/>
      <c r="U22" s="1862"/>
      <c r="V22" s="405"/>
      <c r="W22" s="1862"/>
      <c r="X22" s="1840"/>
    </row>
    <row r="23" spans="1:24">
      <c r="A23" s="1674" t="s">
        <v>94</v>
      </c>
      <c r="B23" s="1840"/>
      <c r="C23" s="1159">
        <f>+'Exh D Special Revenue State Fed'!C23</f>
        <v>104</v>
      </c>
      <c r="D23" s="1840"/>
      <c r="E23" s="1159">
        <f>+'Exh D Special Revenue State Fed'!E23</f>
        <v>0</v>
      </c>
      <c r="F23" s="1159"/>
      <c r="G23" s="1159">
        <f>+'Exh D Special Revenue State Fed'!G23</f>
        <v>116.6</v>
      </c>
      <c r="H23" s="1159"/>
      <c r="I23" s="1159">
        <f t="shared" si="0"/>
        <v>12.6</v>
      </c>
      <c r="J23" s="1860"/>
      <c r="K23" s="2993">
        <v>0</v>
      </c>
      <c r="L23" s="1840"/>
      <c r="M23" s="1840"/>
      <c r="N23" s="1840"/>
      <c r="O23" s="1840"/>
      <c r="P23" s="1840"/>
      <c r="Q23" s="1840"/>
      <c r="R23" s="1840"/>
      <c r="S23" s="1840"/>
      <c r="T23" s="1840"/>
      <c r="U23" s="1840"/>
      <c r="V23" s="1840"/>
      <c r="W23" s="1840"/>
      <c r="X23" s="1840"/>
    </row>
    <row r="24" spans="1:24" ht="15" customHeight="1">
      <c r="A24" s="1674" t="s">
        <v>21</v>
      </c>
      <c r="B24" s="1840"/>
      <c r="C24" s="1159">
        <f>+'Exh D Special Revenue State Fed'!C24+'Exh D Special Revenue State Fed'!N24</f>
        <v>1305</v>
      </c>
      <c r="D24" s="1840"/>
      <c r="E24" s="1159">
        <f>+'Exh D Special Revenue State Fed'!E24+'Exh D Special Revenue State Fed'!P24</f>
        <v>0</v>
      </c>
      <c r="F24" s="1159"/>
      <c r="G24" s="1159">
        <f>+'Exh D Special Revenue State Fed'!G24+'Exh D Special Revenue State Fed'!R24</f>
        <v>1291.3</v>
      </c>
      <c r="H24" s="1159"/>
      <c r="I24" s="1159">
        <f t="shared" si="0"/>
        <v>-13.7</v>
      </c>
      <c r="J24" s="1860"/>
      <c r="K24" s="2993">
        <v>0</v>
      </c>
      <c r="L24" s="1840"/>
      <c r="M24" s="1840"/>
      <c r="N24" s="1840"/>
      <c r="O24" s="1840"/>
      <c r="P24" s="1840"/>
      <c r="Q24" s="1840"/>
      <c r="R24" s="1840"/>
      <c r="S24" s="1840"/>
      <c r="T24" s="1840"/>
      <c r="U24" s="1840"/>
      <c r="V24" s="1840"/>
      <c r="W24" s="1840"/>
      <c r="X24" s="1840"/>
    </row>
    <row r="25" spans="1:24" ht="15" customHeight="1">
      <c r="A25" s="1674" t="s">
        <v>22</v>
      </c>
      <c r="B25" s="1840"/>
      <c r="C25" s="1159">
        <f>+'Exh D Special Revenue State Fed'!C25+'Exh D Special Revenue State Fed'!N25</f>
        <v>3138</v>
      </c>
      <c r="D25" s="1840"/>
      <c r="E25" s="1159">
        <f>+'Exh D Special Revenue State Fed'!E25+'Exh D Special Revenue State Fed'!P25</f>
        <v>0</v>
      </c>
      <c r="F25" s="1159"/>
      <c r="G25" s="1159">
        <f>+'Exh D Special Revenue State Fed'!G25+'Exh D Special Revenue State Fed'!R25</f>
        <v>3149.5</v>
      </c>
      <c r="H25" s="1159"/>
      <c r="I25" s="1159">
        <f t="shared" si="0"/>
        <v>11.5</v>
      </c>
      <c r="J25" s="1860"/>
      <c r="K25" s="2993">
        <v>0</v>
      </c>
      <c r="L25" s="1865"/>
      <c r="M25" s="1840"/>
      <c r="N25" s="1865"/>
      <c r="O25" s="1840"/>
      <c r="P25" s="1865"/>
      <c r="Q25" s="1866"/>
      <c r="R25" s="1840"/>
      <c r="S25" s="1840"/>
      <c r="T25" s="1840"/>
      <c r="U25" s="1840"/>
      <c r="V25" s="1840"/>
      <c r="W25" s="1840"/>
      <c r="X25" s="1840"/>
    </row>
    <row r="26" spans="1:24">
      <c r="A26" s="1674" t="s">
        <v>1494</v>
      </c>
      <c r="B26" s="1865"/>
      <c r="C26" s="1845">
        <f>+'Exh D Special Revenue State Fed'!C26</f>
        <v>557</v>
      </c>
      <c r="D26" s="1865"/>
      <c r="E26" s="1845">
        <f>+'Exh D Special Revenue State Fed'!E26</f>
        <v>0</v>
      </c>
      <c r="F26" s="1159"/>
      <c r="G26" s="1845">
        <f>+'Exh D Special Revenue State Fed'!G26</f>
        <v>545.9</v>
      </c>
      <c r="H26" s="1159"/>
      <c r="I26" s="1846">
        <f t="shared" si="0"/>
        <v>-11.1</v>
      </c>
      <c r="J26" s="1860"/>
      <c r="K26" s="1846">
        <v>0</v>
      </c>
      <c r="L26" s="1865"/>
      <c r="M26" s="1840"/>
      <c r="N26" s="1865"/>
      <c r="O26" s="1840"/>
      <c r="P26" s="1865"/>
      <c r="Q26" s="1866"/>
      <c r="R26" s="1840"/>
      <c r="S26" s="1840"/>
      <c r="T26" s="1840"/>
      <c r="U26" s="1840"/>
      <c r="V26" s="1840"/>
      <c r="W26" s="1840"/>
      <c r="X26" s="1840"/>
    </row>
    <row r="27" spans="1:24" ht="18" customHeight="1">
      <c r="A27" s="2195" t="s">
        <v>113</v>
      </c>
      <c r="B27" s="353"/>
      <c r="C27" s="1692">
        <f>ROUND(SUM(C20:C26),1)</f>
        <v>5363</v>
      </c>
      <c r="D27" s="353"/>
      <c r="E27" s="1692">
        <f>ROUND(SUM(E20:E26),1)</f>
        <v>0</v>
      </c>
      <c r="F27" s="1838"/>
      <c r="G27" s="1692">
        <f>ROUND(SUM(G20:G26),1)</f>
        <v>5363.3</v>
      </c>
      <c r="H27" s="1838"/>
      <c r="I27" s="1692">
        <f>ROUND(SUM(I20:I26),1)</f>
        <v>0.3</v>
      </c>
      <c r="J27" s="273"/>
      <c r="K27" s="3029">
        <f>ROUND(SUM(K20:K26),1)</f>
        <v>0</v>
      </c>
      <c r="L27" s="353"/>
      <c r="M27" s="353"/>
      <c r="N27" s="353"/>
      <c r="O27" s="353"/>
      <c r="P27" s="353"/>
      <c r="Q27" s="353"/>
      <c r="R27" s="353"/>
      <c r="S27" s="353"/>
      <c r="T27" s="353"/>
      <c r="U27" s="353"/>
      <c r="V27" s="353"/>
      <c r="W27" s="353"/>
      <c r="X27" s="353"/>
    </row>
    <row r="28" spans="1:24">
      <c r="A28" s="1343"/>
      <c r="B28" s="1840"/>
      <c r="C28" s="1860"/>
      <c r="D28" s="1840"/>
      <c r="E28" s="1341"/>
      <c r="F28" s="1159"/>
      <c r="G28" s="1341"/>
      <c r="H28" s="1159"/>
      <c r="I28" s="1341"/>
      <c r="J28" s="1860"/>
      <c r="K28" s="1341"/>
      <c r="L28" s="1840"/>
      <c r="M28" s="1840"/>
      <c r="N28" s="1840"/>
      <c r="O28" s="1840"/>
      <c r="P28" s="1840"/>
      <c r="Q28" s="1840"/>
      <c r="R28" s="1840"/>
      <c r="S28" s="1840"/>
      <c r="T28" s="1840"/>
      <c r="U28" s="1840"/>
      <c r="V28" s="1840"/>
      <c r="W28" s="1840"/>
      <c r="X28" s="1840"/>
    </row>
    <row r="29" spans="1:24" ht="15.6">
      <c r="A29" s="221" t="s">
        <v>24</v>
      </c>
      <c r="B29" s="1840"/>
      <c r="C29" s="1860"/>
      <c r="D29" s="1840"/>
      <c r="E29" s="1159"/>
      <c r="F29" s="1159"/>
      <c r="G29" s="1159"/>
      <c r="H29" s="1159"/>
      <c r="I29" s="1159"/>
      <c r="J29" s="1860"/>
      <c r="K29" s="3028"/>
      <c r="L29" s="1840"/>
      <c r="M29" s="1840"/>
      <c r="N29" s="1840"/>
      <c r="O29" s="1840"/>
      <c r="P29" s="1840"/>
      <c r="Q29" s="1840"/>
      <c r="R29" s="1840"/>
      <c r="S29" s="1840"/>
      <c r="T29" s="1840"/>
      <c r="U29" s="1840"/>
      <c r="V29" s="1840"/>
      <c r="W29" s="1840"/>
      <c r="X29" s="1840"/>
    </row>
    <row r="30" spans="1:24">
      <c r="A30" s="1674" t="s">
        <v>96</v>
      </c>
      <c r="B30" s="1862"/>
      <c r="C30" s="1313">
        <f>+'Exh D Special Revenue State Fed'!C30+'Exh D Special Revenue State Fed'!N30</f>
        <v>3987</v>
      </c>
      <c r="D30" s="1862"/>
      <c r="E30" s="1313">
        <f>+'Exh D Special Revenue State Fed'!E30+'Exh D Special Revenue State Fed'!P30</f>
        <v>0</v>
      </c>
      <c r="F30" s="1159"/>
      <c r="G30" s="1313">
        <f>+'Exh D Special Revenue State Fed'!G30+'Exh D Special Revenue State Fed'!R30</f>
        <v>3960.4</v>
      </c>
      <c r="H30" s="1159"/>
      <c r="I30" s="1159">
        <f>ROUND(SUM(G30)-SUM(C30),1)</f>
        <v>-26.6</v>
      </c>
      <c r="J30" s="1860"/>
      <c r="K30" s="2993">
        <v>0</v>
      </c>
      <c r="L30" s="1865"/>
      <c r="M30" s="1840"/>
      <c r="N30" s="1865"/>
      <c r="O30" s="1840"/>
      <c r="P30" s="1865"/>
      <c r="Q30" s="1866"/>
      <c r="R30" s="1840"/>
      <c r="S30" s="1840"/>
      <c r="T30" s="1840"/>
      <c r="U30" s="1840"/>
      <c r="V30" s="1840"/>
      <c r="W30" s="1840"/>
      <c r="X30" s="1840"/>
    </row>
    <row r="31" spans="1:24">
      <c r="A31" s="1674" t="s">
        <v>97</v>
      </c>
      <c r="B31" s="1862"/>
      <c r="C31" s="1313">
        <f>+'Exh D Special Revenue State Fed'!C31+'Exh D Special Revenue State Fed'!N31</f>
        <v>859</v>
      </c>
      <c r="D31" s="1862"/>
      <c r="E31" s="1313">
        <f>+'Exh D Special Revenue State Fed'!E31+'Exh D Special Revenue State Fed'!P31</f>
        <v>0</v>
      </c>
      <c r="F31" s="1159"/>
      <c r="G31" s="1313">
        <f>+'Exh D Special Revenue State Fed'!G31+'Exh D Special Revenue State Fed'!R31</f>
        <v>860</v>
      </c>
      <c r="H31" s="1159"/>
      <c r="I31" s="1159">
        <f>ROUND(SUM(G31)-SUM(C31),1)</f>
        <v>1</v>
      </c>
      <c r="J31" s="1860"/>
      <c r="K31" s="2993">
        <v>0</v>
      </c>
      <c r="L31" s="1862"/>
      <c r="M31" s="1840"/>
      <c r="N31" s="1862"/>
      <c r="O31" s="1840"/>
      <c r="P31" s="1865"/>
      <c r="Q31" s="1840"/>
      <c r="R31" s="1840"/>
      <c r="S31" s="1865"/>
      <c r="T31" s="1865"/>
      <c r="U31" s="1840"/>
      <c r="V31" s="1865"/>
      <c r="W31" s="1840"/>
      <c r="X31" s="1865"/>
    </row>
    <row r="32" spans="1:24">
      <c r="A32" s="1674" t="s">
        <v>72</v>
      </c>
      <c r="B32" s="1862"/>
      <c r="C32" s="1313">
        <f>+'Exh D Special Revenue State Fed'!C32+'Exh D Special Revenue State Fed'!N32</f>
        <v>190</v>
      </c>
      <c r="D32" s="1862"/>
      <c r="E32" s="1336">
        <f>+'Exh D Special Revenue State Fed'!E32+'Exh D Special Revenue State Fed'!P32</f>
        <v>0</v>
      </c>
      <c r="F32" s="1159"/>
      <c r="G32" s="1313">
        <f>+'Exh D Special Revenue State Fed'!G32+'Exh D Special Revenue State Fed'!R32</f>
        <v>189.5</v>
      </c>
      <c r="H32" s="1159"/>
      <c r="I32" s="1159">
        <f>ROUND(SUM(G32)-SUM(C32),1)</f>
        <v>-0.5</v>
      </c>
      <c r="J32" s="1860"/>
      <c r="K32" s="2993">
        <v>0</v>
      </c>
      <c r="L32" s="1865"/>
      <c r="M32" s="1840"/>
      <c r="N32" s="1865"/>
      <c r="O32" s="1840"/>
      <c r="P32" s="1865"/>
      <c r="Q32" s="1866"/>
      <c r="R32" s="1840"/>
      <c r="S32" s="1865"/>
      <c r="T32" s="1865"/>
      <c r="U32" s="1840"/>
      <c r="V32" s="1865"/>
      <c r="W32" s="1840"/>
      <c r="X32" s="1865"/>
    </row>
    <row r="33" spans="1:24">
      <c r="A33" s="1674" t="s">
        <v>43</v>
      </c>
      <c r="B33" s="1862"/>
      <c r="C33" s="1339">
        <f>+'Exh D Special Revenue State Fed'!C33+'Exh D Special Revenue State Fed'!N33</f>
        <v>0</v>
      </c>
      <c r="D33" s="1862"/>
      <c r="E33" s="1339">
        <f>+'Exh D Special Revenue State Fed'!E33+'Exh D Special Revenue State Fed'!P33</f>
        <v>0</v>
      </c>
      <c r="F33" s="1159"/>
      <c r="G33" s="1339">
        <f>+'Exh D Special Revenue State Fed'!G33+'Exh D Special Revenue State Fed'!R33</f>
        <v>0.1</v>
      </c>
      <c r="H33" s="1159"/>
      <c r="I33" s="1159">
        <f>ROUND(SUM(G33)-SUM(C33),1)</f>
        <v>0.1</v>
      </c>
      <c r="J33" s="1860"/>
      <c r="K33" s="2993">
        <v>0</v>
      </c>
      <c r="L33" s="1865"/>
      <c r="M33" s="1840"/>
      <c r="N33" s="1865"/>
      <c r="O33" s="1840"/>
      <c r="P33" s="1865"/>
      <c r="Q33" s="1866"/>
      <c r="R33" s="1840"/>
      <c r="S33" s="1840"/>
      <c r="T33" s="1840"/>
      <c r="U33" s="1840"/>
      <c r="V33" s="1840"/>
      <c r="W33" s="1840"/>
      <c r="X33" s="1840"/>
    </row>
    <row r="34" spans="1:24">
      <c r="A34" s="1674" t="s">
        <v>1495</v>
      </c>
      <c r="B34" s="1862"/>
      <c r="C34" s="1313">
        <f>+'Exh D Special Revenue State Fed'!C34+'Exh D Special Revenue State Fed'!N34</f>
        <v>98</v>
      </c>
      <c r="D34" s="1862"/>
      <c r="E34" s="1313">
        <f>+'Exh D Special Revenue State Fed'!E34+'Exh D Special Revenue State Fed'!P34</f>
        <v>0</v>
      </c>
      <c r="F34" s="1159"/>
      <c r="G34" s="1313">
        <f>+'Exh D Special Revenue State Fed'!G34+'Exh D Special Revenue State Fed'!R34</f>
        <v>89.800000000000011</v>
      </c>
      <c r="H34" s="1159"/>
      <c r="I34" s="1159">
        <f>ROUND(SUM(G34)-SUM(C34),1)</f>
        <v>-8.1999999999999993</v>
      </c>
      <c r="J34" s="1860"/>
      <c r="K34" s="2993">
        <v>0</v>
      </c>
      <c r="L34" s="1865"/>
      <c r="M34" s="1840"/>
      <c r="N34" s="1865"/>
      <c r="O34" s="1840"/>
      <c r="P34" s="1865"/>
      <c r="Q34" s="1866"/>
      <c r="R34" s="1840"/>
      <c r="S34" s="1840"/>
      <c r="T34" s="1840"/>
      <c r="U34" s="1840"/>
      <c r="V34" s="1840"/>
      <c r="W34" s="1840"/>
      <c r="X34" s="1840"/>
    </row>
    <row r="35" spans="1:24" ht="18" customHeight="1">
      <c r="A35" s="3021" t="s">
        <v>16</v>
      </c>
      <c r="B35" s="353"/>
      <c r="C35" s="544">
        <f>ROUND(SUM(C30:C34),1)</f>
        <v>5134</v>
      </c>
      <c r="D35" s="353"/>
      <c r="E35" s="419">
        <f>ROUND(SUM(E30:E34),1)</f>
        <v>0</v>
      </c>
      <c r="F35" s="1838"/>
      <c r="G35" s="419">
        <f>ROUND(SUM(G30:G34),1)</f>
        <v>5099.8</v>
      </c>
      <c r="H35" s="1838"/>
      <c r="I35" s="419">
        <f>ROUND(SUM(I30:I34),1)</f>
        <v>-34.200000000000003</v>
      </c>
      <c r="J35" s="273"/>
      <c r="K35" s="3031">
        <f>ROUND(SUM(K30:K34),1)</f>
        <v>0</v>
      </c>
      <c r="L35" s="353"/>
      <c r="M35" s="353"/>
      <c r="N35" s="353"/>
      <c r="O35" s="353"/>
      <c r="P35" s="353"/>
      <c r="Q35" s="353"/>
      <c r="R35" s="353"/>
      <c r="S35" s="353"/>
      <c r="T35" s="353"/>
      <c r="U35" s="353"/>
      <c r="V35" s="353"/>
      <c r="W35" s="353"/>
      <c r="X35" s="353"/>
    </row>
    <row r="36" spans="1:24">
      <c r="A36" s="1343"/>
      <c r="B36" s="1840"/>
      <c r="C36" s="1860"/>
      <c r="D36" s="1840"/>
      <c r="E36" s="1341"/>
      <c r="F36" s="1159"/>
      <c r="G36" s="1341"/>
      <c r="H36" s="1159"/>
      <c r="I36" s="1341"/>
      <c r="J36" s="1860"/>
      <c r="K36" s="3030"/>
      <c r="L36" s="1840"/>
      <c r="M36" s="1840"/>
      <c r="N36" s="1840"/>
      <c r="O36" s="1840"/>
      <c r="P36" s="1840"/>
      <c r="Q36" s="1840"/>
      <c r="R36" s="1840"/>
      <c r="S36" s="1840"/>
      <c r="T36" s="1840"/>
      <c r="U36" s="1840"/>
      <c r="V36" s="1840"/>
      <c r="W36" s="1840"/>
      <c r="X36" s="1840"/>
    </row>
    <row r="37" spans="1:24" ht="15.6">
      <c r="A37" s="221" t="s">
        <v>123</v>
      </c>
      <c r="B37" s="1840"/>
      <c r="C37" s="1860"/>
      <c r="D37" s="1840"/>
      <c r="E37" s="1159"/>
      <c r="F37" s="1159"/>
      <c r="G37" s="1159"/>
      <c r="H37" s="1159"/>
      <c r="I37" s="1159"/>
      <c r="J37" s="1860"/>
      <c r="K37" s="3028"/>
      <c r="L37" s="1840"/>
      <c r="M37" s="1840"/>
      <c r="N37" s="1840"/>
      <c r="O37" s="1840"/>
      <c r="P37" s="1840"/>
      <c r="Q37" s="1840"/>
      <c r="R37" s="1840"/>
      <c r="S37" s="1840"/>
      <c r="T37" s="1840"/>
      <c r="U37" s="1840"/>
      <c r="V37" s="1840"/>
      <c r="W37" s="1840"/>
      <c r="X37" s="1840"/>
    </row>
    <row r="38" spans="1:24" ht="15.6">
      <c r="A38" s="221" t="s">
        <v>124</v>
      </c>
      <c r="B38" s="1840"/>
      <c r="C38" s="1860"/>
      <c r="D38" s="1840"/>
      <c r="E38" s="1159"/>
      <c r="F38" s="1159"/>
      <c r="G38" s="1159"/>
      <c r="H38" s="1159"/>
      <c r="I38" s="1159"/>
      <c r="J38" s="1860"/>
      <c r="K38" s="3028"/>
      <c r="L38" s="1840"/>
      <c r="M38" s="1840"/>
      <c r="N38" s="1840"/>
      <c r="O38" s="1840"/>
      <c r="P38" s="1840"/>
      <c r="Q38" s="1840"/>
      <c r="R38" s="1840"/>
      <c r="S38" s="1840"/>
      <c r="T38" s="1840"/>
      <c r="U38" s="1840"/>
      <c r="V38" s="1840"/>
      <c r="W38" s="1840"/>
      <c r="X38" s="1840"/>
    </row>
    <row r="39" spans="1:24" ht="15.6">
      <c r="A39" s="2195" t="s">
        <v>105</v>
      </c>
      <c r="B39" s="377"/>
      <c r="C39" s="273">
        <f>ROUND(SUM(C27)-SUM(C35),1)</f>
        <v>229</v>
      </c>
      <c r="D39" s="377"/>
      <c r="E39" s="273">
        <f>ROUND(SUM(E27)-SUM(E35),1)</f>
        <v>0</v>
      </c>
      <c r="F39" s="284"/>
      <c r="G39" s="273">
        <f>ROUND(SUM(G27)-SUM(G35),1)</f>
        <v>263.5</v>
      </c>
      <c r="H39" s="284"/>
      <c r="I39" s="273">
        <f>ROUND(SUM(I27)-SUM(I35),1)</f>
        <v>34.5</v>
      </c>
      <c r="J39" s="741"/>
      <c r="K39" s="3032">
        <f>ROUND(SUM(K27)-SUM(K35),1)</f>
        <v>0</v>
      </c>
      <c r="L39" s="353"/>
      <c r="M39" s="376"/>
      <c r="N39" s="353"/>
      <c r="O39" s="376"/>
      <c r="P39" s="353"/>
      <c r="Q39" s="353"/>
      <c r="R39" s="376"/>
      <c r="S39" s="353"/>
      <c r="T39" s="353"/>
      <c r="U39" s="376"/>
      <c r="V39" s="353"/>
      <c r="W39" s="376"/>
      <c r="X39" s="353"/>
    </row>
    <row r="40" spans="1:24" ht="15" customHeight="1">
      <c r="C40" s="1255"/>
      <c r="E40" s="1255"/>
      <c r="F40" s="1849"/>
      <c r="G40" s="1255"/>
      <c r="H40" s="1849"/>
      <c r="I40" s="1255"/>
      <c r="J40" s="1255"/>
      <c r="K40" s="3033"/>
    </row>
    <row r="41" spans="1:24" ht="15.6">
      <c r="A41" s="2195" t="str">
        <f>+'Exh D-Governmental  '!A49</f>
        <v>Fund Balances (Deficits) at April 1</v>
      </c>
      <c r="C41" s="273">
        <v>3607</v>
      </c>
      <c r="E41" s="273">
        <v>0</v>
      </c>
      <c r="F41" s="1849"/>
      <c r="G41" s="2994">
        <v>3607.1</v>
      </c>
      <c r="H41" s="1849"/>
      <c r="I41" s="281">
        <f>ROUND(SUM(G41-C41),1)</f>
        <v>0.1</v>
      </c>
      <c r="J41" s="1255"/>
      <c r="K41" s="281">
        <v>0</v>
      </c>
    </row>
    <row r="42" spans="1:24" ht="18" customHeight="1" thickBot="1">
      <c r="A42" s="2562" t="str">
        <f>+'Exh D-Governmental  '!A50</f>
        <v>Fund Balances (Deficits) at April 30, 2016</v>
      </c>
      <c r="B42" s="377"/>
      <c r="C42" s="298">
        <f>ROUND(SUM(C39:C41),1)</f>
        <v>3836</v>
      </c>
      <c r="D42" s="377"/>
      <c r="E42" s="298">
        <f>ROUND(SUM(E39:E41),1)</f>
        <v>0</v>
      </c>
      <c r="F42" s="383"/>
      <c r="G42" s="298">
        <f>ROUND(SUM(G39:G41),1)</f>
        <v>3870.6</v>
      </c>
      <c r="H42" s="383"/>
      <c r="I42" s="298">
        <f>ROUND(SUM(I39:I41),1)</f>
        <v>34.6</v>
      </c>
      <c r="K42" s="3034">
        <f>ROUND(SUM(K39:K41),1)</f>
        <v>0</v>
      </c>
    </row>
    <row r="43" spans="1:24" ht="15" customHeight="1" thickTop="1">
      <c r="A43" s="357"/>
      <c r="E43" s="1342"/>
      <c r="F43" s="1868"/>
      <c r="G43" s="1868"/>
      <c r="H43" s="1868"/>
      <c r="I43" s="1868"/>
      <c r="K43" s="3027"/>
    </row>
    <row r="44" spans="1:24">
      <c r="A44" s="1853" t="s">
        <v>1530</v>
      </c>
    </row>
    <row r="45" spans="1:24">
      <c r="A45" s="2851" t="s">
        <v>1499</v>
      </c>
    </row>
    <row r="46" spans="1:24">
      <c r="A46" s="2851" t="s">
        <v>1398</v>
      </c>
    </row>
    <row r="47" spans="1:24">
      <c r="A47" s="1869"/>
    </row>
    <row r="49" spans="1:1">
      <c r="A49" s="406"/>
    </row>
    <row r="50" spans="1:1">
      <c r="A50" s="406"/>
    </row>
  </sheetData>
  <customSheetViews>
    <customSheetView guid="{8EE6466D-211E-4E05-9F84-CC0A1C6F79F4}" scale="80" showGridLines="0" fitToPage="1" topLeftCell="A10">
      <selection activeCell="A12" sqref="A12"/>
      <pageMargins left="0.7" right="0.7" top="0.75" bottom="0.6" header="0.3" footer="0.3"/>
      <pageSetup scale="68" orientation="landscape" r:id="rId1"/>
      <headerFooter scaleWithDoc="0">
        <oddFooter>&amp;C&amp;8 10</oddFooter>
      </headerFooter>
    </customSheetView>
  </customSheetViews>
  <pageMargins left="0.7" right="0.7" top="0.75" bottom="0.6" header="0.3" footer="0.3"/>
  <pageSetup scale="60" firstPageNumber="10" orientation="landscape" useFirstPageNumber="1" r:id="rId2"/>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W49"/>
  <sheetViews>
    <sheetView zoomScale="70" zoomScaleNormal="70" workbookViewId="0"/>
  </sheetViews>
  <sheetFormatPr defaultColWidth="8.90625" defaultRowHeight="15"/>
  <cols>
    <col min="1" max="1" width="53.08984375" style="1848" customWidth="1"/>
    <col min="2" max="2" width="0.81640625" style="1137" customWidth="1"/>
    <col min="3" max="3" width="15.81640625" style="789" customWidth="1"/>
    <col min="4" max="4" width="0.81640625" style="1852" customWidth="1"/>
    <col min="5" max="5" width="15.81640625" style="789" customWidth="1"/>
    <col min="6" max="6" width="0.81640625" style="1852" customWidth="1"/>
    <col min="7" max="7" width="15.81640625" style="1852" customWidth="1"/>
    <col min="8" max="8" width="0.6328125" style="1852" customWidth="1"/>
    <col min="9" max="9" width="15.81640625" style="1852" customWidth="1"/>
    <col min="10" max="10" width="0.81640625" style="1852" customWidth="1"/>
    <col min="11" max="11" width="15.81640625" style="1852" customWidth="1"/>
    <col min="12" max="12" width="1.6328125" style="1137" customWidth="1"/>
    <col min="13" max="13" width="0.6328125" style="1137" customWidth="1"/>
    <col min="14" max="14" width="15.81640625" style="1137" customWidth="1"/>
    <col min="15" max="15" width="1.36328125" style="1137" customWidth="1"/>
    <col min="16" max="16" width="15.81640625" style="1137" customWidth="1"/>
    <col min="17" max="17" width="1.36328125" style="1137" customWidth="1"/>
    <col min="18" max="18" width="15.81640625" style="1137" customWidth="1"/>
    <col min="19" max="19" width="0.54296875" style="1137" customWidth="1"/>
    <col min="20" max="20" width="15.81640625" style="1137" customWidth="1"/>
    <col min="21" max="21" width="1.36328125" style="1137" customWidth="1"/>
    <col min="22" max="22" width="15.81640625" style="789" customWidth="1"/>
    <col min="23" max="23" width="1" style="1137" customWidth="1"/>
    <col min="24" max="24" width="3.6328125" style="789" customWidth="1"/>
    <col min="25" max="25" width="1" style="1137" customWidth="1"/>
    <col min="26" max="26" width="15.81640625" style="1137" customWidth="1"/>
    <col min="27" max="27" width="0.81640625" style="1137" customWidth="1"/>
    <col min="28" max="28" width="15.81640625" style="1137" customWidth="1"/>
    <col min="29" max="29" width="0.36328125" style="1137" customWidth="1"/>
    <col min="30" max="30" width="11.90625" style="1137" customWidth="1"/>
    <col min="31" max="31" width="11.453125" style="1137" customWidth="1"/>
    <col min="32" max="32" width="1.90625" style="1137" customWidth="1"/>
    <col min="33" max="33" width="11.6328125" style="1137" customWidth="1"/>
    <col min="34" max="34" width="2.08984375" style="1137" customWidth="1"/>
    <col min="35" max="35" width="11.453125" style="1137" customWidth="1"/>
    <col min="36" max="36" width="0.54296875" style="1137" customWidth="1"/>
    <col min="37" max="37" width="2.36328125" style="1137" customWidth="1"/>
    <col min="38" max="38" width="10.54296875" style="1137" customWidth="1"/>
    <col min="39" max="39" width="11.08984375" style="1137" customWidth="1"/>
    <col min="40" max="40" width="2.1796875" style="1137" customWidth="1"/>
    <col min="41" max="41" width="11.08984375" style="1137" customWidth="1"/>
    <col min="42" max="42" width="2.08984375" style="1137" customWidth="1"/>
    <col min="43" max="43" width="12.453125" style="1137" customWidth="1"/>
    <col min="44" max="48" width="8.90625" style="1137"/>
    <col min="49" max="49" width="8.90625" style="1852"/>
    <col min="50" max="16384" width="8.90625" style="1848"/>
  </cols>
  <sheetData>
    <row r="1" spans="1:49">
      <c r="A1" s="1854" t="s">
        <v>1103</v>
      </c>
      <c r="B1" s="388"/>
      <c r="C1" s="783"/>
      <c r="D1" s="389"/>
      <c r="E1" s="783"/>
      <c r="F1" s="389"/>
      <c r="G1" s="389"/>
      <c r="H1" s="389"/>
      <c r="I1" s="389"/>
      <c r="J1" s="389"/>
      <c r="K1" s="389"/>
      <c r="L1" s="388"/>
      <c r="M1" s="388"/>
      <c r="N1" s="388"/>
      <c r="O1" s="388"/>
      <c r="P1" s="388"/>
      <c r="Q1" s="388"/>
      <c r="R1" s="388"/>
      <c r="S1" s="388"/>
      <c r="T1" s="388"/>
      <c r="U1" s="388"/>
      <c r="V1" s="2308"/>
      <c r="W1" s="388"/>
      <c r="X1" s="2308"/>
      <c r="Y1" s="388"/>
      <c r="Z1" s="388"/>
      <c r="AA1" s="388"/>
      <c r="AB1" s="388"/>
      <c r="AC1" s="389"/>
      <c r="AD1" s="388"/>
      <c r="AE1" s="388"/>
      <c r="AF1" s="388"/>
      <c r="AG1" s="388"/>
      <c r="AH1" s="388"/>
      <c r="AI1" s="388"/>
      <c r="AJ1" s="388"/>
      <c r="AK1" s="388"/>
      <c r="AL1" s="388"/>
      <c r="AM1" s="388"/>
      <c r="AN1" s="388"/>
      <c r="AO1" s="388"/>
      <c r="AP1" s="388"/>
      <c r="AQ1" s="388"/>
      <c r="AR1" s="1848"/>
      <c r="AS1" s="1848"/>
      <c r="AT1" s="1848"/>
      <c r="AU1" s="1848"/>
      <c r="AV1" s="1848"/>
      <c r="AW1" s="1848"/>
    </row>
    <row r="2" spans="1:49" ht="17.25" customHeight="1">
      <c r="A2" s="390"/>
      <c r="B2" s="391"/>
      <c r="C2" s="784"/>
      <c r="D2" s="389"/>
      <c r="E2" s="784"/>
      <c r="F2" s="389"/>
      <c r="G2" s="389"/>
      <c r="H2" s="389"/>
      <c r="I2" s="389"/>
      <c r="J2" s="389"/>
      <c r="K2" s="389"/>
      <c r="L2" s="388"/>
      <c r="M2" s="388"/>
      <c r="N2" s="388"/>
      <c r="O2" s="388"/>
      <c r="P2" s="388"/>
      <c r="Q2" s="388"/>
      <c r="R2" s="388"/>
      <c r="S2" s="388"/>
      <c r="T2" s="388"/>
      <c r="U2" s="388"/>
      <c r="V2" s="2308"/>
      <c r="W2" s="388"/>
      <c r="X2" s="2308"/>
      <c r="Y2" s="388"/>
      <c r="Z2" s="2309"/>
      <c r="AA2" s="388"/>
      <c r="AB2" s="388"/>
      <c r="AC2" s="389"/>
      <c r="AD2" s="388"/>
      <c r="AE2" s="388"/>
      <c r="AF2" s="388"/>
      <c r="AG2" s="388"/>
      <c r="AH2" s="388"/>
      <c r="AI2" s="388"/>
      <c r="AJ2" s="388"/>
      <c r="AK2" s="388"/>
      <c r="AL2" s="388"/>
      <c r="AM2" s="388"/>
      <c r="AN2" s="388"/>
      <c r="AO2" s="388"/>
      <c r="AP2" s="388"/>
      <c r="AQ2" s="388"/>
      <c r="AR2" s="1848"/>
      <c r="AS2" s="1848"/>
      <c r="AT2" s="1848"/>
      <c r="AU2" s="1848"/>
      <c r="AV2" s="1848"/>
      <c r="AW2" s="1848"/>
    </row>
    <row r="3" spans="1:49" ht="21" customHeight="1">
      <c r="A3" s="393" t="s">
        <v>0</v>
      </c>
      <c r="B3" s="350"/>
      <c r="C3" s="785"/>
      <c r="D3" s="344"/>
      <c r="E3" s="785"/>
      <c r="F3" s="344"/>
      <c r="G3" s="344"/>
      <c r="H3" s="344"/>
      <c r="I3" s="344"/>
      <c r="J3" s="344"/>
      <c r="K3" s="344"/>
      <c r="L3" s="358"/>
      <c r="M3" s="358"/>
      <c r="N3" s="358"/>
      <c r="O3" s="358"/>
      <c r="P3" s="358"/>
      <c r="Q3" s="358"/>
      <c r="R3" s="358"/>
      <c r="S3" s="358"/>
      <c r="T3" s="1683"/>
      <c r="U3" s="358"/>
      <c r="V3" s="1683" t="s">
        <v>86</v>
      </c>
      <c r="W3" s="358"/>
      <c r="X3" s="2310"/>
      <c r="Y3" s="358"/>
      <c r="Z3" s="358"/>
      <c r="AA3" s="358"/>
      <c r="AB3" s="2311"/>
      <c r="AC3" s="344"/>
      <c r="AD3" s="358"/>
      <c r="AE3" s="358"/>
      <c r="AF3" s="358"/>
      <c r="AG3" s="358"/>
      <c r="AH3" s="358"/>
      <c r="AI3" s="358"/>
      <c r="AJ3" s="358"/>
      <c r="AK3" s="358"/>
      <c r="AL3" s="358"/>
      <c r="AM3" s="358"/>
      <c r="AN3" s="358"/>
      <c r="AO3" s="358"/>
      <c r="AP3" s="358"/>
      <c r="AQ3" s="394"/>
      <c r="AR3" s="1848"/>
      <c r="AS3" s="1848"/>
      <c r="AT3" s="1848"/>
      <c r="AU3" s="1848"/>
      <c r="AV3" s="1848"/>
      <c r="AW3" s="1848"/>
    </row>
    <row r="4" spans="1:49" ht="21.75" customHeight="1">
      <c r="A4" s="393" t="s">
        <v>85</v>
      </c>
      <c r="B4" s="350"/>
      <c r="C4" s="785"/>
      <c r="D4" s="344"/>
      <c r="E4" s="785"/>
      <c r="F4" s="344"/>
      <c r="G4" s="344"/>
      <c r="H4" s="344"/>
      <c r="I4" s="344"/>
      <c r="J4" s="344"/>
      <c r="K4" s="344"/>
      <c r="L4" s="358"/>
      <c r="M4" s="358"/>
      <c r="N4" s="358"/>
      <c r="O4" s="358"/>
      <c r="P4" s="358"/>
      <c r="Q4" s="358"/>
      <c r="R4" s="358"/>
      <c r="S4" s="358"/>
      <c r="T4" s="1684"/>
      <c r="U4" s="358"/>
      <c r="V4" s="1684" t="s">
        <v>107</v>
      </c>
      <c r="W4" s="358"/>
      <c r="X4" s="2310"/>
      <c r="Y4" s="358"/>
      <c r="Z4" s="358"/>
      <c r="AA4" s="358"/>
      <c r="AB4" s="2312"/>
      <c r="AC4" s="344"/>
      <c r="AD4" s="358"/>
      <c r="AE4" s="358"/>
      <c r="AF4" s="358"/>
      <c r="AG4" s="358"/>
      <c r="AH4" s="358"/>
      <c r="AI4" s="358"/>
      <c r="AJ4" s="358"/>
      <c r="AK4" s="358"/>
      <c r="AL4" s="358"/>
      <c r="AM4" s="358"/>
      <c r="AN4" s="358"/>
      <c r="AO4" s="358"/>
      <c r="AP4" s="358"/>
      <c r="AQ4" s="358"/>
      <c r="AR4" s="1848"/>
      <c r="AS4" s="1848"/>
      <c r="AT4" s="1848"/>
      <c r="AU4" s="1848"/>
      <c r="AV4" s="1848"/>
      <c r="AW4" s="1848"/>
    </row>
    <row r="5" spans="1:49" ht="21.75" customHeight="1">
      <c r="A5" s="3396" t="s">
        <v>1457</v>
      </c>
      <c r="B5" s="3397"/>
      <c r="C5" s="3397"/>
      <c r="D5" s="3397"/>
      <c r="E5" s="3397"/>
      <c r="F5" s="344"/>
      <c r="G5" s="1668"/>
      <c r="H5" s="344"/>
      <c r="I5" s="344"/>
      <c r="J5" s="344"/>
      <c r="K5" s="344"/>
      <c r="L5" s="358"/>
      <c r="M5" s="358"/>
      <c r="N5" s="358"/>
      <c r="O5" s="358"/>
      <c r="P5" s="358"/>
      <c r="Q5" s="358"/>
      <c r="R5" s="358"/>
      <c r="S5" s="358"/>
      <c r="T5" s="358"/>
      <c r="U5" s="358"/>
      <c r="V5" s="2310"/>
      <c r="W5" s="358"/>
      <c r="X5" s="2310"/>
      <c r="Y5" s="358"/>
      <c r="Z5" s="358"/>
      <c r="AA5" s="358"/>
      <c r="AB5" s="358"/>
      <c r="AC5" s="344"/>
      <c r="AD5" s="358"/>
      <c r="AE5" s="358"/>
      <c r="AF5" s="358"/>
      <c r="AG5" s="358"/>
      <c r="AH5" s="358"/>
      <c r="AI5" s="358"/>
      <c r="AJ5" s="358"/>
      <c r="AK5" s="358"/>
      <c r="AL5" s="358"/>
      <c r="AM5" s="358"/>
      <c r="AN5" s="358"/>
      <c r="AO5" s="358"/>
      <c r="AP5" s="358"/>
      <c r="AQ5" s="358"/>
      <c r="AR5" s="1848"/>
      <c r="AS5" s="1848"/>
      <c r="AT5" s="1848"/>
      <c r="AU5" s="1848"/>
      <c r="AV5" s="1848"/>
      <c r="AW5" s="1848"/>
    </row>
    <row r="6" spans="1:49" ht="17.25" customHeight="1">
      <c r="A6" s="348" t="str">
        <f>'Exh D-Governmental  '!A6</f>
        <v>FOR ONE MONTH ENDED APRIL 30, 2016</v>
      </c>
      <c r="B6" s="349"/>
      <c r="C6" s="785"/>
      <c r="D6" s="344"/>
      <c r="E6" s="785"/>
      <c r="F6" s="344"/>
      <c r="G6" s="344"/>
      <c r="H6" s="344"/>
      <c r="I6" s="344"/>
      <c r="J6" s="344"/>
      <c r="K6" s="344"/>
      <c r="L6" s="358"/>
      <c r="M6" s="358"/>
      <c r="N6" s="358"/>
      <c r="O6" s="358"/>
      <c r="P6" s="358"/>
      <c r="Q6" s="358"/>
      <c r="R6" s="358"/>
      <c r="S6" s="358"/>
      <c r="T6" s="358"/>
      <c r="U6" s="358"/>
      <c r="V6" s="2310"/>
      <c r="W6" s="358"/>
      <c r="X6" s="2310"/>
      <c r="Y6" s="358"/>
      <c r="Z6" s="358"/>
      <c r="AA6" s="358"/>
      <c r="AB6" s="358"/>
      <c r="AC6" s="344"/>
      <c r="AD6" s="358"/>
      <c r="AE6" s="358"/>
      <c r="AF6" s="358"/>
      <c r="AG6" s="358"/>
      <c r="AH6" s="358"/>
      <c r="AI6" s="358"/>
      <c r="AJ6" s="358"/>
      <c r="AK6" s="358"/>
      <c r="AL6" s="358"/>
      <c r="AM6" s="358"/>
      <c r="AN6" s="358"/>
      <c r="AO6" s="358"/>
      <c r="AP6" s="358"/>
      <c r="AQ6" s="358"/>
      <c r="AR6" s="1848"/>
      <c r="AS6" s="1848"/>
      <c r="AT6" s="1848"/>
      <c r="AU6" s="1848"/>
      <c r="AV6" s="1848"/>
      <c r="AW6" s="1848"/>
    </row>
    <row r="7" spans="1:49" ht="17.399999999999999">
      <c r="A7" s="393" t="s">
        <v>992</v>
      </c>
      <c r="B7" s="350"/>
      <c r="C7" s="785"/>
      <c r="D7" s="344"/>
      <c r="E7" s="785"/>
      <c r="F7" s="344"/>
      <c r="G7" s="344"/>
      <c r="H7" s="344"/>
      <c r="I7" s="344"/>
      <c r="J7" s="344"/>
      <c r="K7" s="344"/>
      <c r="L7" s="358"/>
      <c r="M7" s="358"/>
      <c r="N7" s="358"/>
      <c r="O7" s="358"/>
      <c r="P7" s="358"/>
      <c r="Q7" s="358"/>
      <c r="R7" s="358"/>
      <c r="S7" s="358"/>
      <c r="T7" s="358"/>
      <c r="U7" s="358"/>
      <c r="V7" s="2310"/>
      <c r="W7" s="358"/>
      <c r="X7" s="2310"/>
      <c r="Y7" s="358"/>
      <c r="Z7" s="358"/>
      <c r="AA7" s="358"/>
      <c r="AB7" s="358"/>
      <c r="AC7" s="344"/>
      <c r="AD7" s="358"/>
      <c r="AE7" s="358"/>
      <c r="AF7" s="358"/>
      <c r="AG7" s="358"/>
      <c r="AH7" s="358"/>
      <c r="AI7" s="358"/>
      <c r="AJ7" s="358"/>
      <c r="AK7" s="358"/>
      <c r="AL7" s="358"/>
      <c r="AM7" s="358"/>
      <c r="AN7" s="358"/>
      <c r="AO7" s="358"/>
      <c r="AP7" s="358"/>
      <c r="AQ7" s="358"/>
      <c r="AR7" s="1848"/>
      <c r="AS7" s="1848"/>
      <c r="AT7" s="1848"/>
      <c r="AU7" s="1848"/>
      <c r="AV7" s="1848"/>
      <c r="AW7" s="1848"/>
    </row>
    <row r="8" spans="1:49" ht="15" customHeight="1">
      <c r="A8" s="395"/>
      <c r="B8" s="349"/>
      <c r="C8" s="785"/>
      <c r="D8" s="344"/>
      <c r="E8" s="785"/>
      <c r="F8" s="344"/>
      <c r="G8" s="344"/>
      <c r="H8" s="344"/>
      <c r="I8" s="344"/>
      <c r="J8" s="344"/>
      <c r="K8" s="344"/>
      <c r="L8" s="358"/>
      <c r="M8" s="358"/>
      <c r="N8" s="358"/>
      <c r="O8" s="358"/>
      <c r="P8" s="358"/>
      <c r="Q8" s="358"/>
      <c r="R8" s="358"/>
      <c r="S8" s="358"/>
      <c r="T8" s="358"/>
      <c r="U8" s="358"/>
      <c r="V8" s="2310"/>
      <c r="W8" s="358"/>
      <c r="X8" s="2310"/>
      <c r="Y8" s="358"/>
      <c r="Z8" s="358"/>
      <c r="AA8" s="358"/>
      <c r="AB8" s="358"/>
      <c r="AC8" s="344"/>
      <c r="AD8" s="358"/>
      <c r="AE8" s="358"/>
      <c r="AF8" s="358"/>
      <c r="AG8" s="358"/>
      <c r="AH8" s="358"/>
      <c r="AI8" s="358"/>
      <c r="AJ8" s="358"/>
      <c r="AK8" s="358"/>
      <c r="AL8" s="358"/>
      <c r="AM8" s="358"/>
      <c r="AN8" s="358"/>
      <c r="AO8" s="358"/>
      <c r="AP8" s="358"/>
      <c r="AQ8" s="358"/>
      <c r="AR8" s="1848"/>
      <c r="AS8" s="1848"/>
      <c r="AT8" s="1848"/>
      <c r="AU8" s="1848"/>
      <c r="AV8" s="1848"/>
      <c r="AW8" s="1848"/>
    </row>
    <row r="9" spans="1:49">
      <c r="A9" s="352"/>
      <c r="B9" s="358"/>
      <c r="C9" s="786"/>
      <c r="D9" s="344"/>
      <c r="E9" s="786"/>
      <c r="F9" s="344"/>
      <c r="G9" s="344"/>
      <c r="H9" s="344"/>
      <c r="I9" s="344"/>
      <c r="J9" s="344"/>
      <c r="K9" s="344"/>
      <c r="L9" s="358"/>
      <c r="M9" s="358"/>
      <c r="N9" s="358"/>
      <c r="O9" s="358"/>
      <c r="P9" s="358"/>
      <c r="Q9" s="358"/>
      <c r="R9" s="358"/>
      <c r="S9" s="358"/>
      <c r="T9" s="358"/>
      <c r="U9" s="358"/>
      <c r="V9" s="2310"/>
      <c r="W9" s="358"/>
      <c r="X9" s="2310"/>
      <c r="Y9" s="358"/>
      <c r="Z9" s="358"/>
      <c r="AA9" s="358"/>
      <c r="AB9" s="358"/>
      <c r="AC9" s="344"/>
      <c r="AD9" s="358"/>
      <c r="AE9" s="358"/>
      <c r="AF9" s="358"/>
      <c r="AG9" s="358"/>
      <c r="AH9" s="358"/>
      <c r="AI9" s="358"/>
      <c r="AJ9" s="358"/>
      <c r="AK9" s="358"/>
      <c r="AL9" s="358"/>
      <c r="AM9" s="358"/>
      <c r="AN9" s="358"/>
      <c r="AO9" s="358"/>
      <c r="AP9" s="358"/>
      <c r="AQ9" s="358"/>
      <c r="AR9" s="1848"/>
      <c r="AS9" s="1848"/>
      <c r="AT9" s="1848"/>
      <c r="AU9" s="1848"/>
      <c r="AV9" s="1848"/>
      <c r="AW9" s="1848"/>
    </row>
    <row r="10" spans="1:49">
      <c r="A10" s="352"/>
      <c r="B10" s="358"/>
      <c r="C10" s="786"/>
      <c r="D10" s="344"/>
      <c r="E10" s="786"/>
      <c r="F10" s="344"/>
      <c r="G10" s="344"/>
      <c r="H10" s="344"/>
      <c r="I10" s="344"/>
      <c r="J10" s="344"/>
      <c r="K10" s="344"/>
      <c r="L10" s="358"/>
      <c r="M10" s="358"/>
      <c r="N10" s="358"/>
      <c r="O10" s="358"/>
      <c r="P10" s="358"/>
      <c r="Q10" s="358"/>
      <c r="R10" s="358"/>
      <c r="S10" s="358"/>
      <c r="T10" s="358"/>
      <c r="U10" s="358"/>
      <c r="V10" s="1919"/>
      <c r="W10" s="349"/>
      <c r="X10" s="1919"/>
      <c r="Y10" s="349"/>
      <c r="Z10" s="349"/>
      <c r="AA10" s="349"/>
      <c r="AB10" s="349"/>
      <c r="AC10" s="344"/>
      <c r="AD10" s="358"/>
      <c r="AE10" s="358"/>
      <c r="AF10" s="358"/>
      <c r="AG10" s="358"/>
      <c r="AH10" s="358"/>
      <c r="AI10" s="358"/>
      <c r="AJ10" s="358"/>
      <c r="AK10" s="358"/>
      <c r="AL10" s="358"/>
      <c r="AM10" s="358"/>
      <c r="AN10" s="358"/>
      <c r="AO10" s="358"/>
      <c r="AP10" s="358"/>
      <c r="AQ10" s="358"/>
      <c r="AR10" s="1848"/>
      <c r="AS10" s="1848"/>
      <c r="AT10" s="1848"/>
      <c r="AU10" s="1848"/>
      <c r="AV10" s="1848"/>
      <c r="AW10" s="1848"/>
    </row>
    <row r="11" spans="1:49" ht="15.6">
      <c r="A11" s="1343"/>
      <c r="C11" s="3399" t="s">
        <v>1292</v>
      </c>
      <c r="D11" s="3399"/>
      <c r="E11" s="3399"/>
      <c r="F11" s="3399"/>
      <c r="G11" s="3399"/>
      <c r="H11" s="3399"/>
      <c r="I11" s="3399"/>
      <c r="J11" s="2304"/>
      <c r="K11" s="2304"/>
      <c r="L11" s="398"/>
      <c r="M11" s="396"/>
      <c r="N11" s="3399" t="s">
        <v>1293</v>
      </c>
      <c r="O11" s="3399"/>
      <c r="P11" s="3399"/>
      <c r="Q11" s="3399"/>
      <c r="R11" s="3399"/>
      <c r="S11" s="3399"/>
      <c r="T11" s="3399"/>
      <c r="U11" s="2313"/>
      <c r="V11" s="2714"/>
      <c r="W11" s="2740"/>
      <c r="X11" s="2740"/>
      <c r="Y11" s="2740"/>
      <c r="Z11" s="2740"/>
      <c r="AA11" s="2740"/>
      <c r="AB11" s="2740"/>
      <c r="AC11" s="353"/>
      <c r="AD11" s="396"/>
      <c r="AE11" s="396"/>
      <c r="AF11" s="396"/>
      <c r="AG11" s="396"/>
      <c r="AH11" s="396"/>
      <c r="AI11" s="396"/>
      <c r="AJ11" s="396"/>
      <c r="AK11" s="353"/>
      <c r="AL11" s="396"/>
      <c r="AM11" s="397"/>
      <c r="AN11" s="396"/>
      <c r="AO11" s="396"/>
      <c r="AP11" s="396"/>
      <c r="AQ11" s="396"/>
      <c r="AR11" s="1848"/>
      <c r="AS11" s="1848"/>
      <c r="AT11" s="1848"/>
      <c r="AU11" s="1848"/>
      <c r="AV11" s="1848"/>
      <c r="AW11" s="1848"/>
    </row>
    <row r="12" spans="1:49" ht="15.6">
      <c r="A12" s="1343"/>
      <c r="C12" s="787"/>
      <c r="D12" s="398"/>
      <c r="E12" s="787"/>
      <c r="F12" s="398"/>
      <c r="G12" s="399"/>
      <c r="H12" s="398"/>
      <c r="I12" s="398" t="s">
        <v>87</v>
      </c>
      <c r="J12" s="398"/>
      <c r="K12" s="398" t="s">
        <v>87</v>
      </c>
      <c r="L12" s="398"/>
      <c r="M12" s="2339"/>
      <c r="N12" s="787"/>
      <c r="O12" s="398"/>
      <c r="P12" s="787"/>
      <c r="Q12" s="398"/>
      <c r="R12" s="399"/>
      <c r="S12" s="398"/>
      <c r="T12" s="398" t="s">
        <v>87</v>
      </c>
      <c r="U12" s="396"/>
      <c r="V12" s="398" t="s">
        <v>87</v>
      </c>
      <c r="W12" s="398"/>
      <c r="X12" s="790"/>
      <c r="Y12" s="398"/>
      <c r="Z12" s="399"/>
      <c r="AA12" s="398"/>
      <c r="AB12" s="398"/>
      <c r="AC12" s="353"/>
      <c r="AD12" s="396"/>
      <c r="AE12" s="396"/>
      <c r="AF12" s="396"/>
      <c r="AG12" s="396"/>
      <c r="AH12" s="396"/>
      <c r="AI12" s="396"/>
      <c r="AJ12" s="396"/>
      <c r="AK12" s="353"/>
      <c r="AL12" s="396"/>
      <c r="AM12" s="397"/>
      <c r="AN12" s="396"/>
      <c r="AO12" s="396"/>
      <c r="AP12" s="396"/>
      <c r="AQ12" s="396"/>
      <c r="AR12" s="1848"/>
      <c r="AS12" s="1848"/>
      <c r="AT12" s="1848"/>
      <c r="AU12" s="1848"/>
      <c r="AV12" s="1848"/>
      <c r="AW12" s="1848"/>
    </row>
    <row r="13" spans="1:49" ht="15.6">
      <c r="A13" s="1343"/>
      <c r="B13" s="353"/>
      <c r="C13" s="788"/>
      <c r="D13" s="400"/>
      <c r="E13" s="788"/>
      <c r="F13" s="400"/>
      <c r="G13" s="400"/>
      <c r="H13" s="400"/>
      <c r="I13" s="401" t="s">
        <v>999</v>
      </c>
      <c r="J13" s="401"/>
      <c r="K13" s="401" t="s">
        <v>999</v>
      </c>
      <c r="L13" s="1922"/>
      <c r="M13" s="2340"/>
      <c r="N13" s="788"/>
      <c r="O13" s="400"/>
      <c r="P13" s="788"/>
      <c r="Q13" s="400"/>
      <c r="R13" s="400"/>
      <c r="S13" s="400"/>
      <c r="T13" s="401" t="s">
        <v>999</v>
      </c>
      <c r="U13" s="403"/>
      <c r="V13" s="401" t="s">
        <v>999</v>
      </c>
      <c r="W13" s="1921"/>
      <c r="X13" s="1920"/>
      <c r="Y13" s="1921"/>
      <c r="Z13" s="1921"/>
      <c r="AA13" s="1921"/>
      <c r="AB13" s="1922"/>
      <c r="AC13" s="353"/>
      <c r="AD13" s="353"/>
      <c r="AE13" s="353"/>
      <c r="AF13" s="353"/>
      <c r="AG13" s="353"/>
      <c r="AH13" s="353"/>
      <c r="AI13" s="402"/>
      <c r="AJ13" s="403"/>
      <c r="AK13" s="353"/>
      <c r="AL13" s="353"/>
      <c r="AM13" s="353"/>
      <c r="AN13" s="353"/>
      <c r="AO13" s="353"/>
      <c r="AP13" s="353"/>
      <c r="AQ13" s="402"/>
      <c r="AR13" s="1848"/>
      <c r="AS13" s="1848"/>
      <c r="AT13" s="1848"/>
      <c r="AU13" s="1848"/>
      <c r="AV13" s="1848"/>
      <c r="AW13" s="1848"/>
    </row>
    <row r="14" spans="1:49" ht="15.6">
      <c r="A14" s="1343"/>
      <c r="B14" s="404"/>
      <c r="C14" s="356" t="s">
        <v>1235</v>
      </c>
      <c r="D14" s="1848"/>
      <c r="E14" s="355" t="s">
        <v>1236</v>
      </c>
      <c r="F14" s="354"/>
      <c r="G14" s="354"/>
      <c r="H14" s="354"/>
      <c r="I14" s="355" t="s">
        <v>88</v>
      </c>
      <c r="J14" s="355"/>
      <c r="K14" s="355" t="s">
        <v>88</v>
      </c>
      <c r="L14" s="403"/>
      <c r="M14" s="2340"/>
      <c r="N14" s="356" t="s">
        <v>1235</v>
      </c>
      <c r="O14" s="1848"/>
      <c r="P14" s="355" t="s">
        <v>1236</v>
      </c>
      <c r="Q14" s="354"/>
      <c r="R14" s="354"/>
      <c r="S14" s="354"/>
      <c r="T14" s="355" t="s">
        <v>88</v>
      </c>
      <c r="U14" s="403"/>
      <c r="V14" s="355" t="s">
        <v>88</v>
      </c>
      <c r="W14" s="1348"/>
      <c r="X14" s="403"/>
      <c r="Y14" s="353"/>
      <c r="Z14" s="353"/>
      <c r="AA14" s="353"/>
      <c r="AB14" s="403"/>
      <c r="AC14" s="353"/>
      <c r="AD14" s="402"/>
      <c r="AE14" s="403"/>
      <c r="AF14" s="353"/>
      <c r="AG14" s="353"/>
      <c r="AH14" s="353"/>
      <c r="AI14" s="402"/>
      <c r="AJ14" s="403"/>
      <c r="AK14" s="353"/>
      <c r="AL14" s="402"/>
      <c r="AM14" s="403"/>
      <c r="AN14" s="353"/>
      <c r="AO14" s="353"/>
      <c r="AP14" s="353"/>
      <c r="AQ14" s="402"/>
      <c r="AR14" s="1848"/>
      <c r="AS14" s="1848"/>
      <c r="AT14" s="1848"/>
      <c r="AU14" s="1848"/>
      <c r="AV14" s="1848"/>
      <c r="AW14" s="1848"/>
    </row>
    <row r="15" spans="1:49" ht="15.6">
      <c r="A15" s="1343"/>
      <c r="B15" s="404"/>
      <c r="C15" s="355" t="s">
        <v>1279</v>
      </c>
      <c r="D15" s="354"/>
      <c r="E15" s="355" t="s">
        <v>1279</v>
      </c>
      <c r="F15" s="354"/>
      <c r="G15" s="354"/>
      <c r="H15" s="354"/>
      <c r="I15" s="355" t="s">
        <v>1235</v>
      </c>
      <c r="J15" s="355"/>
      <c r="K15" s="355" t="s">
        <v>1236</v>
      </c>
      <c r="L15" s="403"/>
      <c r="M15" s="2340"/>
      <c r="N15" s="355" t="s">
        <v>1279</v>
      </c>
      <c r="O15" s="354"/>
      <c r="P15" s="355" t="s">
        <v>1279</v>
      </c>
      <c r="Q15" s="354"/>
      <c r="R15" s="354"/>
      <c r="S15" s="354"/>
      <c r="T15" s="355" t="s">
        <v>1235</v>
      </c>
      <c r="U15" s="403"/>
      <c r="V15" s="355" t="s">
        <v>1236</v>
      </c>
      <c r="W15" s="353"/>
      <c r="X15" s="403"/>
      <c r="Y15" s="353"/>
      <c r="Z15" s="353"/>
      <c r="AA15" s="353"/>
      <c r="AB15" s="403"/>
      <c r="AC15" s="353"/>
      <c r="AD15" s="402"/>
      <c r="AE15" s="403"/>
      <c r="AF15" s="353"/>
      <c r="AG15" s="353"/>
      <c r="AH15" s="353"/>
      <c r="AI15" s="402"/>
      <c r="AJ15" s="403"/>
      <c r="AK15" s="353"/>
      <c r="AL15" s="402"/>
      <c r="AM15" s="403"/>
      <c r="AN15" s="353"/>
      <c r="AO15" s="353"/>
      <c r="AP15" s="353"/>
      <c r="AQ15" s="402"/>
      <c r="AR15" s="1848"/>
      <c r="AS15" s="1848"/>
      <c r="AT15" s="1848"/>
      <c r="AU15" s="1848"/>
      <c r="AV15" s="1848"/>
      <c r="AW15" s="1848"/>
    </row>
    <row r="16" spans="1:49" ht="15.6">
      <c r="A16" s="1343"/>
      <c r="B16" s="403"/>
      <c r="C16" s="355" t="s">
        <v>1280</v>
      </c>
      <c r="D16" s="354"/>
      <c r="E16" s="355" t="s">
        <v>1458</v>
      </c>
      <c r="F16" s="354"/>
      <c r="G16" s="356" t="s">
        <v>87</v>
      </c>
      <c r="H16" s="354"/>
      <c r="I16" s="355" t="s">
        <v>89</v>
      </c>
      <c r="J16" s="403"/>
      <c r="K16" s="355" t="s">
        <v>89</v>
      </c>
      <c r="L16" s="403"/>
      <c r="M16" s="2347"/>
      <c r="N16" s="2348" t="s">
        <v>1280</v>
      </c>
      <c r="O16" s="354"/>
      <c r="P16" s="355" t="s">
        <v>1464</v>
      </c>
      <c r="Q16" s="354"/>
      <c r="R16" s="356" t="s">
        <v>87</v>
      </c>
      <c r="S16" s="354"/>
      <c r="T16" s="355" t="s">
        <v>89</v>
      </c>
      <c r="U16" s="403"/>
      <c r="V16" s="355" t="s">
        <v>89</v>
      </c>
      <c r="W16" s="353"/>
      <c r="X16" s="403"/>
      <c r="Y16" s="353"/>
      <c r="Z16" s="402"/>
      <c r="AA16" s="353"/>
      <c r="AB16" s="403"/>
      <c r="AC16" s="353"/>
      <c r="AD16" s="403"/>
      <c r="AE16" s="403"/>
      <c r="AF16" s="353"/>
      <c r="AG16" s="402"/>
      <c r="AH16" s="353"/>
      <c r="AI16" s="402"/>
      <c r="AJ16" s="403"/>
      <c r="AK16" s="353"/>
      <c r="AL16" s="403"/>
      <c r="AM16" s="403"/>
      <c r="AN16" s="353"/>
      <c r="AO16" s="402"/>
      <c r="AP16" s="353"/>
      <c r="AQ16" s="402"/>
      <c r="AR16" s="1848"/>
      <c r="AS16" s="1848"/>
      <c r="AT16" s="1848"/>
      <c r="AU16" s="1848"/>
      <c r="AV16" s="1848"/>
      <c r="AW16" s="1848"/>
    </row>
    <row r="17" spans="1:49">
      <c r="A17" s="357"/>
      <c r="B17" s="358"/>
      <c r="C17" s="359"/>
      <c r="D17" s="344"/>
      <c r="E17" s="359"/>
      <c r="F17" s="344"/>
      <c r="G17" s="359"/>
      <c r="H17" s="344"/>
      <c r="I17" s="359"/>
      <c r="J17" s="358"/>
      <c r="K17" s="359"/>
      <c r="L17" s="358"/>
      <c r="M17" s="2341"/>
      <c r="N17" s="358"/>
      <c r="O17" s="344"/>
      <c r="P17" s="359"/>
      <c r="Q17" s="344"/>
      <c r="R17" s="359"/>
      <c r="S17" s="344"/>
      <c r="T17" s="359"/>
      <c r="U17" s="358"/>
      <c r="V17" s="359"/>
      <c r="W17" s="358"/>
      <c r="X17" s="358"/>
      <c r="Y17" s="358"/>
      <c r="Z17" s="358"/>
      <c r="AA17" s="358"/>
      <c r="AB17" s="358"/>
      <c r="AC17" s="358"/>
      <c r="AD17" s="358"/>
      <c r="AE17" s="358"/>
      <c r="AF17" s="358"/>
      <c r="AG17" s="358"/>
      <c r="AH17" s="358"/>
      <c r="AI17" s="358"/>
      <c r="AJ17" s="358"/>
      <c r="AK17" s="358"/>
      <c r="AL17" s="358"/>
      <c r="AM17" s="358"/>
      <c r="AN17" s="358"/>
      <c r="AO17" s="358"/>
      <c r="AP17" s="358"/>
      <c r="AQ17" s="358"/>
      <c r="AR17" s="1848"/>
      <c r="AS17" s="1848"/>
      <c r="AT17" s="1848"/>
      <c r="AU17" s="1848"/>
      <c r="AV17" s="1848"/>
      <c r="AW17" s="1848"/>
    </row>
    <row r="18" spans="1:49" ht="15.6">
      <c r="A18" s="221" t="s">
        <v>15</v>
      </c>
      <c r="B18" s="1840"/>
      <c r="C18" s="1237"/>
      <c r="D18" s="1237"/>
      <c r="E18" s="1237"/>
      <c r="F18" s="1237"/>
      <c r="G18" s="1237"/>
      <c r="H18" s="1237"/>
      <c r="I18" s="1840"/>
      <c r="J18" s="1237"/>
      <c r="K18" s="1840"/>
      <c r="L18" s="1840"/>
      <c r="M18" s="2342"/>
      <c r="N18" s="1237"/>
      <c r="O18" s="1237"/>
      <c r="P18" s="1237"/>
      <c r="Q18" s="1237"/>
      <c r="R18" s="1237"/>
      <c r="S18" s="1237"/>
      <c r="T18" s="1237"/>
      <c r="U18" s="1840"/>
      <c r="V18" s="1840"/>
      <c r="W18" s="1840"/>
      <c r="X18" s="1840"/>
      <c r="Y18" s="1840"/>
      <c r="Z18" s="1840"/>
      <c r="AA18" s="1840"/>
      <c r="AB18" s="1840"/>
      <c r="AC18" s="1840"/>
      <c r="AD18" s="1840"/>
      <c r="AE18" s="1840"/>
      <c r="AF18" s="1840"/>
      <c r="AG18" s="1840"/>
      <c r="AH18" s="1840"/>
      <c r="AI18" s="1840"/>
      <c r="AJ18" s="1840"/>
      <c r="AK18" s="1840"/>
      <c r="AL18" s="1840"/>
      <c r="AM18" s="1840"/>
      <c r="AN18" s="1840"/>
      <c r="AO18" s="1840"/>
      <c r="AP18" s="1840"/>
      <c r="AQ18" s="1840"/>
      <c r="AR18" s="1848"/>
      <c r="AS18" s="1848"/>
      <c r="AT18" s="1848"/>
      <c r="AU18" s="1848"/>
      <c r="AV18" s="1848"/>
      <c r="AW18" s="1848"/>
    </row>
    <row r="19" spans="1:49">
      <c r="A19" s="1674" t="s">
        <v>90</v>
      </c>
      <c r="B19" s="1841"/>
      <c r="C19" s="1237"/>
      <c r="D19" s="1841"/>
      <c r="E19" s="1237"/>
      <c r="F19" s="1841"/>
      <c r="G19" s="1237"/>
      <c r="H19" s="1841"/>
      <c r="I19" s="1840"/>
      <c r="J19" s="1237"/>
      <c r="K19" s="1840"/>
      <c r="L19" s="1840"/>
      <c r="M19" s="2342"/>
      <c r="N19" s="1237"/>
      <c r="O19" s="1841"/>
      <c r="P19" s="1237"/>
      <c r="Q19" s="1841"/>
      <c r="R19" s="1237"/>
      <c r="S19" s="1841"/>
      <c r="T19" s="1237"/>
      <c r="U19" s="1840"/>
      <c r="V19" s="1840"/>
      <c r="W19" s="1840"/>
      <c r="X19" s="1840"/>
      <c r="Y19" s="1840"/>
      <c r="Z19" s="1840"/>
      <c r="AA19" s="1862"/>
      <c r="AB19" s="1840"/>
      <c r="AC19" s="1840"/>
      <c r="AD19" s="1840"/>
      <c r="AE19" s="1840"/>
      <c r="AF19" s="1840"/>
      <c r="AG19" s="1840"/>
      <c r="AH19" s="1840"/>
      <c r="AI19" s="1840"/>
      <c r="AJ19" s="1840"/>
      <c r="AK19" s="1840"/>
      <c r="AL19" s="1840"/>
      <c r="AM19" s="1840"/>
      <c r="AN19" s="1840"/>
      <c r="AO19" s="1840"/>
      <c r="AP19" s="1840"/>
      <c r="AQ19" s="1840"/>
      <c r="AR19" s="1848"/>
      <c r="AS19" s="1848"/>
      <c r="AT19" s="1848"/>
      <c r="AU19" s="1848"/>
      <c r="AV19" s="1848"/>
      <c r="AW19" s="1848"/>
    </row>
    <row r="20" spans="1:49">
      <c r="A20" s="1674" t="s">
        <v>91</v>
      </c>
      <c r="B20" s="1841" t="s">
        <v>16</v>
      </c>
      <c r="C20" s="1238">
        <v>1</v>
      </c>
      <c r="D20" s="1240"/>
      <c r="E20" s="1238">
        <v>0</v>
      </c>
      <c r="F20" s="1240"/>
      <c r="G20" s="1238">
        <f>'Exhibit G state'!AE16</f>
        <v>1.3</v>
      </c>
      <c r="H20" s="1240"/>
      <c r="I20" s="1926">
        <f t="shared" ref="I20:I26" si="0">ROUND(SUM(G20)-SUM(C20),1)</f>
        <v>0.3</v>
      </c>
      <c r="J20" s="1238"/>
      <c r="K20" s="1926">
        <v>0</v>
      </c>
      <c r="L20" s="1926"/>
      <c r="M20" s="2342"/>
      <c r="N20" s="1238">
        <v>0</v>
      </c>
      <c r="O20" s="1240"/>
      <c r="P20" s="1238">
        <v>0</v>
      </c>
      <c r="Q20" s="1240"/>
      <c r="R20" s="1238">
        <v>0</v>
      </c>
      <c r="S20" s="1240"/>
      <c r="T20" s="1238">
        <f t="shared" ref="T20:T26" si="1">ROUND(SUM(R20)-SUM(N20),1)</f>
        <v>0</v>
      </c>
      <c r="U20" s="1840"/>
      <c r="V20" s="1926">
        <f>ROUND(SUM(R20)-SUM(P20),1)</f>
        <v>0</v>
      </c>
      <c r="W20" s="1924"/>
      <c r="X20" s="1927"/>
      <c r="Y20" s="1924"/>
      <c r="Z20" s="1925"/>
      <c r="AA20" s="1924"/>
      <c r="AB20" s="1926"/>
      <c r="AC20" s="1840"/>
      <c r="AD20" s="1840"/>
      <c r="AE20" s="1840"/>
      <c r="AF20" s="1840"/>
      <c r="AG20" s="1840"/>
      <c r="AH20" s="1840"/>
      <c r="AI20" s="1840"/>
      <c r="AJ20" s="1840"/>
      <c r="AK20" s="1840"/>
      <c r="AL20" s="1840"/>
      <c r="AM20" s="1840"/>
      <c r="AN20" s="1840"/>
      <c r="AO20" s="1840"/>
      <c r="AP20" s="1840"/>
      <c r="AQ20" s="1840"/>
      <c r="AR20" s="1848"/>
      <c r="AS20" s="1848"/>
      <c r="AT20" s="1848"/>
      <c r="AU20" s="1848"/>
      <c r="AV20" s="1848"/>
      <c r="AW20" s="1848"/>
    </row>
    <row r="21" spans="1:49">
      <c r="A21" s="1674" t="s">
        <v>92</v>
      </c>
      <c r="B21" s="1840" t="s">
        <v>16</v>
      </c>
      <c r="C21" s="1859">
        <v>187</v>
      </c>
      <c r="D21" s="1159"/>
      <c r="E21" s="1859">
        <v>0</v>
      </c>
      <c r="F21" s="1159"/>
      <c r="G21" s="1159">
        <f>'Exhibit G state'!AE28</f>
        <v>185.4</v>
      </c>
      <c r="H21" s="1159"/>
      <c r="I21" s="1860">
        <f t="shared" si="0"/>
        <v>-1.6</v>
      </c>
      <c r="J21" s="1159"/>
      <c r="K21" s="1860">
        <v>0</v>
      </c>
      <c r="L21" s="1860"/>
      <c r="M21" s="2342"/>
      <c r="N21" s="1859">
        <v>0</v>
      </c>
      <c r="O21" s="1159"/>
      <c r="P21" s="1859">
        <v>0</v>
      </c>
      <c r="Q21" s="1159"/>
      <c r="R21" s="1159">
        <v>0</v>
      </c>
      <c r="S21" s="1159"/>
      <c r="T21" s="1159">
        <f t="shared" si="1"/>
        <v>0</v>
      </c>
      <c r="U21" s="1840"/>
      <c r="V21" s="1860">
        <f t="shared" ref="V21:V26" si="2">ROUND(SUM(R21)-SUM(P21),1)</f>
        <v>0</v>
      </c>
      <c r="W21" s="1860"/>
      <c r="X21" s="1927"/>
      <c r="Y21" s="1860"/>
      <c r="Z21" s="1860"/>
      <c r="AA21" s="1860"/>
      <c r="AB21" s="1860"/>
      <c r="AC21" s="1860"/>
      <c r="AD21" s="1860"/>
      <c r="AE21" s="1840"/>
      <c r="AF21" s="1840"/>
      <c r="AG21" s="1840"/>
      <c r="AH21" s="1840"/>
      <c r="AI21" s="1840"/>
      <c r="AJ21" s="1840"/>
      <c r="AK21" s="1840"/>
      <c r="AL21" s="1840"/>
      <c r="AM21" s="1840"/>
      <c r="AN21" s="1840"/>
      <c r="AO21" s="1840"/>
      <c r="AP21" s="1840"/>
      <c r="AQ21" s="1840"/>
      <c r="AR21" s="1848"/>
      <c r="AS21" s="1848"/>
      <c r="AT21" s="1848"/>
      <c r="AU21" s="1848"/>
      <c r="AV21" s="1848"/>
      <c r="AW21" s="1848"/>
    </row>
    <row r="22" spans="1:49">
      <c r="A22" s="1674" t="s">
        <v>93</v>
      </c>
      <c r="B22" s="1841" t="s">
        <v>16</v>
      </c>
      <c r="C22" s="1859">
        <v>71</v>
      </c>
      <c r="D22" s="1313"/>
      <c r="E22" s="1859">
        <v>0</v>
      </c>
      <c r="F22" s="1313"/>
      <c r="G22" s="1159">
        <f>'Exhibit G state'!AE35</f>
        <v>73.3</v>
      </c>
      <c r="H22" s="1313"/>
      <c r="I22" s="1860">
        <f t="shared" si="0"/>
        <v>2.2999999999999998</v>
      </c>
      <c r="J22" s="1159"/>
      <c r="K22" s="1860">
        <v>0</v>
      </c>
      <c r="L22" s="1860"/>
      <c r="M22" s="2342"/>
      <c r="N22" s="1859">
        <v>0</v>
      </c>
      <c r="O22" s="1313"/>
      <c r="P22" s="1859">
        <v>0</v>
      </c>
      <c r="Q22" s="1313"/>
      <c r="R22" s="1849">
        <v>0</v>
      </c>
      <c r="S22" s="1313"/>
      <c r="T22" s="1159">
        <f t="shared" si="1"/>
        <v>0</v>
      </c>
      <c r="U22" s="1840"/>
      <c r="V22" s="1860">
        <f t="shared" si="2"/>
        <v>0</v>
      </c>
      <c r="W22" s="1861"/>
      <c r="X22" s="1927"/>
      <c r="Y22" s="1861"/>
      <c r="Z22" s="1860"/>
      <c r="AA22" s="1861"/>
      <c r="AB22" s="1860"/>
      <c r="AC22" s="1861"/>
      <c r="AD22" s="1860"/>
      <c r="AE22" s="1840"/>
      <c r="AF22" s="1862"/>
      <c r="AG22" s="1840"/>
      <c r="AH22" s="1862"/>
      <c r="AI22" s="1840"/>
      <c r="AJ22" s="1840"/>
      <c r="AK22" s="1862"/>
      <c r="AL22" s="1840"/>
      <c r="AM22" s="1840"/>
      <c r="AN22" s="1862"/>
      <c r="AO22" s="405"/>
      <c r="AP22" s="1862"/>
      <c r="AQ22" s="1840"/>
      <c r="AR22" s="1848"/>
      <c r="AS22" s="1848"/>
      <c r="AT22" s="1848"/>
      <c r="AU22" s="1848"/>
      <c r="AV22" s="1848"/>
      <c r="AW22" s="1848"/>
    </row>
    <row r="23" spans="1:49">
      <c r="A23" s="1674" t="s">
        <v>94</v>
      </c>
      <c r="B23" s="1840" t="s">
        <v>16</v>
      </c>
      <c r="C23" s="1859">
        <v>104</v>
      </c>
      <c r="D23" s="1159"/>
      <c r="E23" s="1859">
        <v>0</v>
      </c>
      <c r="F23" s="1159"/>
      <c r="G23" s="1159">
        <f>'Exhibit G state'!AE38</f>
        <v>116.6</v>
      </c>
      <c r="H23" s="1159"/>
      <c r="I23" s="1860">
        <f t="shared" si="0"/>
        <v>12.6</v>
      </c>
      <c r="J23" s="1159"/>
      <c r="K23" s="1860">
        <v>0</v>
      </c>
      <c r="L23" s="1860"/>
      <c r="M23" s="2342"/>
      <c r="N23" s="1859">
        <v>0</v>
      </c>
      <c r="O23" s="1159"/>
      <c r="P23" s="1859">
        <v>0</v>
      </c>
      <c r="Q23" s="1159"/>
      <c r="R23" s="1159">
        <v>0</v>
      </c>
      <c r="S23" s="1159"/>
      <c r="T23" s="1159">
        <f t="shared" si="1"/>
        <v>0</v>
      </c>
      <c r="U23" s="1840"/>
      <c r="V23" s="1860">
        <f t="shared" si="2"/>
        <v>0</v>
      </c>
      <c r="W23" s="1860"/>
      <c r="X23" s="1927"/>
      <c r="Y23" s="1860"/>
      <c r="Z23" s="1860"/>
      <c r="AA23" s="1860"/>
      <c r="AB23" s="1860"/>
      <c r="AC23" s="1860"/>
      <c r="AD23" s="1860"/>
      <c r="AE23" s="1840"/>
      <c r="AF23" s="1840"/>
      <c r="AG23" s="1840"/>
      <c r="AH23" s="1840"/>
      <c r="AI23" s="1840"/>
      <c r="AJ23" s="1840"/>
      <c r="AK23" s="1840"/>
      <c r="AL23" s="1840"/>
      <c r="AM23" s="1840"/>
      <c r="AN23" s="1840"/>
      <c r="AO23" s="1840"/>
      <c r="AP23" s="1840"/>
      <c r="AQ23" s="1840"/>
      <c r="AR23" s="1848"/>
      <c r="AS23" s="1848"/>
      <c r="AT23" s="1848"/>
      <c r="AU23" s="1848"/>
      <c r="AV23" s="1848"/>
      <c r="AW23" s="1848"/>
    </row>
    <row r="24" spans="1:49" ht="15" customHeight="1">
      <c r="A24" s="1674" t="s">
        <v>21</v>
      </c>
      <c r="B24" s="1840" t="s">
        <v>16</v>
      </c>
      <c r="C24" s="1859">
        <v>1300</v>
      </c>
      <c r="D24" s="1859"/>
      <c r="E24" s="1859">
        <v>0</v>
      </c>
      <c r="F24" s="1859"/>
      <c r="G24" s="1159">
        <f>'Exhibit G state'!AE82</f>
        <v>1278.3</v>
      </c>
      <c r="H24" s="1159"/>
      <c r="I24" s="1860">
        <f t="shared" si="0"/>
        <v>-21.7</v>
      </c>
      <c r="J24" s="1159"/>
      <c r="K24" s="1860">
        <v>0</v>
      </c>
      <c r="L24" s="1860"/>
      <c r="M24" s="2342"/>
      <c r="N24" s="1859">
        <v>5</v>
      </c>
      <c r="O24" s="1859"/>
      <c r="P24" s="1859">
        <v>0</v>
      </c>
      <c r="Q24" s="1859"/>
      <c r="R24" s="1339">
        <f>'Exhibit G Federal'!AE52</f>
        <v>13</v>
      </c>
      <c r="S24" s="1159"/>
      <c r="T24" s="1159">
        <f t="shared" si="1"/>
        <v>8</v>
      </c>
      <c r="U24" s="1840"/>
      <c r="V24" s="1860">
        <v>0</v>
      </c>
      <c r="W24" s="1860"/>
      <c r="X24" s="1927"/>
      <c r="Y24" s="1860"/>
      <c r="Z24" s="1860"/>
      <c r="AA24" s="1860"/>
      <c r="AB24" s="1860"/>
      <c r="AC24" s="1860"/>
      <c r="AD24" s="1860"/>
      <c r="AE24" s="1840"/>
      <c r="AF24" s="1840"/>
      <c r="AG24" s="1840"/>
      <c r="AH24" s="1840"/>
      <c r="AI24" s="1840"/>
      <c r="AJ24" s="1840"/>
      <c r="AK24" s="1840"/>
      <c r="AL24" s="1840"/>
      <c r="AM24" s="1840"/>
      <c r="AN24" s="1840"/>
      <c r="AO24" s="1840"/>
      <c r="AP24" s="1840"/>
      <c r="AQ24" s="1840"/>
      <c r="AR24" s="1848"/>
      <c r="AS24" s="1848"/>
      <c r="AT24" s="1848"/>
      <c r="AU24" s="1848"/>
      <c r="AV24" s="1848"/>
      <c r="AW24" s="1848"/>
    </row>
    <row r="25" spans="1:49" ht="15" customHeight="1">
      <c r="A25" s="1674" t="s">
        <v>22</v>
      </c>
      <c r="B25" s="1840" t="s">
        <v>16</v>
      </c>
      <c r="C25" s="1239">
        <v>0</v>
      </c>
      <c r="D25" s="1159"/>
      <c r="E25" s="1239">
        <v>0</v>
      </c>
      <c r="F25" s="1159"/>
      <c r="G25" s="1339">
        <f>'Exhibit G state'!AE84</f>
        <v>14.8</v>
      </c>
      <c r="H25" s="1159"/>
      <c r="I25" s="1860">
        <f t="shared" si="0"/>
        <v>14.8</v>
      </c>
      <c r="J25" s="1159"/>
      <c r="K25" s="1860">
        <v>0</v>
      </c>
      <c r="L25" s="1860"/>
      <c r="M25" s="2342"/>
      <c r="N25" s="1239">
        <v>3138</v>
      </c>
      <c r="O25" s="1159"/>
      <c r="P25" s="1340">
        <v>0</v>
      </c>
      <c r="Q25" s="1159"/>
      <c r="R25" s="1339">
        <f>'Exhibit G Federal'!AE54</f>
        <v>3134.7</v>
      </c>
      <c r="S25" s="1159"/>
      <c r="T25" s="1159">
        <f t="shared" si="1"/>
        <v>-3.3</v>
      </c>
      <c r="U25" s="1840"/>
      <c r="V25" s="1860">
        <v>0</v>
      </c>
      <c r="W25" s="1860"/>
      <c r="X25" s="1927"/>
      <c r="Y25" s="1860"/>
      <c r="Z25" s="1860"/>
      <c r="AA25" s="1860"/>
      <c r="AB25" s="1860"/>
      <c r="AC25" s="1860"/>
      <c r="AD25" s="1864"/>
      <c r="AE25" s="1865"/>
      <c r="AF25" s="1840"/>
      <c r="AG25" s="1865"/>
      <c r="AH25" s="1840"/>
      <c r="AI25" s="1865"/>
      <c r="AJ25" s="1866"/>
      <c r="AK25" s="1840"/>
      <c r="AL25" s="1840"/>
      <c r="AM25" s="1840"/>
      <c r="AN25" s="1840"/>
      <c r="AO25" s="1840"/>
      <c r="AP25" s="1840"/>
      <c r="AQ25" s="1840"/>
      <c r="AR25" s="1848"/>
      <c r="AS25" s="1848"/>
      <c r="AT25" s="1848"/>
      <c r="AU25" s="1848"/>
      <c r="AV25" s="1848"/>
      <c r="AW25" s="1848"/>
    </row>
    <row r="26" spans="1:49">
      <c r="A26" s="1674" t="s">
        <v>1494</v>
      </c>
      <c r="B26" s="1866" t="s">
        <v>16</v>
      </c>
      <c r="C26" s="1860">
        <v>557</v>
      </c>
      <c r="D26" s="1860"/>
      <c r="E26" s="1860">
        <v>0</v>
      </c>
      <c r="F26" s="1860"/>
      <c r="G26" s="2004">
        <f>'Exhibit G state'!AE113</f>
        <v>545.9</v>
      </c>
      <c r="H26" s="1159"/>
      <c r="I26" s="1860">
        <f t="shared" si="0"/>
        <v>-11.1</v>
      </c>
      <c r="J26" s="1860"/>
      <c r="K26" s="1860">
        <v>0</v>
      </c>
      <c r="L26" s="1860"/>
      <c r="M26" s="2343"/>
      <c r="N26" s="1860">
        <v>0</v>
      </c>
      <c r="O26" s="1159"/>
      <c r="P26" s="1860">
        <v>0</v>
      </c>
      <c r="Q26" s="1860"/>
      <c r="R26" s="2004">
        <f>+'Exhibit G Federal'!AE83</f>
        <v>0</v>
      </c>
      <c r="S26" s="1159"/>
      <c r="T26" s="1159">
        <f t="shared" si="1"/>
        <v>0</v>
      </c>
      <c r="U26" s="1866"/>
      <c r="V26" s="1860">
        <f t="shared" si="2"/>
        <v>0</v>
      </c>
      <c r="W26" s="1860"/>
      <c r="X26" s="1927"/>
      <c r="Y26" s="1860"/>
      <c r="Z26" s="1861"/>
      <c r="AA26" s="1860"/>
      <c r="AB26" s="1860"/>
      <c r="AC26" s="1860"/>
      <c r="AD26" s="1864"/>
      <c r="AE26" s="1865"/>
      <c r="AF26" s="1840"/>
      <c r="AG26" s="1865"/>
      <c r="AH26" s="1840"/>
      <c r="AI26" s="1865"/>
      <c r="AJ26" s="1866"/>
      <c r="AK26" s="1840"/>
      <c r="AL26" s="1840"/>
      <c r="AM26" s="1840"/>
      <c r="AN26" s="1840"/>
      <c r="AO26" s="1840"/>
      <c r="AP26" s="1840"/>
      <c r="AQ26" s="1840"/>
      <c r="AR26" s="1848"/>
      <c r="AS26" s="1848"/>
      <c r="AT26" s="1848"/>
      <c r="AU26" s="1848"/>
      <c r="AV26" s="1848"/>
      <c r="AW26" s="1848"/>
    </row>
    <row r="27" spans="1:49" ht="18" customHeight="1">
      <c r="A27" s="375" t="s">
        <v>113</v>
      </c>
      <c r="B27" s="353" t="s">
        <v>16</v>
      </c>
      <c r="C27" s="419">
        <f>ROUND(SUM(C20:C26),1)</f>
        <v>2220</v>
      </c>
      <c r="D27" s="1838"/>
      <c r="E27" s="419">
        <f>ROUND(SUM(E20:E26),1)</f>
        <v>0</v>
      </c>
      <c r="F27" s="1838"/>
      <c r="G27" s="419">
        <f>ROUND(SUM(G20:G26),1)</f>
        <v>2215.6</v>
      </c>
      <c r="H27" s="1838"/>
      <c r="I27" s="3022">
        <f>ROUND(SUM(I20:I26),1)</f>
        <v>-4.4000000000000004</v>
      </c>
      <c r="J27" s="273"/>
      <c r="K27" s="3022">
        <f>ROUND(SUM(K20:K26),1)</f>
        <v>0</v>
      </c>
      <c r="L27" s="273"/>
      <c r="M27" s="2342"/>
      <c r="N27" s="3022">
        <f>ROUND(SUM(N20:N26),1)</f>
        <v>3143</v>
      </c>
      <c r="O27" s="1838"/>
      <c r="P27" s="419">
        <f>ROUND(SUM(P20:P26),1)</f>
        <v>0</v>
      </c>
      <c r="Q27" s="1838"/>
      <c r="R27" s="544">
        <f>ROUND(SUM(R20:R26),1)</f>
        <v>3147.7</v>
      </c>
      <c r="S27" s="1838"/>
      <c r="T27" s="544">
        <f>ROUND(SUM(T20:T26),1)</f>
        <v>4.7</v>
      </c>
      <c r="U27" s="353"/>
      <c r="V27" s="544">
        <f>ROUND(SUM(V20:V26),1)</f>
        <v>0</v>
      </c>
      <c r="W27" s="273"/>
      <c r="X27" s="273"/>
      <c r="Y27" s="273"/>
      <c r="Z27" s="273"/>
      <c r="AA27" s="273"/>
      <c r="AB27" s="273"/>
      <c r="AC27" s="273"/>
      <c r="AD27" s="273"/>
      <c r="AE27" s="353"/>
      <c r="AF27" s="353"/>
      <c r="AG27" s="353"/>
      <c r="AH27" s="353"/>
      <c r="AI27" s="353"/>
      <c r="AJ27" s="353"/>
      <c r="AK27" s="353"/>
      <c r="AL27" s="353"/>
      <c r="AM27" s="353"/>
      <c r="AN27" s="353"/>
      <c r="AO27" s="353"/>
      <c r="AP27" s="353"/>
      <c r="AQ27" s="353"/>
      <c r="AR27" s="1848"/>
      <c r="AS27" s="1848"/>
      <c r="AT27" s="1848"/>
      <c r="AU27" s="1848"/>
      <c r="AV27" s="1848"/>
      <c r="AW27" s="1848"/>
    </row>
    <row r="28" spans="1:49">
      <c r="A28" s="1343"/>
      <c r="B28" s="1840"/>
      <c r="C28" s="1341"/>
      <c r="D28" s="1159"/>
      <c r="E28" s="1341"/>
      <c r="F28" s="1159"/>
      <c r="G28" s="1341"/>
      <c r="H28" s="1159"/>
      <c r="I28" s="1860"/>
      <c r="J28" s="1860"/>
      <c r="K28" s="1860"/>
      <c r="L28" s="1860"/>
      <c r="M28" s="2342"/>
      <c r="N28" s="1860"/>
      <c r="O28" s="1159"/>
      <c r="P28" s="1341"/>
      <c r="Q28" s="1159"/>
      <c r="R28" s="1341"/>
      <c r="S28" s="1159"/>
      <c r="T28" s="1860"/>
      <c r="U28" s="1840"/>
      <c r="V28" s="1860"/>
      <c r="W28" s="1860"/>
      <c r="X28" s="1860"/>
      <c r="Y28" s="1860"/>
      <c r="Z28" s="1860"/>
      <c r="AA28" s="1860"/>
      <c r="AB28" s="1860"/>
      <c r="AC28" s="1860"/>
      <c r="AD28" s="1860"/>
      <c r="AE28" s="1840"/>
      <c r="AF28" s="1840"/>
      <c r="AG28" s="1840"/>
      <c r="AH28" s="1840"/>
      <c r="AI28" s="1840"/>
      <c r="AJ28" s="1840"/>
      <c r="AK28" s="1840"/>
      <c r="AL28" s="1840"/>
      <c r="AM28" s="1840"/>
      <c r="AN28" s="1840"/>
      <c r="AO28" s="1840"/>
      <c r="AP28" s="1840"/>
      <c r="AQ28" s="1840"/>
      <c r="AR28" s="1848"/>
      <c r="AS28" s="1848"/>
      <c r="AT28" s="1848"/>
      <c r="AU28" s="1848"/>
      <c r="AV28" s="1848"/>
      <c r="AW28" s="1848"/>
    </row>
    <row r="29" spans="1:49" ht="15.6">
      <c r="A29" s="221" t="s">
        <v>24</v>
      </c>
      <c r="B29" s="1840"/>
      <c r="C29" s="1159"/>
      <c r="D29" s="1159"/>
      <c r="E29" s="1159"/>
      <c r="F29" s="1159"/>
      <c r="G29" s="1159"/>
      <c r="H29" s="1159"/>
      <c r="I29" s="1860"/>
      <c r="J29" s="1860"/>
      <c r="K29" s="1860"/>
      <c r="L29" s="1860"/>
      <c r="M29" s="2342"/>
      <c r="N29" s="1159"/>
      <c r="O29" s="1159"/>
      <c r="P29" s="1159"/>
      <c r="Q29" s="1159"/>
      <c r="R29" s="1159"/>
      <c r="S29" s="1159"/>
      <c r="T29" s="1159"/>
      <c r="U29" s="1840"/>
      <c r="V29" s="1860"/>
      <c r="W29" s="1860"/>
      <c r="X29" s="1860"/>
      <c r="Y29" s="1860"/>
      <c r="Z29" s="1860"/>
      <c r="AA29" s="1860"/>
      <c r="AB29" s="1860"/>
      <c r="AC29" s="1860"/>
      <c r="AD29" s="1860"/>
      <c r="AE29" s="1840"/>
      <c r="AF29" s="1840"/>
      <c r="AG29" s="1840"/>
      <c r="AH29" s="1840"/>
      <c r="AI29" s="1840"/>
      <c r="AJ29" s="1840"/>
      <c r="AK29" s="1840"/>
      <c r="AL29" s="1840"/>
      <c r="AM29" s="1840"/>
      <c r="AN29" s="1840"/>
      <c r="AO29" s="1840"/>
      <c r="AP29" s="1840"/>
      <c r="AQ29" s="1840"/>
      <c r="AR29" s="1848"/>
      <c r="AS29" s="1848"/>
      <c r="AT29" s="1848"/>
      <c r="AU29" s="1848"/>
      <c r="AV29" s="1848"/>
      <c r="AW29" s="1848"/>
    </row>
    <row r="30" spans="1:49">
      <c r="A30" s="1674" t="s">
        <v>96</v>
      </c>
      <c r="B30" s="1862" t="s">
        <v>16</v>
      </c>
      <c r="C30" s="1313">
        <v>702</v>
      </c>
      <c r="D30" s="1159"/>
      <c r="E30" s="1313">
        <v>0</v>
      </c>
      <c r="F30" s="1159"/>
      <c r="G30" s="1313">
        <f>'Exhibit G state'!AE100</f>
        <v>700.5</v>
      </c>
      <c r="H30" s="1159"/>
      <c r="I30" s="1860">
        <f>ROUND(SUM(G30)-SUM(C30),1)</f>
        <v>-1.5</v>
      </c>
      <c r="J30" s="1860"/>
      <c r="K30" s="1860">
        <v>0</v>
      </c>
      <c r="L30" s="1860"/>
      <c r="M30" s="2342"/>
      <c r="N30" s="1313">
        <v>3285</v>
      </c>
      <c r="O30" s="1159"/>
      <c r="P30" s="1313">
        <v>0</v>
      </c>
      <c r="Q30" s="1159"/>
      <c r="R30" s="1313">
        <f>'Exhibit G Federal'!AE70</f>
        <v>3259.9</v>
      </c>
      <c r="S30" s="1159"/>
      <c r="T30" s="1159">
        <f>ROUND(SUM(R30)-SUM(N30),1)</f>
        <v>-25.1</v>
      </c>
      <c r="U30" s="1840"/>
      <c r="V30" s="1860">
        <v>0</v>
      </c>
      <c r="W30" s="1860"/>
      <c r="X30" s="1927"/>
      <c r="Y30" s="1860"/>
      <c r="Z30" s="1860"/>
      <c r="AA30" s="1860"/>
      <c r="AB30" s="1860"/>
      <c r="AC30" s="1860"/>
      <c r="AD30" s="1864"/>
      <c r="AE30" s="1865"/>
      <c r="AF30" s="1840"/>
      <c r="AG30" s="1865"/>
      <c r="AH30" s="1840"/>
      <c r="AI30" s="1865"/>
      <c r="AJ30" s="1866"/>
      <c r="AK30" s="1840"/>
      <c r="AL30" s="1840"/>
      <c r="AM30" s="1840"/>
      <c r="AN30" s="1840"/>
      <c r="AO30" s="1840"/>
      <c r="AP30" s="1840"/>
      <c r="AQ30" s="1840"/>
      <c r="AR30" s="1848"/>
      <c r="AS30" s="1848"/>
      <c r="AT30" s="1848"/>
      <c r="AU30" s="1848"/>
      <c r="AV30" s="1848"/>
      <c r="AW30" s="1848"/>
    </row>
    <row r="31" spans="1:49">
      <c r="A31" s="1674" t="s">
        <v>97</v>
      </c>
      <c r="B31" s="1862" t="s">
        <v>16</v>
      </c>
      <c r="C31" s="1313">
        <v>766</v>
      </c>
      <c r="D31" s="1159"/>
      <c r="E31" s="1313">
        <v>0</v>
      </c>
      <c r="F31" s="1159"/>
      <c r="G31" s="1313">
        <f>'Exhibit G state'!AE102+'Exhibit G state'!AE103</f>
        <v>765.6</v>
      </c>
      <c r="H31" s="1159"/>
      <c r="I31" s="1860">
        <f>ROUND(SUM(G31)-SUM(C31),1)</f>
        <v>-0.4</v>
      </c>
      <c r="J31" s="1860"/>
      <c r="K31" s="1860">
        <v>0</v>
      </c>
      <c r="L31" s="1860"/>
      <c r="M31" s="2342"/>
      <c r="N31" s="1313">
        <v>93</v>
      </c>
      <c r="O31" s="1159"/>
      <c r="P31" s="1313">
        <v>0</v>
      </c>
      <c r="Q31" s="1159"/>
      <c r="R31" s="1313">
        <f>'Exhibit G Federal'!AE72+'Exhibit G Federal'!AE73</f>
        <v>94.4</v>
      </c>
      <c r="S31" s="1159"/>
      <c r="T31" s="1159">
        <f>ROUND(SUM(R31)-SUM(N31),1)</f>
        <v>1.4</v>
      </c>
      <c r="U31" s="1840"/>
      <c r="V31" s="1860">
        <v>0</v>
      </c>
      <c r="W31" s="1860"/>
      <c r="X31" s="1927"/>
      <c r="Y31" s="1860"/>
      <c r="Z31" s="1860"/>
      <c r="AA31" s="1860"/>
      <c r="AB31" s="1860"/>
      <c r="AC31" s="1860"/>
      <c r="AD31" s="1861"/>
      <c r="AE31" s="1862"/>
      <c r="AF31" s="1840"/>
      <c r="AG31" s="1862"/>
      <c r="AH31" s="1840"/>
      <c r="AI31" s="1865"/>
      <c r="AJ31" s="1840"/>
      <c r="AK31" s="1840"/>
      <c r="AL31" s="1865"/>
      <c r="AM31" s="1865"/>
      <c r="AN31" s="1840"/>
      <c r="AO31" s="1865"/>
      <c r="AP31" s="1840"/>
      <c r="AQ31" s="1865"/>
      <c r="AR31" s="1848"/>
      <c r="AS31" s="1848"/>
      <c r="AT31" s="1848"/>
      <c r="AU31" s="1848"/>
      <c r="AV31" s="1848"/>
      <c r="AW31" s="1848"/>
    </row>
    <row r="32" spans="1:49">
      <c r="A32" s="1674" t="s">
        <v>72</v>
      </c>
      <c r="B32" s="1862" t="s">
        <v>16</v>
      </c>
      <c r="C32" s="1313">
        <v>179</v>
      </c>
      <c r="D32" s="1159"/>
      <c r="E32" s="1313">
        <v>0</v>
      </c>
      <c r="F32" s="1159"/>
      <c r="G32" s="1313">
        <f>'Exhibit G state'!AE104</f>
        <v>179</v>
      </c>
      <c r="H32" s="1159"/>
      <c r="I32" s="1860">
        <f>ROUND(SUM(G32)-SUM(C32),1)</f>
        <v>0</v>
      </c>
      <c r="J32" s="1860"/>
      <c r="K32" s="1860">
        <v>0</v>
      </c>
      <c r="L32" s="1860"/>
      <c r="M32" s="2342"/>
      <c r="N32" s="1313">
        <v>11</v>
      </c>
      <c r="O32" s="1159"/>
      <c r="P32" s="1313">
        <v>0</v>
      </c>
      <c r="Q32" s="1159"/>
      <c r="R32" s="1313">
        <f>'Exhibit G Federal'!AE74</f>
        <v>10.5</v>
      </c>
      <c r="S32" s="1159"/>
      <c r="T32" s="1159">
        <f>ROUND(SUM(R32)-SUM(N32),1)</f>
        <v>-0.5</v>
      </c>
      <c r="U32" s="1840"/>
      <c r="V32" s="1860">
        <v>0</v>
      </c>
      <c r="W32" s="1860"/>
      <c r="X32" s="1927"/>
      <c r="Y32" s="1860"/>
      <c r="Z32" s="1860"/>
      <c r="AA32" s="1860"/>
      <c r="AB32" s="1860"/>
      <c r="AC32" s="1860"/>
      <c r="AD32" s="1864"/>
      <c r="AE32" s="1865"/>
      <c r="AF32" s="1840"/>
      <c r="AG32" s="1865"/>
      <c r="AH32" s="1840"/>
      <c r="AI32" s="1865"/>
      <c r="AJ32" s="1866"/>
      <c r="AK32" s="1840"/>
      <c r="AL32" s="1865"/>
      <c r="AM32" s="1865"/>
      <c r="AN32" s="1840"/>
      <c r="AO32" s="1865"/>
      <c r="AP32" s="1840"/>
      <c r="AQ32" s="1865"/>
      <c r="AR32" s="1848"/>
      <c r="AS32" s="1848"/>
      <c r="AT32" s="1848"/>
      <c r="AU32" s="1848"/>
      <c r="AV32" s="1848"/>
      <c r="AW32" s="1848"/>
    </row>
    <row r="33" spans="1:49">
      <c r="A33" s="1674" t="s">
        <v>43</v>
      </c>
      <c r="B33" s="1866" t="s">
        <v>16</v>
      </c>
      <c r="C33" s="1239">
        <v>0</v>
      </c>
      <c r="D33" s="1159"/>
      <c r="E33" s="1239">
        <v>0</v>
      </c>
      <c r="F33" s="1159"/>
      <c r="G33" s="1239">
        <f>'Exhibit G state'!AE105</f>
        <v>0.1</v>
      </c>
      <c r="H33" s="1159"/>
      <c r="I33" s="1860">
        <f>ROUND(SUM(G33)-SUM(C33),1)</f>
        <v>0.1</v>
      </c>
      <c r="J33" s="1860"/>
      <c r="K33" s="1860">
        <v>0</v>
      </c>
      <c r="L33" s="1860"/>
      <c r="M33" s="2343"/>
      <c r="N33" s="1239">
        <v>0</v>
      </c>
      <c r="O33" s="1159"/>
      <c r="P33" s="1239">
        <v>0</v>
      </c>
      <c r="Q33" s="1159"/>
      <c r="R33" s="1239">
        <v>0</v>
      </c>
      <c r="S33" s="1159"/>
      <c r="T33" s="1159">
        <f>ROUND(SUM(R33)-SUM(N33),1)</f>
        <v>0</v>
      </c>
      <c r="U33" s="1866"/>
      <c r="V33" s="1860">
        <f>ROUND(SUM(R33)-SUM(P33),1)</f>
        <v>0</v>
      </c>
      <c r="W33" s="1860"/>
      <c r="X33" s="1927"/>
      <c r="Y33" s="1860"/>
      <c r="Z33" s="1860"/>
      <c r="AA33" s="1860"/>
      <c r="AB33" s="1860"/>
      <c r="AC33" s="1860"/>
      <c r="AD33" s="1864"/>
      <c r="AE33" s="1865"/>
      <c r="AF33" s="1840"/>
      <c r="AG33" s="1865"/>
      <c r="AH33" s="1840"/>
      <c r="AI33" s="1865"/>
      <c r="AJ33" s="1866"/>
      <c r="AK33" s="1840"/>
      <c r="AL33" s="1840"/>
      <c r="AM33" s="1840"/>
      <c r="AN33" s="1840"/>
      <c r="AO33" s="1840"/>
      <c r="AP33" s="1840"/>
      <c r="AQ33" s="1840"/>
      <c r="AR33" s="1848"/>
      <c r="AS33" s="1848"/>
      <c r="AT33" s="1848"/>
      <c r="AU33" s="1848"/>
      <c r="AV33" s="1848"/>
      <c r="AW33" s="1848"/>
    </row>
    <row r="34" spans="1:49">
      <c r="A34" s="1674" t="s">
        <v>1495</v>
      </c>
      <c r="B34" s="1866" t="s">
        <v>16</v>
      </c>
      <c r="C34" s="1339">
        <v>4</v>
      </c>
      <c r="D34" s="1159"/>
      <c r="E34" s="1339">
        <v>0</v>
      </c>
      <c r="F34" s="1159"/>
      <c r="G34" s="1339">
        <f>-'Exhibit G state'!AE114</f>
        <v>4.4000000000000004</v>
      </c>
      <c r="H34" s="1159"/>
      <c r="I34" s="1860">
        <f>ROUND(SUM(G34)-SUM(C34),1)</f>
        <v>0.4</v>
      </c>
      <c r="J34" s="1860"/>
      <c r="K34" s="1860">
        <v>0</v>
      </c>
      <c r="L34" s="1860"/>
      <c r="M34" s="2343"/>
      <c r="N34" s="1339">
        <v>94</v>
      </c>
      <c r="O34" s="1159"/>
      <c r="P34" s="1339">
        <v>0</v>
      </c>
      <c r="Q34" s="1159"/>
      <c r="R34" s="1339">
        <f>-'Exhibit G Federal'!AE84</f>
        <v>85.4</v>
      </c>
      <c r="S34" s="1159"/>
      <c r="T34" s="1159">
        <f>ROUND(SUM(R34)-SUM(N34),1)</f>
        <v>-8.6</v>
      </c>
      <c r="U34" s="1866"/>
      <c r="V34" s="1860">
        <v>0</v>
      </c>
      <c r="W34" s="1860"/>
      <c r="X34" s="1927"/>
      <c r="Y34" s="1860"/>
      <c r="Z34" s="1861"/>
      <c r="AA34" s="1860"/>
      <c r="AB34" s="1860"/>
      <c r="AC34" s="1860"/>
      <c r="AD34" s="1864"/>
      <c r="AE34" s="1865"/>
      <c r="AF34" s="1840"/>
      <c r="AG34" s="1865"/>
      <c r="AH34" s="1840"/>
      <c r="AI34" s="1865"/>
      <c r="AJ34" s="1866"/>
      <c r="AK34" s="1840"/>
      <c r="AL34" s="1840"/>
      <c r="AM34" s="1840"/>
      <c r="AN34" s="1840"/>
      <c r="AO34" s="1840"/>
      <c r="AP34" s="1840"/>
      <c r="AQ34" s="1840"/>
      <c r="AR34" s="1848"/>
      <c r="AS34" s="1848"/>
      <c r="AT34" s="1848"/>
      <c r="AU34" s="1848"/>
      <c r="AV34" s="1848"/>
      <c r="AW34" s="1848"/>
    </row>
    <row r="35" spans="1:49" ht="18" customHeight="1">
      <c r="A35" s="375" t="s">
        <v>122</v>
      </c>
      <c r="B35" s="353" t="s">
        <v>16</v>
      </c>
      <c r="C35" s="544">
        <f>ROUND(SUM(C30:C34),1)</f>
        <v>1651</v>
      </c>
      <c r="D35" s="1838"/>
      <c r="E35" s="544">
        <f>ROUND(SUM(E30:E34),1)</f>
        <v>0</v>
      </c>
      <c r="F35" s="1838"/>
      <c r="G35" s="544">
        <f>ROUND(SUM(G30:G34),1)</f>
        <v>1649.6</v>
      </c>
      <c r="H35" s="1838"/>
      <c r="I35" s="544">
        <f>ROUND(SUM(I30:I34),1)</f>
        <v>-1.4</v>
      </c>
      <c r="J35" s="273"/>
      <c r="K35" s="544">
        <f>ROUND(SUM(K30:K34),1)</f>
        <v>0</v>
      </c>
      <c r="L35" s="273"/>
      <c r="M35" s="2346"/>
      <c r="N35" s="544">
        <f>ROUND(SUM(N30:N34),1)</f>
        <v>3483</v>
      </c>
      <c r="O35" s="1838"/>
      <c r="P35" s="544">
        <f>ROUND(SUM(P30:P34),1)</f>
        <v>0</v>
      </c>
      <c r="Q35" s="1838"/>
      <c r="R35" s="544">
        <f>ROUND(SUM(R30:R34),1)</f>
        <v>3450.2</v>
      </c>
      <c r="S35" s="1838"/>
      <c r="T35" s="544">
        <f>ROUND(SUM(T30:T34),1)</f>
        <v>-32.799999999999997</v>
      </c>
      <c r="U35" s="353"/>
      <c r="V35" s="544">
        <f>ROUND(SUM(V30:V34),1)</f>
        <v>0</v>
      </c>
      <c r="W35" s="273"/>
      <c r="X35" s="273"/>
      <c r="Y35" s="273"/>
      <c r="Z35" s="273"/>
      <c r="AA35" s="273"/>
      <c r="AB35" s="273"/>
      <c r="AC35" s="273"/>
      <c r="AD35" s="273"/>
      <c r="AE35" s="353"/>
      <c r="AF35" s="353"/>
      <c r="AG35" s="353"/>
      <c r="AH35" s="353"/>
      <c r="AI35" s="353"/>
      <c r="AJ35" s="353"/>
      <c r="AK35" s="353"/>
      <c r="AL35" s="353"/>
      <c r="AM35" s="353"/>
      <c r="AN35" s="353"/>
      <c r="AO35" s="353"/>
      <c r="AP35" s="353"/>
      <c r="AQ35" s="353"/>
      <c r="AR35" s="1848"/>
      <c r="AS35" s="1848"/>
      <c r="AT35" s="1848"/>
      <c r="AU35" s="1848"/>
      <c r="AV35" s="1848"/>
      <c r="AW35" s="1848"/>
    </row>
    <row r="36" spans="1:49">
      <c r="A36" s="1343"/>
      <c r="B36" s="1840"/>
      <c r="C36" s="1341"/>
      <c r="D36" s="1159"/>
      <c r="E36" s="1341"/>
      <c r="F36" s="1159"/>
      <c r="G36" s="1341"/>
      <c r="H36" s="1159"/>
      <c r="I36" s="1860"/>
      <c r="J36" s="1860"/>
      <c r="K36" s="1860"/>
      <c r="L36" s="1860"/>
      <c r="M36" s="2342"/>
      <c r="N36" s="1860"/>
      <c r="O36" s="1159"/>
      <c r="P36" s="1341"/>
      <c r="Q36" s="1159"/>
      <c r="R36" s="1341"/>
      <c r="S36" s="1159"/>
      <c r="T36" s="1860"/>
      <c r="U36" s="1840"/>
      <c r="V36" s="1860"/>
      <c r="W36" s="1860"/>
      <c r="X36" s="1860"/>
      <c r="Y36" s="1860"/>
      <c r="Z36" s="1860"/>
      <c r="AA36" s="1860"/>
      <c r="AB36" s="1860"/>
      <c r="AC36" s="1860"/>
      <c r="AD36" s="1860"/>
      <c r="AE36" s="1840"/>
      <c r="AF36" s="1840"/>
      <c r="AG36" s="1840"/>
      <c r="AH36" s="1840"/>
      <c r="AI36" s="1840"/>
      <c r="AJ36" s="1840"/>
      <c r="AK36" s="1840"/>
      <c r="AL36" s="1840"/>
      <c r="AM36" s="1840"/>
      <c r="AN36" s="1840"/>
      <c r="AO36" s="1840"/>
      <c r="AP36" s="1840"/>
      <c r="AQ36" s="1840"/>
      <c r="AR36" s="1848"/>
      <c r="AS36" s="1848"/>
      <c r="AT36" s="1848"/>
      <c r="AU36" s="1848"/>
      <c r="AV36" s="1848"/>
      <c r="AW36" s="1848"/>
    </row>
    <row r="37" spans="1:49" ht="15.6">
      <c r="A37" s="221" t="s">
        <v>123</v>
      </c>
      <c r="B37" s="1840"/>
      <c r="C37" s="1159"/>
      <c r="D37" s="1159"/>
      <c r="E37" s="1159"/>
      <c r="F37" s="1159"/>
      <c r="G37" s="1159"/>
      <c r="H37" s="1159"/>
      <c r="I37" s="1860"/>
      <c r="J37" s="1860"/>
      <c r="K37" s="1860"/>
      <c r="L37" s="1860"/>
      <c r="M37" s="2342"/>
      <c r="N37" s="1159"/>
      <c r="O37" s="1159"/>
      <c r="P37" s="1159"/>
      <c r="Q37" s="1159"/>
      <c r="R37" s="1159"/>
      <c r="S37" s="1159"/>
      <c r="T37" s="1159"/>
      <c r="U37" s="1840"/>
      <c r="V37" s="1860"/>
      <c r="W37" s="1860"/>
      <c r="X37" s="1860"/>
      <c r="Y37" s="1860"/>
      <c r="Z37" s="1860"/>
      <c r="AA37" s="1860"/>
      <c r="AB37" s="1860"/>
      <c r="AC37" s="1860"/>
      <c r="AD37" s="1860"/>
      <c r="AE37" s="1840"/>
      <c r="AF37" s="1840"/>
      <c r="AG37" s="1840"/>
      <c r="AH37" s="1840"/>
      <c r="AI37" s="1840"/>
      <c r="AJ37" s="1840"/>
      <c r="AK37" s="1840"/>
      <c r="AL37" s="1840"/>
      <c r="AM37" s="1840"/>
      <c r="AN37" s="1840"/>
      <c r="AO37" s="1840"/>
      <c r="AP37" s="1840"/>
      <c r="AQ37" s="1840"/>
      <c r="AR37" s="1848"/>
      <c r="AS37" s="1848"/>
      <c r="AT37" s="1848"/>
      <c r="AU37" s="1848"/>
      <c r="AV37" s="1848"/>
      <c r="AW37" s="1848"/>
    </row>
    <row r="38" spans="1:49" ht="15.6">
      <c r="A38" s="221" t="s">
        <v>124</v>
      </c>
      <c r="B38" s="1840"/>
      <c r="C38" s="1159"/>
      <c r="D38" s="1159"/>
      <c r="E38" s="1159"/>
      <c r="F38" s="1159"/>
      <c r="G38" s="1159"/>
      <c r="H38" s="1159"/>
      <c r="I38" s="1860"/>
      <c r="J38" s="1860"/>
      <c r="K38" s="1860"/>
      <c r="L38" s="1860"/>
      <c r="M38" s="2342"/>
      <c r="N38" s="1159"/>
      <c r="O38" s="1159"/>
      <c r="P38" s="1159"/>
      <c r="Q38" s="1159"/>
      <c r="R38" s="1159"/>
      <c r="S38" s="1159"/>
      <c r="T38" s="1159"/>
      <c r="U38" s="1840"/>
      <c r="V38" s="1860"/>
      <c r="W38" s="1860"/>
      <c r="X38" s="1860"/>
      <c r="Y38" s="1860"/>
      <c r="Z38" s="1860"/>
      <c r="AA38" s="1860"/>
      <c r="AB38" s="1860"/>
      <c r="AC38" s="1860"/>
      <c r="AD38" s="1860"/>
      <c r="AE38" s="1840"/>
      <c r="AF38" s="1840"/>
      <c r="AG38" s="1840"/>
      <c r="AH38" s="1840"/>
      <c r="AI38" s="1840"/>
      <c r="AJ38" s="1840"/>
      <c r="AK38" s="1840"/>
      <c r="AL38" s="1840"/>
      <c r="AM38" s="1840"/>
      <c r="AN38" s="1840"/>
      <c r="AO38" s="1840"/>
      <c r="AP38" s="1840"/>
      <c r="AQ38" s="1840"/>
      <c r="AR38" s="1848"/>
      <c r="AS38" s="1848"/>
      <c r="AT38" s="1848"/>
      <c r="AU38" s="1848"/>
      <c r="AV38" s="1848"/>
      <c r="AW38" s="1848"/>
    </row>
    <row r="39" spans="1:49" ht="15.6">
      <c r="A39" s="375" t="s">
        <v>105</v>
      </c>
      <c r="B39" s="1837" t="s">
        <v>16</v>
      </c>
      <c r="C39" s="273">
        <f>ROUND(SUM(C27)-SUM(C35),1)</f>
        <v>569</v>
      </c>
      <c r="D39" s="284"/>
      <c r="E39" s="273">
        <f>ROUND(SUM(E27)-SUM(E35),1)</f>
        <v>0</v>
      </c>
      <c r="F39" s="284"/>
      <c r="G39" s="273">
        <f>ROUND(SUM(G27)-SUM(G35),1)</f>
        <v>566</v>
      </c>
      <c r="H39" s="284"/>
      <c r="I39" s="273">
        <f>ROUND(SUM(I27)-SUM(I35),1)</f>
        <v>-3</v>
      </c>
      <c r="J39" s="273"/>
      <c r="K39" s="2994">
        <v>0</v>
      </c>
      <c r="L39" s="273"/>
      <c r="M39" s="2344"/>
      <c r="N39" s="273">
        <f>ROUND(SUM(N27)-SUM(N35),1)</f>
        <v>-340</v>
      </c>
      <c r="O39" s="284"/>
      <c r="P39" s="273">
        <f>ROUND(SUM(P27)-SUM(P35),1)</f>
        <v>0</v>
      </c>
      <c r="Q39" s="284"/>
      <c r="R39" s="273">
        <f>ROUND(SUM(R27)-SUM(R35),1)</f>
        <v>-302.5</v>
      </c>
      <c r="S39" s="284"/>
      <c r="T39" s="273">
        <f>ROUND(SUM(T27)-SUM(T35),1)</f>
        <v>37.5</v>
      </c>
      <c r="U39" s="353"/>
      <c r="V39" s="2994">
        <v>0</v>
      </c>
      <c r="W39" s="741"/>
      <c r="X39" s="273"/>
      <c r="Y39" s="741"/>
      <c r="Z39" s="273"/>
      <c r="AA39" s="741"/>
      <c r="AB39" s="273"/>
      <c r="AC39" s="741"/>
      <c r="AD39" s="273"/>
      <c r="AE39" s="353"/>
      <c r="AF39" s="376"/>
      <c r="AG39" s="353"/>
      <c r="AH39" s="376"/>
      <c r="AI39" s="353"/>
      <c r="AJ39" s="353"/>
      <c r="AK39" s="376"/>
      <c r="AL39" s="353"/>
      <c r="AM39" s="353"/>
      <c r="AN39" s="376"/>
      <c r="AO39" s="353"/>
      <c r="AP39" s="376"/>
      <c r="AQ39" s="353"/>
      <c r="AR39" s="1848"/>
      <c r="AS39" s="1848"/>
      <c r="AT39" s="1848"/>
      <c r="AU39" s="1848"/>
      <c r="AV39" s="1848"/>
      <c r="AW39" s="1848"/>
    </row>
    <row r="40" spans="1:49" ht="15" customHeight="1">
      <c r="C40" s="1255"/>
      <c r="D40" s="1849"/>
      <c r="E40" s="1255"/>
      <c r="F40" s="1849"/>
      <c r="G40" s="1255"/>
      <c r="H40" s="1849"/>
      <c r="I40" s="273"/>
      <c r="J40" s="273"/>
      <c r="K40" s="2994"/>
      <c r="L40" s="273"/>
      <c r="M40" s="2344"/>
      <c r="N40" s="1255"/>
      <c r="O40" s="1849"/>
      <c r="P40" s="1255"/>
      <c r="Q40" s="1849"/>
      <c r="R40" s="1255"/>
      <c r="S40" s="1849"/>
      <c r="T40" s="273"/>
      <c r="U40" s="353"/>
      <c r="V40" s="2994"/>
      <c r="W40" s="1255"/>
      <c r="X40" s="1255"/>
      <c r="Y40" s="1255"/>
      <c r="Z40" s="1255"/>
      <c r="AA40" s="1255"/>
      <c r="AB40" s="1255"/>
      <c r="AC40" s="1255"/>
      <c r="AD40" s="1255"/>
      <c r="AR40" s="1848"/>
      <c r="AS40" s="1848"/>
      <c r="AT40" s="1848"/>
      <c r="AU40" s="1848"/>
      <c r="AV40" s="1848"/>
      <c r="AW40" s="1848"/>
    </row>
    <row r="41" spans="1:49" ht="15.6">
      <c r="A41" s="375" t="str">
        <f>+'Exh D-Governmental  '!A49</f>
        <v>Fund Balances (Deficits) at April 1</v>
      </c>
      <c r="B41" s="1137" t="s">
        <v>16</v>
      </c>
      <c r="C41" s="273">
        <v>3547</v>
      </c>
      <c r="D41" s="1849"/>
      <c r="E41" s="273">
        <v>0</v>
      </c>
      <c r="F41" s="1849"/>
      <c r="G41" s="273">
        <v>3547.4</v>
      </c>
      <c r="H41" s="1849"/>
      <c r="I41" s="281">
        <f>ROUND(SUM(G41-C41),1)</f>
        <v>0.4</v>
      </c>
      <c r="J41" s="281"/>
      <c r="K41" s="2994">
        <v>0</v>
      </c>
      <c r="L41" s="281"/>
      <c r="M41" s="2344"/>
      <c r="N41" s="273">
        <v>60</v>
      </c>
      <c r="O41" s="1849"/>
      <c r="P41" s="273">
        <v>0</v>
      </c>
      <c r="Q41" s="1849"/>
      <c r="R41" s="273">
        <v>59.7</v>
      </c>
      <c r="S41" s="1849"/>
      <c r="T41" s="281">
        <f>ROUND(SUM(R41-N41),1)</f>
        <v>-0.3</v>
      </c>
      <c r="U41" s="353"/>
      <c r="V41" s="2994">
        <v>0</v>
      </c>
      <c r="W41" s="1255"/>
      <c r="X41" s="273"/>
      <c r="Y41" s="1255"/>
      <c r="Z41" s="273"/>
      <c r="AA41" s="1255"/>
      <c r="AB41" s="281"/>
      <c r="AC41" s="1255"/>
      <c r="AD41" s="1255"/>
      <c r="AR41" s="1848"/>
      <c r="AS41" s="1848"/>
      <c r="AT41" s="1848"/>
      <c r="AU41" s="1848"/>
      <c r="AV41" s="1848"/>
      <c r="AW41" s="1848"/>
    </row>
    <row r="42" spans="1:49" ht="18" customHeight="1" thickBot="1">
      <c r="A42" s="2562" t="str">
        <f>+'Exh D-Governmental  '!A50</f>
        <v>Fund Balances (Deficits) at April 30, 2016</v>
      </c>
      <c r="B42" s="382" t="s">
        <v>16</v>
      </c>
      <c r="C42" s="298">
        <f>ROUND(SUM(C39:C41),1)</f>
        <v>4116</v>
      </c>
      <c r="D42" s="383"/>
      <c r="E42" s="298">
        <f>ROUND(SUM(E39:E41),1)</f>
        <v>0</v>
      </c>
      <c r="F42" s="383"/>
      <c r="G42" s="298">
        <f>ROUND(SUM(G39:G41),1)</f>
        <v>4113.3999999999996</v>
      </c>
      <c r="H42" s="383"/>
      <c r="I42" s="298">
        <f>ROUND(SUM(I39:I41),1)</f>
        <v>-2.6</v>
      </c>
      <c r="J42" s="423"/>
      <c r="K42" s="298">
        <f>ROUND(SUM(K39:K41),1)</f>
        <v>0</v>
      </c>
      <c r="L42" s="423"/>
      <c r="M42" s="2345"/>
      <c r="N42" s="298">
        <f>ROUND(SUM(N39:N41),1)</f>
        <v>-280</v>
      </c>
      <c r="O42" s="298">
        <f>ROUND(SUM(O39:O41),1)</f>
        <v>0</v>
      </c>
      <c r="P42" s="298">
        <f>ROUND(SUM(P39:P41),1)</f>
        <v>0</v>
      </c>
      <c r="Q42" s="383"/>
      <c r="R42" s="298">
        <f>ROUND(SUM(R39:R41),1)</f>
        <v>-242.8</v>
      </c>
      <c r="S42" s="383"/>
      <c r="T42" s="298">
        <f>ROUND(SUM(T39:T41),1)</f>
        <v>37.200000000000003</v>
      </c>
      <c r="U42" s="353"/>
      <c r="V42" s="298">
        <f>ROUND(SUM(V39:V41),1)</f>
        <v>0</v>
      </c>
      <c r="W42" s="1930"/>
      <c r="X42" s="423"/>
      <c r="Y42" s="1930"/>
      <c r="Z42" s="423"/>
      <c r="AA42" s="1930"/>
      <c r="AB42" s="423"/>
      <c r="AR42" s="1848"/>
      <c r="AS42" s="1848"/>
      <c r="AT42" s="1848"/>
      <c r="AU42" s="1848"/>
      <c r="AV42" s="1848"/>
      <c r="AW42" s="1848"/>
    </row>
    <row r="43" spans="1:49" ht="15" customHeight="1" thickTop="1">
      <c r="A43" s="357"/>
      <c r="G43" s="1137"/>
      <c r="J43" s="1137"/>
      <c r="V43" s="1137"/>
      <c r="W43" s="1931"/>
      <c r="X43" s="1342"/>
      <c r="Y43" s="1931"/>
      <c r="Z43" s="1931"/>
      <c r="AA43" s="1931"/>
      <c r="AB43" s="1931"/>
      <c r="AR43" s="1848"/>
      <c r="AS43" s="1848"/>
      <c r="AT43" s="1848"/>
      <c r="AU43" s="1848"/>
      <c r="AV43" s="1848"/>
      <c r="AW43" s="1848"/>
    </row>
    <row r="44" spans="1:49">
      <c r="A44" s="1853" t="s">
        <v>1530</v>
      </c>
      <c r="AR44" s="1848"/>
      <c r="AS44" s="1848"/>
      <c r="AT44" s="1848"/>
      <c r="AU44" s="1848"/>
      <c r="AV44" s="1848"/>
      <c r="AW44" s="1848"/>
    </row>
    <row r="45" spans="1:49">
      <c r="A45" s="2851" t="s">
        <v>1498</v>
      </c>
      <c r="B45" s="1848"/>
      <c r="C45" s="1848"/>
      <c r="D45" s="1848"/>
      <c r="E45" s="1848"/>
      <c r="F45" s="1848"/>
      <c r="G45" s="1848"/>
      <c r="H45" s="1848"/>
      <c r="I45" s="1848"/>
      <c r="J45" s="1848"/>
      <c r="K45" s="1848"/>
      <c r="L45" s="1348"/>
      <c r="M45" s="1348"/>
      <c r="N45" s="1848"/>
      <c r="O45" s="1848"/>
      <c r="P45" s="1848"/>
      <c r="Q45" s="1848"/>
      <c r="R45" s="1848"/>
      <c r="S45" s="1848"/>
      <c r="T45" s="1848"/>
      <c r="U45" s="1848"/>
      <c r="V45" s="1348"/>
      <c r="W45" s="1348"/>
      <c r="X45" s="1348"/>
      <c r="Y45" s="1348"/>
      <c r="Z45" s="1348"/>
      <c r="AA45" s="1348"/>
      <c r="AB45" s="1348"/>
      <c r="AC45" s="1848"/>
      <c r="AD45" s="1848"/>
      <c r="AE45" s="1848"/>
      <c r="AF45" s="1848"/>
      <c r="AG45" s="1848"/>
      <c r="AH45" s="1848"/>
      <c r="AI45" s="1848"/>
      <c r="AJ45" s="1848"/>
      <c r="AK45" s="1848"/>
      <c r="AL45" s="1848"/>
      <c r="AM45" s="1848"/>
      <c r="AN45" s="1848"/>
      <c r="AO45" s="1848"/>
      <c r="AP45" s="1848"/>
      <c r="AQ45" s="1848"/>
      <c r="AR45" s="1848"/>
      <c r="AS45" s="1848"/>
      <c r="AT45" s="1848"/>
      <c r="AU45" s="1848"/>
      <c r="AV45" s="1848"/>
      <c r="AW45" s="1848"/>
    </row>
    <row r="46" spans="1:49">
      <c r="A46" s="2851" t="s">
        <v>1398</v>
      </c>
      <c r="B46" s="1848"/>
      <c r="C46" s="1868"/>
      <c r="D46" s="1848"/>
      <c r="E46" s="1848"/>
      <c r="F46" s="1848"/>
      <c r="G46" s="1848"/>
      <c r="H46" s="1848"/>
      <c r="I46" s="1848"/>
      <c r="J46" s="1848"/>
      <c r="K46" s="1848"/>
      <c r="L46" s="1348"/>
      <c r="M46" s="1348"/>
      <c r="N46" s="1848"/>
      <c r="O46" s="1848"/>
      <c r="P46" s="1848"/>
      <c r="Q46" s="1848"/>
      <c r="R46" s="1848"/>
      <c r="S46" s="1848"/>
      <c r="T46" s="1848"/>
      <c r="U46" s="1848"/>
      <c r="V46" s="1348"/>
      <c r="W46" s="1348"/>
      <c r="X46" s="1348"/>
      <c r="Y46" s="1348"/>
      <c r="Z46" s="1348"/>
      <c r="AA46" s="1348"/>
      <c r="AB46" s="1348"/>
      <c r="AC46" s="1848"/>
      <c r="AD46" s="1848"/>
      <c r="AE46" s="1848"/>
      <c r="AF46" s="1848"/>
      <c r="AG46" s="1848"/>
      <c r="AH46" s="1848"/>
      <c r="AI46" s="1848"/>
      <c r="AJ46" s="1848"/>
      <c r="AK46" s="1848"/>
      <c r="AL46" s="1848"/>
      <c r="AM46" s="1848"/>
      <c r="AN46" s="1848"/>
      <c r="AO46" s="1848"/>
      <c r="AP46" s="1848"/>
      <c r="AQ46" s="1848"/>
      <c r="AR46" s="1848"/>
      <c r="AS46" s="1848"/>
      <c r="AT46" s="1848"/>
      <c r="AU46" s="1848"/>
      <c r="AV46" s="1848"/>
      <c r="AW46" s="1848"/>
    </row>
    <row r="47" spans="1:49">
      <c r="A47" s="1809"/>
    </row>
    <row r="48" spans="1:49">
      <c r="A48" s="406"/>
      <c r="B48" s="1848"/>
      <c r="C48" s="1848"/>
      <c r="D48" s="1848"/>
      <c r="E48" s="1848"/>
      <c r="F48" s="1848"/>
      <c r="G48" s="1848"/>
      <c r="H48" s="1848"/>
      <c r="I48" s="1848"/>
      <c r="J48" s="1848"/>
      <c r="K48" s="1848"/>
      <c r="L48" s="1348"/>
      <c r="M48" s="1348"/>
      <c r="N48" s="1848"/>
      <c r="O48" s="1848"/>
      <c r="P48" s="1848"/>
      <c r="Q48" s="1848"/>
      <c r="R48" s="1848"/>
      <c r="S48" s="1848"/>
      <c r="T48" s="1848"/>
      <c r="U48" s="1848"/>
      <c r="V48" s="1348"/>
      <c r="W48" s="1348"/>
      <c r="X48" s="1348"/>
      <c r="Y48" s="1348"/>
      <c r="Z48" s="1348"/>
      <c r="AA48" s="1348"/>
      <c r="AB48" s="1348"/>
      <c r="AC48" s="1848"/>
      <c r="AD48" s="1848"/>
      <c r="AE48" s="1848"/>
      <c r="AF48" s="1848"/>
      <c r="AG48" s="1848"/>
      <c r="AH48" s="1848"/>
      <c r="AI48" s="1848"/>
      <c r="AJ48" s="1848"/>
      <c r="AK48" s="1848"/>
      <c r="AL48" s="1848"/>
      <c r="AM48" s="1848"/>
      <c r="AN48" s="1848"/>
      <c r="AO48" s="1848"/>
      <c r="AP48" s="1848"/>
      <c r="AQ48" s="1848"/>
      <c r="AR48" s="1848"/>
      <c r="AS48" s="1848"/>
      <c r="AT48" s="1848"/>
      <c r="AU48" s="1848"/>
      <c r="AV48" s="1848"/>
      <c r="AW48" s="1848"/>
    </row>
    <row r="49" spans="1:49">
      <c r="A49" s="406"/>
      <c r="B49" s="1848"/>
      <c r="C49" s="1848"/>
      <c r="D49" s="1848"/>
      <c r="E49" s="1848"/>
      <c r="F49" s="1848"/>
      <c r="G49" s="1848"/>
      <c r="H49" s="1848"/>
      <c r="I49" s="1848"/>
      <c r="J49" s="1848"/>
      <c r="K49" s="1848"/>
      <c r="L49" s="1348"/>
      <c r="M49" s="1348"/>
      <c r="N49" s="1848"/>
      <c r="O49" s="1848"/>
      <c r="P49" s="1848"/>
      <c r="Q49" s="1848"/>
      <c r="R49" s="1848"/>
      <c r="S49" s="1848"/>
      <c r="T49" s="1848"/>
      <c r="U49" s="1848"/>
      <c r="V49" s="1348"/>
      <c r="W49" s="1348"/>
      <c r="X49" s="1348"/>
      <c r="Y49" s="1348"/>
      <c r="Z49" s="1348"/>
      <c r="AA49" s="1348"/>
      <c r="AB49" s="1348"/>
      <c r="AC49" s="1848"/>
      <c r="AD49" s="1848"/>
      <c r="AE49" s="1848"/>
      <c r="AF49" s="1848"/>
      <c r="AG49" s="1848"/>
      <c r="AH49" s="1848"/>
      <c r="AI49" s="1848"/>
      <c r="AJ49" s="1848"/>
      <c r="AK49" s="1848"/>
      <c r="AL49" s="1848"/>
      <c r="AM49" s="1848"/>
      <c r="AN49" s="1848"/>
      <c r="AO49" s="1848"/>
      <c r="AP49" s="1848"/>
      <c r="AQ49" s="1848"/>
      <c r="AR49" s="1848"/>
      <c r="AS49" s="1848"/>
      <c r="AT49" s="1848"/>
      <c r="AU49" s="1848"/>
      <c r="AV49" s="1848"/>
      <c r="AW49" s="1848"/>
    </row>
  </sheetData>
  <customSheetViews>
    <customSheetView guid="{8EE6466D-211E-4E05-9F84-CC0A1C6F79F4}" scale="64" showGridLines="0" hiddenColumns="1" topLeftCell="A7">
      <selection activeCell="G22" sqref="G22"/>
      <pageMargins left="0.2" right="0.2" top="0.75" bottom="0.75" header="0.3" footer="0.3"/>
      <printOptions horizontalCentered="1"/>
      <pageSetup scale="50" orientation="landscape" r:id="rId1"/>
      <headerFooter scaleWithDoc="0">
        <oddFooter>&amp;C&amp;8 11</oddFooter>
      </headerFooter>
    </customSheetView>
  </customSheetViews>
  <mergeCells count="3">
    <mergeCell ref="A5:E5"/>
    <mergeCell ref="C11:I11"/>
    <mergeCell ref="N11:T11"/>
  </mergeCells>
  <printOptions horizontalCentered="1"/>
  <pageMargins left="0.2" right="0.2" top="0.84" bottom="0.25" header="0.3" footer="0.3"/>
  <pageSetup scale="50" firstPageNumber="11" orientation="landscape" useFirstPageNumber="1" r:id="rId2"/>
  <headerFooter scaleWithDoc="0" alignWithMargins="0">
    <oddFooter>&amp;C&amp;8&amp;P</oddFooter>
  </headerFooter>
  <ignoredErrors>
    <ignoredError sqref="AC6:XFD6 A6:B6 M6 P6:U6 E6:I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47"/>
  <sheetViews>
    <sheetView zoomScale="80" zoomScaleNormal="80" workbookViewId="0"/>
  </sheetViews>
  <sheetFormatPr defaultColWidth="8.90625" defaultRowHeight="15"/>
  <cols>
    <col min="1" max="1" width="47.90625" style="1848" customWidth="1"/>
    <col min="2" max="2" width="2" style="1137" customWidth="1"/>
    <col min="3" max="3" width="15.81640625" style="789" customWidth="1"/>
    <col min="4" max="4" width="4.81640625" style="1852" customWidth="1"/>
    <col min="5" max="5" width="15.81640625" style="789" customWidth="1"/>
    <col min="6" max="6" width="4.81640625" style="1852" customWidth="1"/>
    <col min="7" max="7" width="15.81640625" style="1852" customWidth="1"/>
    <col min="8" max="8" width="4.81640625" style="1852" customWidth="1"/>
    <col min="9" max="9" width="15.81640625" style="1852" customWidth="1"/>
    <col min="10" max="10" width="2" style="1137" customWidth="1"/>
    <col min="11" max="11" width="11.90625" style="1137" customWidth="1"/>
    <col min="12" max="12" width="11.453125" style="1137" customWidth="1"/>
    <col min="13" max="13" width="1.90625" style="1137" customWidth="1"/>
    <col min="14" max="14" width="11.6328125" style="1137" customWidth="1"/>
    <col min="15" max="15" width="2.08984375" style="1137" customWidth="1"/>
    <col min="16" max="16" width="11.453125" style="1137" customWidth="1"/>
    <col min="17" max="17" width="0.54296875" style="1137" customWidth="1"/>
    <col min="18" max="18" width="2.36328125" style="1137" customWidth="1"/>
    <col min="19" max="19" width="10.54296875" style="1137" customWidth="1"/>
    <col min="20" max="20" width="11.08984375" style="1137" customWidth="1"/>
    <col min="21" max="21" width="2.1796875" style="1137" customWidth="1"/>
    <col min="22" max="22" width="11.08984375" style="1137" customWidth="1"/>
    <col min="23" max="23" width="2.08984375" style="1137" customWidth="1"/>
    <col min="24" max="24" width="12.453125" style="1137" customWidth="1"/>
    <col min="25" max="29" width="8.90625" style="1137"/>
    <col min="30" max="30" width="8.90625" style="1852"/>
    <col min="31" max="16384" width="8.90625" style="1848"/>
  </cols>
  <sheetData>
    <row r="1" spans="1:24">
      <c r="A1" s="1854" t="s">
        <v>1103</v>
      </c>
      <c r="B1" s="388"/>
      <c r="C1" s="783"/>
      <c r="D1" s="389"/>
      <c r="E1" s="783"/>
      <c r="F1" s="389"/>
      <c r="G1" s="389"/>
      <c r="H1" s="389"/>
      <c r="I1" s="389"/>
      <c r="J1" s="389"/>
      <c r="K1" s="388"/>
      <c r="L1" s="388"/>
      <c r="M1" s="388"/>
      <c r="N1" s="388"/>
      <c r="O1" s="388"/>
      <c r="P1" s="388"/>
      <c r="Q1" s="388"/>
      <c r="R1" s="388"/>
      <c r="S1" s="388"/>
      <c r="T1" s="388"/>
      <c r="U1" s="388"/>
      <c r="V1" s="388"/>
      <c r="W1" s="388"/>
      <c r="X1" s="388"/>
    </row>
    <row r="2" spans="1:24" ht="16.95" customHeight="1">
      <c r="A2" s="390"/>
      <c r="B2" s="391"/>
      <c r="C2" s="783"/>
      <c r="D2" s="389"/>
      <c r="E2" s="783"/>
      <c r="F2" s="389"/>
      <c r="G2" s="392"/>
      <c r="H2" s="389"/>
      <c r="I2" s="389"/>
      <c r="J2" s="389"/>
      <c r="K2" s="388"/>
      <c r="L2" s="388"/>
      <c r="M2" s="388"/>
      <c r="N2" s="388"/>
      <c r="O2" s="388"/>
      <c r="P2" s="388"/>
      <c r="Q2" s="388"/>
      <c r="R2" s="388"/>
      <c r="S2" s="388"/>
      <c r="T2" s="388"/>
      <c r="U2" s="388"/>
      <c r="V2" s="388"/>
      <c r="W2" s="388"/>
      <c r="X2" s="388"/>
    </row>
    <row r="3" spans="1:24" ht="21" customHeight="1">
      <c r="A3" s="393" t="s">
        <v>0</v>
      </c>
      <c r="B3" s="350"/>
      <c r="C3" s="786"/>
      <c r="D3" s="344"/>
      <c r="E3" s="786"/>
      <c r="F3" s="344"/>
      <c r="G3" s="344"/>
      <c r="H3" s="344"/>
      <c r="I3" s="1683"/>
      <c r="J3" s="344"/>
      <c r="K3" s="1683" t="s">
        <v>86</v>
      </c>
      <c r="L3" s="358"/>
      <c r="M3" s="358"/>
      <c r="N3" s="358"/>
      <c r="O3" s="358"/>
      <c r="P3" s="358"/>
      <c r="Q3" s="358"/>
      <c r="R3" s="358"/>
      <c r="S3" s="358"/>
      <c r="T3" s="358"/>
      <c r="U3" s="358"/>
      <c r="V3" s="358"/>
      <c r="W3" s="358"/>
      <c r="X3" s="394"/>
    </row>
    <row r="4" spans="1:24" ht="21.75" customHeight="1">
      <c r="A4" s="393" t="s">
        <v>85</v>
      </c>
      <c r="B4" s="350"/>
      <c r="C4" s="786"/>
      <c r="D4" s="344"/>
      <c r="E4" s="786"/>
      <c r="F4" s="344"/>
      <c r="G4" s="344"/>
      <c r="H4" s="344"/>
      <c r="I4" s="1684"/>
      <c r="J4" s="344"/>
      <c r="K4" s="1684" t="s">
        <v>107</v>
      </c>
      <c r="L4" s="358"/>
      <c r="M4" s="358"/>
      <c r="N4" s="358"/>
      <c r="O4" s="358"/>
      <c r="P4" s="358"/>
      <c r="Q4" s="358"/>
      <c r="R4" s="358"/>
      <c r="S4" s="358"/>
      <c r="T4" s="358"/>
      <c r="U4" s="358"/>
      <c r="V4" s="358"/>
      <c r="W4" s="358"/>
      <c r="X4" s="358"/>
    </row>
    <row r="5" spans="1:24" ht="21.75" customHeight="1">
      <c r="A5" s="3396" t="s">
        <v>1457</v>
      </c>
      <c r="B5" s="3397"/>
      <c r="C5" s="786"/>
      <c r="D5" s="344"/>
      <c r="E5" s="786"/>
      <c r="F5" s="344"/>
      <c r="G5" s="344"/>
      <c r="H5" s="344"/>
      <c r="I5" s="344"/>
      <c r="J5" s="344"/>
      <c r="K5" s="358"/>
      <c r="L5" s="358"/>
      <c r="M5" s="358"/>
      <c r="N5" s="358"/>
      <c r="O5" s="358"/>
      <c r="P5" s="358"/>
      <c r="Q5" s="358"/>
      <c r="R5" s="358"/>
      <c r="S5" s="358"/>
      <c r="T5" s="358"/>
      <c r="U5" s="358"/>
      <c r="V5" s="358"/>
      <c r="W5" s="358"/>
      <c r="X5" s="358"/>
    </row>
    <row r="6" spans="1:24" ht="17.25" customHeight="1">
      <c r="A6" s="2789" t="str">
        <f>'Exh D-Governmental  '!A6</f>
        <v>FOR ONE MONTH ENDED APRIL 30, 2016</v>
      </c>
      <c r="B6" s="349"/>
      <c r="C6" s="786"/>
      <c r="D6" s="344"/>
      <c r="E6" s="786"/>
      <c r="F6" s="344"/>
      <c r="G6" s="344"/>
      <c r="H6" s="344"/>
      <c r="I6" s="344"/>
      <c r="J6" s="344"/>
      <c r="K6" s="358"/>
      <c r="L6" s="358"/>
      <c r="M6" s="358"/>
      <c r="N6" s="358"/>
      <c r="O6" s="358"/>
      <c r="P6" s="358"/>
      <c r="Q6" s="358"/>
      <c r="R6" s="358"/>
      <c r="S6" s="358"/>
      <c r="T6" s="358"/>
      <c r="U6" s="358"/>
      <c r="V6" s="358"/>
      <c r="W6" s="358"/>
      <c r="X6" s="358"/>
    </row>
    <row r="7" spans="1:24" ht="17.399999999999999">
      <c r="A7" s="393" t="s">
        <v>992</v>
      </c>
      <c r="B7" s="350"/>
      <c r="C7" s="786"/>
      <c r="D7" s="344"/>
      <c r="E7" s="786"/>
      <c r="F7" s="344"/>
      <c r="G7" s="344"/>
      <c r="H7" s="344"/>
      <c r="I7" s="344"/>
      <c r="J7" s="344"/>
      <c r="K7" s="358"/>
      <c r="L7" s="358"/>
      <c r="M7" s="358"/>
      <c r="N7" s="358"/>
      <c r="O7" s="358"/>
      <c r="P7" s="358"/>
      <c r="Q7" s="358"/>
      <c r="R7" s="358"/>
      <c r="S7" s="358"/>
      <c r="T7" s="358"/>
      <c r="U7" s="358"/>
      <c r="V7" s="358"/>
      <c r="W7" s="358"/>
      <c r="X7" s="358"/>
    </row>
    <row r="8" spans="1:24" ht="15" customHeight="1">
      <c r="A8" s="395"/>
      <c r="B8" s="349"/>
      <c r="C8" s="786"/>
      <c r="D8" s="344"/>
      <c r="E8" s="786"/>
      <c r="F8" s="344"/>
      <c r="G8" s="344"/>
      <c r="H8" s="344"/>
      <c r="I8" s="344"/>
      <c r="J8" s="344"/>
      <c r="K8" s="358"/>
      <c r="L8" s="358"/>
      <c r="M8" s="358"/>
      <c r="N8" s="358"/>
      <c r="O8" s="358"/>
      <c r="P8" s="358"/>
      <c r="Q8" s="358"/>
      <c r="R8" s="358"/>
      <c r="S8" s="358"/>
      <c r="T8" s="358"/>
      <c r="U8" s="358"/>
      <c r="V8" s="358"/>
      <c r="W8" s="358"/>
      <c r="X8" s="358"/>
    </row>
    <row r="9" spans="1:24">
      <c r="A9" s="352"/>
      <c r="B9" s="358"/>
      <c r="C9" s="786"/>
      <c r="D9" s="344"/>
      <c r="E9" s="786"/>
      <c r="F9" s="344"/>
      <c r="G9" s="344"/>
      <c r="H9" s="344"/>
      <c r="I9" s="344"/>
      <c r="J9" s="344"/>
      <c r="K9" s="358"/>
      <c r="L9" s="358"/>
      <c r="M9" s="358"/>
      <c r="N9" s="358"/>
      <c r="O9" s="358"/>
      <c r="P9" s="358"/>
      <c r="Q9" s="358"/>
      <c r="R9" s="358"/>
      <c r="S9" s="358"/>
      <c r="T9" s="358"/>
      <c r="U9" s="358"/>
      <c r="V9" s="358"/>
      <c r="W9" s="358"/>
      <c r="X9" s="358"/>
    </row>
    <row r="10" spans="1:24">
      <c r="A10" s="352"/>
      <c r="B10" s="358"/>
      <c r="C10" s="785"/>
      <c r="D10" s="350"/>
      <c r="E10" s="785"/>
      <c r="F10" s="350"/>
      <c r="G10" s="350"/>
      <c r="H10" s="350"/>
      <c r="I10" s="350"/>
      <c r="J10" s="344"/>
      <c r="K10" s="358"/>
      <c r="L10" s="358"/>
      <c r="M10" s="358"/>
      <c r="N10" s="358"/>
      <c r="O10" s="358"/>
      <c r="P10" s="358"/>
      <c r="Q10" s="358"/>
      <c r="R10" s="358"/>
      <c r="S10" s="358"/>
      <c r="T10" s="358"/>
      <c r="U10" s="358"/>
      <c r="V10" s="358"/>
      <c r="W10" s="358"/>
      <c r="X10" s="358"/>
    </row>
    <row r="11" spans="1:24" ht="15.6">
      <c r="A11" s="1343"/>
      <c r="C11" s="3399" t="s">
        <v>1297</v>
      </c>
      <c r="D11" s="3399"/>
      <c r="E11" s="3399"/>
      <c r="F11" s="3399"/>
      <c r="G11" s="3399"/>
      <c r="H11" s="3399"/>
      <c r="I11" s="3399"/>
      <c r="J11" s="2320"/>
      <c r="K11" s="2321"/>
      <c r="L11" s="396"/>
      <c r="M11" s="396"/>
      <c r="N11" s="396"/>
      <c r="O11" s="396"/>
      <c r="P11" s="396"/>
      <c r="Q11" s="396"/>
      <c r="R11" s="353"/>
      <c r="S11" s="396"/>
      <c r="T11" s="397"/>
      <c r="U11" s="396"/>
      <c r="V11" s="396"/>
      <c r="W11" s="396"/>
      <c r="X11" s="396"/>
    </row>
    <row r="12" spans="1:24" ht="15.6">
      <c r="A12" s="1343"/>
      <c r="C12" s="790"/>
      <c r="D12" s="398"/>
      <c r="E12" s="790"/>
      <c r="F12" s="398"/>
      <c r="G12" s="399"/>
      <c r="H12" s="398"/>
      <c r="I12" s="398" t="s">
        <v>87</v>
      </c>
      <c r="J12" s="353"/>
      <c r="K12" s="398" t="s">
        <v>87</v>
      </c>
      <c r="L12" s="396"/>
      <c r="M12" s="396"/>
      <c r="N12" s="396"/>
      <c r="O12" s="396"/>
      <c r="P12" s="396"/>
      <c r="Q12" s="396"/>
      <c r="R12" s="353"/>
      <c r="S12" s="396"/>
      <c r="T12" s="397"/>
      <c r="U12" s="396"/>
      <c r="V12" s="396"/>
      <c r="W12" s="396"/>
      <c r="X12" s="396"/>
    </row>
    <row r="13" spans="1:24" ht="15.6">
      <c r="A13" s="1343"/>
      <c r="B13" s="353"/>
      <c r="C13" s="788"/>
      <c r="D13" s="400"/>
      <c r="E13" s="788"/>
      <c r="F13" s="400"/>
      <c r="G13" s="400"/>
      <c r="H13" s="400"/>
      <c r="I13" s="401" t="s">
        <v>999</v>
      </c>
      <c r="J13" s="353"/>
      <c r="K13" s="401" t="s">
        <v>999</v>
      </c>
      <c r="L13" s="353"/>
      <c r="M13" s="353"/>
      <c r="N13" s="353"/>
      <c r="O13" s="353"/>
      <c r="P13" s="402"/>
      <c r="Q13" s="403"/>
      <c r="R13" s="353"/>
      <c r="S13" s="353"/>
      <c r="T13" s="353"/>
      <c r="U13" s="353"/>
      <c r="V13" s="353"/>
      <c r="W13" s="353"/>
      <c r="X13" s="402"/>
    </row>
    <row r="14" spans="1:24" ht="15.6">
      <c r="A14" s="1343"/>
      <c r="B14" s="404"/>
      <c r="C14" s="356" t="s">
        <v>1235</v>
      </c>
      <c r="D14" s="354"/>
      <c r="E14" s="355" t="s">
        <v>1236</v>
      </c>
      <c r="F14" s="354"/>
      <c r="G14" s="354"/>
      <c r="H14" s="354"/>
      <c r="I14" s="355" t="s">
        <v>88</v>
      </c>
      <c r="J14" s="353"/>
      <c r="K14" s="355" t="s">
        <v>88</v>
      </c>
      <c r="L14" s="403"/>
      <c r="M14" s="353"/>
      <c r="N14" s="353"/>
      <c r="O14" s="353"/>
      <c r="P14" s="402"/>
      <c r="Q14" s="403"/>
      <c r="R14" s="353"/>
      <c r="S14" s="402"/>
      <c r="T14" s="403"/>
      <c r="U14" s="353"/>
      <c r="V14" s="353"/>
      <c r="W14" s="353"/>
      <c r="X14" s="402"/>
    </row>
    <row r="15" spans="1:24" ht="15.6">
      <c r="A15" s="1343"/>
      <c r="B15" s="404"/>
      <c r="C15" s="355" t="s">
        <v>1279</v>
      </c>
      <c r="D15" s="354"/>
      <c r="E15" s="355" t="s">
        <v>1279</v>
      </c>
      <c r="F15" s="354"/>
      <c r="G15" s="354"/>
      <c r="H15" s="354"/>
      <c r="I15" s="355" t="s">
        <v>1235</v>
      </c>
      <c r="J15" s="353"/>
      <c r="K15" s="355" t="s">
        <v>1236</v>
      </c>
      <c r="L15" s="403"/>
      <c r="M15" s="353"/>
      <c r="N15" s="353"/>
      <c r="O15" s="353"/>
      <c r="P15" s="402"/>
      <c r="Q15" s="403"/>
      <c r="R15" s="353"/>
      <c r="S15" s="402"/>
      <c r="T15" s="403"/>
      <c r="U15" s="353"/>
      <c r="V15" s="353"/>
      <c r="W15" s="353"/>
      <c r="X15" s="402"/>
    </row>
    <row r="16" spans="1:24" ht="15.6">
      <c r="A16" s="1343"/>
      <c r="B16" s="403"/>
      <c r="C16" s="355" t="s">
        <v>1280</v>
      </c>
      <c r="D16" s="354"/>
      <c r="E16" s="355" t="s">
        <v>1458</v>
      </c>
      <c r="F16" s="354"/>
      <c r="G16" s="356" t="s">
        <v>87</v>
      </c>
      <c r="H16" s="354"/>
      <c r="I16" s="355" t="s">
        <v>89</v>
      </c>
      <c r="J16" s="353"/>
      <c r="K16" s="355" t="s">
        <v>89</v>
      </c>
      <c r="L16" s="403"/>
      <c r="M16" s="353"/>
      <c r="N16" s="402"/>
      <c r="O16" s="353"/>
      <c r="P16" s="402"/>
      <c r="Q16" s="403"/>
      <c r="R16" s="353"/>
      <c r="S16" s="403"/>
      <c r="T16" s="403"/>
      <c r="U16" s="353"/>
      <c r="V16" s="402"/>
      <c r="W16" s="353"/>
      <c r="X16" s="402"/>
    </row>
    <row r="17" spans="1:24">
      <c r="A17" s="357"/>
      <c r="B17" s="358"/>
      <c r="C17" s="359"/>
      <c r="D17" s="344"/>
      <c r="E17" s="359"/>
      <c r="F17" s="344"/>
      <c r="G17" s="359"/>
      <c r="H17" s="344"/>
      <c r="I17" s="359"/>
      <c r="J17" s="358"/>
      <c r="K17" s="359"/>
      <c r="L17" s="358"/>
      <c r="M17" s="358"/>
      <c r="N17" s="358"/>
      <c r="O17" s="358"/>
      <c r="P17" s="358"/>
      <c r="Q17" s="358"/>
      <c r="R17" s="358"/>
      <c r="S17" s="358"/>
      <c r="T17" s="358"/>
      <c r="U17" s="358"/>
      <c r="V17" s="358"/>
      <c r="W17" s="358"/>
      <c r="X17" s="358"/>
    </row>
    <row r="18" spans="1:24" ht="15.6">
      <c r="A18" s="221" t="s">
        <v>15</v>
      </c>
      <c r="B18" s="1840"/>
      <c r="C18" s="1237"/>
      <c r="D18" s="1237"/>
      <c r="E18" s="1237"/>
      <c r="F18" s="1237"/>
      <c r="G18" s="1237"/>
      <c r="H18" s="1237"/>
      <c r="I18" s="1237"/>
      <c r="J18" s="1840"/>
      <c r="K18" s="1237"/>
      <c r="L18" s="1840"/>
      <c r="M18" s="1840"/>
      <c r="N18" s="1840"/>
      <c r="O18" s="1840"/>
      <c r="P18" s="1840"/>
      <c r="Q18" s="1840"/>
      <c r="R18" s="1840"/>
      <c r="S18" s="1840"/>
      <c r="T18" s="1840"/>
      <c r="U18" s="1840"/>
      <c r="V18" s="1840"/>
      <c r="W18" s="1840"/>
      <c r="X18" s="1840"/>
    </row>
    <row r="19" spans="1:24">
      <c r="A19" s="1674" t="s">
        <v>90</v>
      </c>
      <c r="B19" s="1841"/>
      <c r="C19" s="1237"/>
      <c r="D19" s="1237"/>
      <c r="E19" s="1237"/>
      <c r="F19" s="1237"/>
      <c r="G19" s="1237"/>
      <c r="H19" s="1841"/>
      <c r="I19" s="1237"/>
      <c r="J19" s="1840"/>
      <c r="K19" s="1237"/>
      <c r="L19" s="1840"/>
      <c r="M19" s="1840"/>
      <c r="N19" s="1840"/>
      <c r="O19" s="1840"/>
      <c r="P19" s="1840"/>
      <c r="Q19" s="1840"/>
      <c r="R19" s="1840"/>
      <c r="S19" s="1840"/>
      <c r="T19" s="1840"/>
      <c r="U19" s="1840"/>
      <c r="V19" s="1840"/>
      <c r="W19" s="1840"/>
      <c r="X19" s="1840"/>
    </row>
    <row r="20" spans="1:24">
      <c r="A20" s="1674" t="s">
        <v>91</v>
      </c>
      <c r="B20" s="1841" t="s">
        <v>16</v>
      </c>
      <c r="C20" s="1240">
        <v>1589</v>
      </c>
      <c r="D20" s="1240"/>
      <c r="E20" s="1785">
        <v>0</v>
      </c>
      <c r="F20" s="1240"/>
      <c r="G20" s="1983">
        <f>+'Exhibit H'!AA16</f>
        <v>1595.9</v>
      </c>
      <c r="H20" s="1240"/>
      <c r="I20" s="1238">
        <f t="shared" ref="I20:I25" si="0">ROUND(SUM(G20)-SUM(C20),1)</f>
        <v>6.9</v>
      </c>
      <c r="J20" s="1840"/>
      <c r="K20" s="1238">
        <v>0</v>
      </c>
      <c r="L20" s="1926"/>
      <c r="M20" s="1840"/>
      <c r="N20" s="1840"/>
      <c r="O20" s="1840"/>
      <c r="P20" s="1840"/>
      <c r="Q20" s="1840"/>
      <c r="R20" s="1840"/>
      <c r="S20" s="1840"/>
      <c r="T20" s="1840"/>
      <c r="U20" s="1840"/>
      <c r="V20" s="1840"/>
      <c r="W20" s="1840"/>
      <c r="X20" s="1840"/>
    </row>
    <row r="21" spans="1:24">
      <c r="A21" s="1674" t="s">
        <v>92</v>
      </c>
      <c r="B21" s="1840" t="s">
        <v>16</v>
      </c>
      <c r="C21" s="1859">
        <v>492</v>
      </c>
      <c r="D21" s="1159"/>
      <c r="E21" s="1859">
        <v>0</v>
      </c>
      <c r="F21" s="1159"/>
      <c r="G21" s="1787">
        <f>+'Exhibit H'!AA20</f>
        <v>498.2</v>
      </c>
      <c r="H21" s="1159"/>
      <c r="I21" s="1159">
        <f t="shared" si="0"/>
        <v>6.2</v>
      </c>
      <c r="J21" s="1860"/>
      <c r="K21" s="2993">
        <v>0</v>
      </c>
      <c r="L21" s="1926"/>
      <c r="M21" s="1840"/>
      <c r="N21" s="1840"/>
      <c r="O21" s="1840"/>
      <c r="P21" s="1840"/>
      <c r="Q21" s="1840"/>
      <c r="R21" s="1840"/>
      <c r="S21" s="1840"/>
      <c r="T21" s="1840"/>
      <c r="U21" s="1840"/>
      <c r="V21" s="1840"/>
      <c r="W21" s="1840"/>
      <c r="X21" s="1840"/>
    </row>
    <row r="22" spans="1:24">
      <c r="A22" s="1674" t="s">
        <v>94</v>
      </c>
      <c r="B22" s="1840" t="s">
        <v>16</v>
      </c>
      <c r="C22" s="1863">
        <v>89</v>
      </c>
      <c r="D22" s="1159"/>
      <c r="E22" s="1863">
        <v>0</v>
      </c>
      <c r="F22" s="1159"/>
      <c r="G22" s="1787">
        <f>+'Exhibit H'!AA23</f>
        <v>90.4</v>
      </c>
      <c r="H22" s="1159"/>
      <c r="I22" s="1159">
        <f t="shared" si="0"/>
        <v>1.4</v>
      </c>
      <c r="J22" s="1860"/>
      <c r="K22" s="2993">
        <v>0</v>
      </c>
      <c r="L22" s="1926"/>
      <c r="M22" s="1840"/>
      <c r="N22" s="1840"/>
      <c r="O22" s="1840"/>
      <c r="P22" s="1840"/>
      <c r="Q22" s="1840"/>
      <c r="R22" s="1840"/>
      <c r="S22" s="1840"/>
      <c r="T22" s="1840"/>
      <c r="U22" s="1840"/>
      <c r="V22" s="1840"/>
      <c r="W22" s="1840"/>
      <c r="X22" s="1840"/>
    </row>
    <row r="23" spans="1:24" ht="15" customHeight="1">
      <c r="A23" s="1674" t="s">
        <v>21</v>
      </c>
      <c r="B23" s="1840" t="s">
        <v>16</v>
      </c>
      <c r="C23" s="1863">
        <v>37</v>
      </c>
      <c r="D23" s="1159"/>
      <c r="E23" s="1863">
        <v>0</v>
      </c>
      <c r="F23" s="1159"/>
      <c r="G23" s="1787">
        <f>+'Exhibit H'!AA43</f>
        <v>10.7</v>
      </c>
      <c r="H23" s="1159"/>
      <c r="I23" s="1159">
        <f t="shared" si="0"/>
        <v>-26.3</v>
      </c>
      <c r="J23" s="1860"/>
      <c r="K23" s="2993">
        <v>0</v>
      </c>
      <c r="L23" s="1926"/>
      <c r="M23" s="1840"/>
      <c r="N23" s="1840"/>
      <c r="O23" s="1840"/>
      <c r="P23" s="1840"/>
      <c r="Q23" s="1840"/>
      <c r="R23" s="1840"/>
      <c r="S23" s="1840"/>
      <c r="T23" s="1840"/>
      <c r="U23" s="1840"/>
      <c r="V23" s="1840"/>
      <c r="W23" s="1840"/>
      <c r="X23" s="1840"/>
    </row>
    <row r="24" spans="1:24" ht="15" customHeight="1">
      <c r="A24" s="1674" t="s">
        <v>22</v>
      </c>
      <c r="B24" s="1840" t="s">
        <v>16</v>
      </c>
      <c r="C24" s="1859">
        <v>0</v>
      </c>
      <c r="D24" s="1159"/>
      <c r="E24" s="1859">
        <v>0</v>
      </c>
      <c r="F24" s="1159"/>
      <c r="G24" s="1787">
        <f>+'Exhibit H'!AA45</f>
        <v>0</v>
      </c>
      <c r="H24" s="1159"/>
      <c r="I24" s="1159">
        <f t="shared" si="0"/>
        <v>0</v>
      </c>
      <c r="J24" s="1860"/>
      <c r="K24" s="2993">
        <v>0</v>
      </c>
      <c r="L24" s="1926"/>
      <c r="M24" s="1840"/>
      <c r="N24" s="1865"/>
      <c r="O24" s="1840"/>
      <c r="P24" s="1865"/>
      <c r="Q24" s="1866"/>
      <c r="R24" s="1840"/>
      <c r="S24" s="1840"/>
      <c r="T24" s="1840"/>
      <c r="U24" s="1840"/>
      <c r="V24" s="1840"/>
      <c r="W24" s="1840"/>
      <c r="X24" s="1840"/>
    </row>
    <row r="25" spans="1:24">
      <c r="A25" s="1674" t="s">
        <v>49</v>
      </c>
      <c r="B25" s="1866" t="s">
        <v>16</v>
      </c>
      <c r="C25" s="1867">
        <v>356</v>
      </c>
      <c r="D25" s="1159"/>
      <c r="E25" s="1867">
        <v>0</v>
      </c>
      <c r="F25" s="1159"/>
      <c r="G25" s="2811">
        <f>+'Exhibit H'!AA62</f>
        <v>357.9</v>
      </c>
      <c r="H25" s="1159"/>
      <c r="I25" s="1159">
        <f t="shared" si="0"/>
        <v>1.9</v>
      </c>
      <c r="J25" s="1860"/>
      <c r="K25" s="2993">
        <v>0</v>
      </c>
      <c r="L25" s="1926"/>
      <c r="M25" s="1840"/>
      <c r="N25" s="1865"/>
      <c r="O25" s="1840"/>
      <c r="P25" s="1865"/>
      <c r="Q25" s="1866"/>
      <c r="R25" s="1840"/>
      <c r="S25" s="1840"/>
      <c r="T25" s="1840"/>
      <c r="U25" s="1840"/>
      <c r="V25" s="1840"/>
      <c r="W25" s="1840"/>
      <c r="X25" s="1840"/>
    </row>
    <row r="26" spans="1:24" ht="18" customHeight="1">
      <c r="A26" s="1918" t="s">
        <v>113</v>
      </c>
      <c r="B26" s="353" t="s">
        <v>16</v>
      </c>
      <c r="C26" s="419">
        <f>ROUND(SUM(C20:C25),1)</f>
        <v>2563</v>
      </c>
      <c r="D26" s="1838"/>
      <c r="E26" s="419">
        <f>ROUND(SUM(E20:E25),1)</f>
        <v>0</v>
      </c>
      <c r="F26" s="1838"/>
      <c r="G26" s="2812">
        <f>ROUND(SUM(G20:G25),1)</f>
        <v>2553.1</v>
      </c>
      <c r="H26" s="1838"/>
      <c r="I26" s="419">
        <f>ROUND(SUM(I20:I25),1)</f>
        <v>-9.9</v>
      </c>
      <c r="J26" s="273"/>
      <c r="K26" s="419">
        <f>ROUND(SUM(K20:K25),1)</f>
        <v>0</v>
      </c>
      <c r="L26" s="1926"/>
      <c r="M26" s="353"/>
      <c r="N26" s="353"/>
      <c r="O26" s="353"/>
      <c r="P26" s="353"/>
      <c r="Q26" s="353"/>
      <c r="R26" s="353"/>
      <c r="S26" s="353"/>
      <c r="T26" s="353"/>
      <c r="U26" s="353"/>
      <c r="V26" s="353"/>
      <c r="W26" s="353"/>
      <c r="X26" s="353"/>
    </row>
    <row r="27" spans="1:24">
      <c r="A27" s="1343"/>
      <c r="B27" s="1840"/>
      <c r="C27" s="1341"/>
      <c r="D27" s="1159"/>
      <c r="E27" s="1341"/>
      <c r="F27" s="1159"/>
      <c r="G27" s="2016"/>
      <c r="H27" s="1159"/>
      <c r="I27" s="1341"/>
      <c r="J27" s="1860"/>
      <c r="K27" s="1341"/>
      <c r="L27" s="1926"/>
      <c r="M27" s="1840"/>
      <c r="N27" s="1840"/>
      <c r="O27" s="1840"/>
      <c r="P27" s="1840"/>
      <c r="Q27" s="1840"/>
      <c r="R27" s="1840"/>
      <c r="S27" s="1840"/>
      <c r="T27" s="1840"/>
      <c r="U27" s="1840"/>
      <c r="V27" s="1840"/>
      <c r="W27" s="1840"/>
      <c r="X27" s="1840"/>
    </row>
    <row r="28" spans="1:24" ht="15.6">
      <c r="A28" s="221" t="s">
        <v>24</v>
      </c>
      <c r="B28" s="1840"/>
      <c r="C28" s="1159"/>
      <c r="D28" s="1159"/>
      <c r="E28" s="1159"/>
      <c r="F28" s="1159"/>
      <c r="G28" s="1787"/>
      <c r="H28" s="1159"/>
      <c r="I28" s="1159"/>
      <c r="J28" s="1860"/>
      <c r="K28" s="1159"/>
      <c r="L28" s="1926"/>
      <c r="M28" s="1840"/>
      <c r="N28" s="1840"/>
      <c r="O28" s="1840"/>
      <c r="P28" s="1840"/>
      <c r="Q28" s="1840"/>
      <c r="R28" s="1840"/>
      <c r="S28" s="1840"/>
      <c r="T28" s="1840"/>
      <c r="U28" s="1840"/>
      <c r="V28" s="1840"/>
      <c r="W28" s="1840"/>
      <c r="X28" s="1840"/>
    </row>
    <row r="29" spans="1:24">
      <c r="A29" s="1674" t="s">
        <v>97</v>
      </c>
      <c r="B29" s="1862" t="s">
        <v>16</v>
      </c>
      <c r="C29" s="1313">
        <v>0</v>
      </c>
      <c r="D29" s="1159"/>
      <c r="E29" s="1313">
        <v>0</v>
      </c>
      <c r="F29" s="1159"/>
      <c r="G29" s="1336">
        <f>+'Exhibit H'!AA51</f>
        <v>0.5</v>
      </c>
      <c r="H29" s="1159"/>
      <c r="I29" s="1159">
        <f>ROUND(SUM(G29)-SUM(C29),1)</f>
        <v>0.5</v>
      </c>
      <c r="J29" s="1860"/>
      <c r="K29" s="2993">
        <v>0</v>
      </c>
      <c r="L29" s="1926"/>
      <c r="M29" s="1840"/>
      <c r="N29" s="1862"/>
      <c r="O29" s="1840"/>
      <c r="P29" s="1865"/>
      <c r="Q29" s="1840"/>
      <c r="R29" s="1840"/>
      <c r="S29" s="1865"/>
      <c r="T29" s="1865"/>
      <c r="U29" s="1840"/>
      <c r="V29" s="1865"/>
      <c r="W29" s="1840"/>
      <c r="X29" s="1865"/>
    </row>
    <row r="30" spans="1:24" ht="14.25" customHeight="1">
      <c r="A30" s="1674" t="s">
        <v>98</v>
      </c>
      <c r="B30" s="1866" t="s">
        <v>16</v>
      </c>
      <c r="C30" s="1239">
        <v>113</v>
      </c>
      <c r="D30" s="1159"/>
      <c r="E30" s="1239">
        <v>0</v>
      </c>
      <c r="F30" s="1159"/>
      <c r="G30" s="2198">
        <f>+'Exhibit H'!AA53</f>
        <v>113.3</v>
      </c>
      <c r="H30" s="1159"/>
      <c r="I30" s="1159">
        <f>ROUND(SUM(G30)-SUM(C30),1)</f>
        <v>0.3</v>
      </c>
      <c r="J30" s="1860"/>
      <c r="K30" s="2993">
        <v>0</v>
      </c>
      <c r="L30" s="1926"/>
      <c r="M30" s="1840"/>
      <c r="N30" s="1862"/>
      <c r="O30" s="1840"/>
      <c r="P30" s="1840"/>
      <c r="Q30" s="1840"/>
      <c r="R30" s="1840"/>
      <c r="S30" s="1865"/>
      <c r="T30" s="1865"/>
      <c r="U30" s="1840"/>
      <c r="V30" s="1865"/>
      <c r="W30" s="1840"/>
      <c r="X30" s="1865"/>
    </row>
    <row r="31" spans="1:24">
      <c r="A31" s="1674" t="s">
        <v>101</v>
      </c>
      <c r="B31" s="1866" t="s">
        <v>16</v>
      </c>
      <c r="C31" s="1339">
        <v>2271</v>
      </c>
      <c r="D31" s="1159"/>
      <c r="E31" s="1339">
        <v>0</v>
      </c>
      <c r="F31" s="1159"/>
      <c r="G31" s="1336">
        <f>-'Exhibit H'!AA63</f>
        <v>2274.1</v>
      </c>
      <c r="H31" s="1159"/>
      <c r="I31" s="1159">
        <f>ROUND(SUM(G31)-SUM(C31),1)</f>
        <v>3.1</v>
      </c>
      <c r="J31" s="1860"/>
      <c r="K31" s="2993">
        <v>0</v>
      </c>
      <c r="L31" s="1926"/>
      <c r="M31" s="1840"/>
      <c r="N31" s="1865"/>
      <c r="O31" s="1840"/>
      <c r="P31" s="1865"/>
      <c r="Q31" s="1866"/>
      <c r="R31" s="1840"/>
      <c r="S31" s="1840"/>
      <c r="T31" s="1840"/>
      <c r="U31" s="1840"/>
      <c r="V31" s="1840"/>
      <c r="W31" s="1840"/>
      <c r="X31" s="1840"/>
    </row>
    <row r="32" spans="1:24" ht="18" customHeight="1">
      <c r="A32" s="1918" t="s">
        <v>122</v>
      </c>
      <c r="B32" s="353" t="s">
        <v>16</v>
      </c>
      <c r="C32" s="419">
        <f>ROUND(SUM(C29:C31),1)</f>
        <v>2384</v>
      </c>
      <c r="D32" s="1838"/>
      <c r="E32" s="419">
        <f>ROUND(SUM(E29:E31),1)</f>
        <v>0</v>
      </c>
      <c r="F32" s="1838"/>
      <c r="G32" s="2812">
        <f>ROUND(SUM(G29:G31),1)</f>
        <v>2387.9</v>
      </c>
      <c r="H32" s="1838"/>
      <c r="I32" s="419">
        <f>ROUND(SUM(I29:I31),1)</f>
        <v>3.9</v>
      </c>
      <c r="J32" s="273"/>
      <c r="K32" s="419">
        <f>ROUND(SUM(K29:K31),1)</f>
        <v>0</v>
      </c>
      <c r="L32" s="1926"/>
      <c r="M32" s="353"/>
      <c r="N32" s="353"/>
      <c r="O32" s="353"/>
      <c r="P32" s="353"/>
      <c r="Q32" s="353"/>
      <c r="R32" s="353"/>
      <c r="S32" s="353"/>
      <c r="T32" s="353"/>
      <c r="U32" s="353"/>
      <c r="V32" s="353"/>
      <c r="W32" s="353"/>
      <c r="X32" s="353"/>
    </row>
    <row r="33" spans="1:24">
      <c r="A33" s="1343"/>
      <c r="B33" s="1840"/>
      <c r="C33" s="1341"/>
      <c r="D33" s="1159"/>
      <c r="E33" s="1341"/>
      <c r="F33" s="1159"/>
      <c r="G33" s="2016"/>
      <c r="H33" s="1159"/>
      <c r="I33" s="1341"/>
      <c r="J33" s="1860"/>
      <c r="K33" s="1341"/>
      <c r="L33" s="1926"/>
      <c r="M33" s="1840"/>
      <c r="N33" s="1840"/>
      <c r="O33" s="1840"/>
      <c r="P33" s="1840"/>
      <c r="Q33" s="1840"/>
      <c r="R33" s="1840"/>
      <c r="S33" s="1840"/>
      <c r="T33" s="1840"/>
      <c r="U33" s="1840"/>
      <c r="V33" s="1840"/>
      <c r="W33" s="1840"/>
      <c r="X33" s="1840"/>
    </row>
    <row r="34" spans="1:24" ht="15.6">
      <c r="A34" s="221" t="s">
        <v>123</v>
      </c>
      <c r="B34" s="1840"/>
      <c r="C34" s="1159"/>
      <c r="D34" s="1159"/>
      <c r="E34" s="1159"/>
      <c r="F34" s="1159"/>
      <c r="G34" s="1787"/>
      <c r="H34" s="1159"/>
      <c r="I34" s="1159"/>
      <c r="J34" s="1860"/>
      <c r="K34" s="1159"/>
      <c r="L34" s="1926"/>
      <c r="M34" s="1840"/>
      <c r="N34" s="1840"/>
      <c r="O34" s="1840"/>
      <c r="P34" s="1840"/>
      <c r="Q34" s="1840"/>
      <c r="R34" s="1840"/>
      <c r="S34" s="1840"/>
      <c r="T34" s="1840"/>
      <c r="U34" s="1840"/>
      <c r="V34" s="1840"/>
      <c r="W34" s="1840"/>
      <c r="X34" s="1840"/>
    </row>
    <row r="35" spans="1:24" ht="15.6">
      <c r="A35" s="221" t="s">
        <v>124</v>
      </c>
      <c r="B35" s="1840"/>
      <c r="C35" s="1159"/>
      <c r="D35" s="1159"/>
      <c r="E35" s="1159"/>
      <c r="F35" s="1159"/>
      <c r="G35" s="1787"/>
      <c r="H35" s="1159"/>
      <c r="I35" s="1159"/>
      <c r="J35" s="1860"/>
      <c r="K35" s="1159"/>
      <c r="L35" s="1926"/>
      <c r="M35" s="1840"/>
      <c r="N35" s="1840"/>
      <c r="O35" s="1840"/>
      <c r="P35" s="1840"/>
      <c r="Q35" s="1840"/>
      <c r="R35" s="1840"/>
      <c r="S35" s="1840"/>
      <c r="T35" s="1840"/>
      <c r="U35" s="1840"/>
      <c r="V35" s="1840"/>
      <c r="W35" s="1840"/>
      <c r="X35" s="1840"/>
    </row>
    <row r="36" spans="1:24" ht="15.6">
      <c r="A36" s="1918" t="s">
        <v>105</v>
      </c>
      <c r="B36" s="1914" t="s">
        <v>16</v>
      </c>
      <c r="C36" s="273">
        <f>ROUND(SUM(C26)-SUM(C32),1)</f>
        <v>179</v>
      </c>
      <c r="D36" s="284"/>
      <c r="E36" s="273">
        <f>ROUND(SUM(E26)-SUM(E32),1)</f>
        <v>0</v>
      </c>
      <c r="F36" s="284"/>
      <c r="G36" s="315">
        <f>ROUND(SUM(G26)-SUM(G32),1)</f>
        <v>165.2</v>
      </c>
      <c r="H36" s="284"/>
      <c r="I36" s="273">
        <f>ROUND(SUM(I26)-SUM(I32),1)</f>
        <v>-13.8</v>
      </c>
      <c r="J36" s="741"/>
      <c r="K36" s="273">
        <f>ROUND(SUM(K26)-SUM(K32),1)</f>
        <v>0</v>
      </c>
      <c r="L36" s="1926"/>
      <c r="M36" s="376"/>
      <c r="N36" s="353"/>
      <c r="O36" s="376"/>
      <c r="P36" s="353"/>
      <c r="Q36" s="353"/>
      <c r="R36" s="376"/>
      <c r="S36" s="353"/>
      <c r="T36" s="353"/>
      <c r="U36" s="376"/>
      <c r="V36" s="353"/>
      <c r="W36" s="376"/>
      <c r="X36" s="353"/>
    </row>
    <row r="37" spans="1:24" ht="15" customHeight="1">
      <c r="C37" s="1255"/>
      <c r="D37" s="1849"/>
      <c r="E37" s="1255"/>
      <c r="F37" s="1849"/>
      <c r="G37" s="2813"/>
      <c r="H37" s="1849"/>
      <c r="I37" s="1255"/>
      <c r="J37" s="1255"/>
      <c r="K37" s="1255"/>
      <c r="L37" s="1926"/>
    </row>
    <row r="38" spans="1:24" ht="15.6">
      <c r="A38" s="1934" t="str">
        <f>'Exh D-Governmental  '!A49</f>
        <v>Fund Balances (Deficits) at April 1</v>
      </c>
      <c r="B38" s="1137" t="s">
        <v>16</v>
      </c>
      <c r="C38" s="273">
        <v>160</v>
      </c>
      <c r="D38" s="1849"/>
      <c r="E38" s="273">
        <v>0</v>
      </c>
      <c r="F38" s="1849"/>
      <c r="G38" s="315">
        <f>'Exhibit H'!AA12</f>
        <v>159.69999999999999</v>
      </c>
      <c r="H38" s="1849"/>
      <c r="I38" s="281">
        <f>ROUND(SUM(G38-C38),1)</f>
        <v>-0.3</v>
      </c>
      <c r="J38" s="1255"/>
      <c r="K38" s="281">
        <v>0</v>
      </c>
      <c r="L38" s="1926"/>
    </row>
    <row r="39" spans="1:24" ht="18" customHeight="1" thickBot="1">
      <c r="A39" s="2640" t="str">
        <f>+'Exh D-Governmental  '!A50</f>
        <v>Fund Balances (Deficits) at April 30, 2016</v>
      </c>
      <c r="B39" s="382" t="s">
        <v>16</v>
      </c>
      <c r="C39" s="298">
        <f>ROUND(SUM(C36:C38),1)</f>
        <v>339</v>
      </c>
      <c r="D39" s="383"/>
      <c r="E39" s="298">
        <f>ROUND(SUM(E36:E38),1)</f>
        <v>0</v>
      </c>
      <c r="F39" s="383"/>
      <c r="G39" s="2814">
        <f>ROUND(SUM(G36:G38),1)</f>
        <v>324.89999999999998</v>
      </c>
      <c r="H39" s="383"/>
      <c r="I39" s="298">
        <f>ROUND(SUM(I36:I38),1)</f>
        <v>-14.1</v>
      </c>
      <c r="K39" s="298">
        <f>ROUND(SUM(K36:K38),1)</f>
        <v>0</v>
      </c>
      <c r="L39" s="1926"/>
    </row>
    <row r="40" spans="1:24" ht="15" customHeight="1" thickTop="1">
      <c r="A40" s="357"/>
      <c r="C40" s="1342"/>
      <c r="D40" s="1868"/>
      <c r="E40" s="1342"/>
      <c r="F40" s="1868"/>
      <c r="G40" s="1868"/>
      <c r="H40" s="1868"/>
      <c r="I40" s="1868"/>
      <c r="K40" s="1868"/>
    </row>
    <row r="41" spans="1:24">
      <c r="A41" s="1853" t="s">
        <v>1528</v>
      </c>
    </row>
    <row r="42" spans="1:24">
      <c r="A42" s="1183"/>
    </row>
    <row r="43" spans="1:24">
      <c r="A43" s="1869"/>
    </row>
    <row r="44" spans="1:24">
      <c r="A44" s="1869"/>
    </row>
    <row r="46" spans="1:24">
      <c r="A46" s="406"/>
    </row>
    <row r="47" spans="1:24">
      <c r="A47" s="406"/>
    </row>
  </sheetData>
  <customSheetViews>
    <customSheetView guid="{8EE6466D-211E-4E05-9F84-CC0A1C6F79F4}" scale="76" showGridLines="0" fitToPage="1">
      <selection activeCell="G23" sqref="G23"/>
      <pageMargins left="0.75" right="0.75" top="0.75" bottom="0.75" header="0.5" footer="0.25"/>
      <pageSetup scale="71" orientation="landscape" r:id="rId1"/>
      <headerFooter scaleWithDoc="0" alignWithMargins="0">
        <oddFooter>&amp;C&amp;8 12</oddFooter>
      </headerFooter>
    </customSheetView>
  </customSheetViews>
  <mergeCells count="2">
    <mergeCell ref="A5:B5"/>
    <mergeCell ref="C11:I11"/>
  </mergeCells>
  <pageMargins left="0.75" right="0.75" top="0.75" bottom="0.75" header="0.5" footer="0.25"/>
  <pageSetup scale="71" firstPageNumber="12" orientation="landscape" useFirstPageNumber="1" r:id="rId2"/>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D49"/>
  <sheetViews>
    <sheetView zoomScale="80" zoomScaleNormal="80" workbookViewId="0"/>
  </sheetViews>
  <sheetFormatPr defaultColWidth="8.90625" defaultRowHeight="15"/>
  <cols>
    <col min="1" max="1" width="54" style="1848" customWidth="1"/>
    <col min="2" max="2" width="2.08984375" style="1852" customWidth="1"/>
    <col min="3" max="3" width="18.08984375" style="789" bestFit="1" customWidth="1"/>
    <col min="4" max="4" width="3.6328125" style="1852" customWidth="1"/>
    <col min="5" max="5" width="15.453125" style="789" customWidth="1"/>
    <col min="6" max="6" width="2.6328125" style="1852" customWidth="1"/>
    <col min="7" max="7" width="14" style="1852" customWidth="1"/>
    <col min="8" max="8" width="2.6328125" style="1852" customWidth="1"/>
    <col min="9" max="9" width="15.6328125" style="1852" bestFit="1" customWidth="1"/>
    <col min="10" max="10" width="3.6328125" style="1852" bestFit="1" customWidth="1"/>
    <col min="11" max="11" width="15.453125" style="1852" customWidth="1"/>
    <col min="12" max="15" width="8.90625" style="1852"/>
    <col min="16" max="16384" width="8.90625" style="1848"/>
  </cols>
  <sheetData>
    <row r="1" spans="1:30">
      <c r="A1" s="1172" t="s">
        <v>1103</v>
      </c>
    </row>
    <row r="2" spans="1:30" ht="16.8">
      <c r="A2" s="387"/>
      <c r="B2" s="389"/>
      <c r="C2" s="783"/>
      <c r="D2" s="389"/>
      <c r="E2" s="783"/>
      <c r="F2" s="389"/>
      <c r="G2" s="389"/>
      <c r="H2" s="389"/>
      <c r="I2" s="389"/>
    </row>
    <row r="3" spans="1:30" ht="21" customHeight="1">
      <c r="A3" s="393" t="s">
        <v>0</v>
      </c>
      <c r="B3" s="350"/>
      <c r="C3" s="785"/>
      <c r="D3" s="344"/>
      <c r="E3" s="786"/>
      <c r="F3" s="344"/>
      <c r="G3" s="344"/>
      <c r="H3" s="344"/>
      <c r="I3" s="1683"/>
      <c r="K3" s="1683" t="s">
        <v>86</v>
      </c>
    </row>
    <row r="4" spans="1:30" ht="17.399999999999999">
      <c r="A4" s="393" t="s">
        <v>85</v>
      </c>
      <c r="B4" s="350"/>
      <c r="C4" s="785"/>
      <c r="D4" s="344"/>
      <c r="E4" s="786"/>
      <c r="F4" s="344"/>
      <c r="G4" s="344"/>
      <c r="H4" s="344"/>
      <c r="I4" s="1684"/>
      <c r="K4" s="1684" t="s">
        <v>107</v>
      </c>
    </row>
    <row r="5" spans="1:30" ht="17.399999999999999">
      <c r="A5" s="2713" t="s">
        <v>1457</v>
      </c>
      <c r="B5"/>
      <c r="C5"/>
      <c r="D5" s="344"/>
      <c r="E5" s="786"/>
      <c r="F5" s="344"/>
      <c r="G5" s="344"/>
      <c r="H5" s="344"/>
      <c r="I5" s="344"/>
    </row>
    <row r="6" spans="1:30" ht="18.899999999999999" customHeight="1">
      <c r="A6" s="2790" t="str">
        <f>+'Exh D-Governmental  '!A6</f>
        <v>FOR ONE MONTH ENDED APRIL 30, 2016</v>
      </c>
      <c r="B6" s="349"/>
      <c r="C6" s="785"/>
      <c r="D6" s="344"/>
      <c r="E6" s="786"/>
      <c r="F6" s="344"/>
      <c r="G6" s="344"/>
      <c r="H6" s="344"/>
      <c r="I6" s="344"/>
      <c r="J6" s="344"/>
      <c r="K6" s="358"/>
      <c r="L6" s="358"/>
      <c r="M6" s="358"/>
      <c r="N6" s="358"/>
      <c r="O6" s="358"/>
      <c r="P6" s="358"/>
      <c r="Q6" s="358"/>
      <c r="R6" s="358"/>
      <c r="S6" s="358"/>
      <c r="T6" s="358"/>
      <c r="U6" s="358"/>
      <c r="V6" s="358"/>
      <c r="W6" s="358"/>
      <c r="X6" s="358"/>
      <c r="Y6" s="1137"/>
      <c r="Z6" s="1137"/>
      <c r="AA6" s="1137"/>
      <c r="AB6" s="1137"/>
      <c r="AC6" s="1137"/>
      <c r="AD6" s="1852"/>
    </row>
    <row r="7" spans="1:30" ht="17.399999999999999">
      <c r="A7" s="393" t="s">
        <v>992</v>
      </c>
      <c r="B7" s="350"/>
      <c r="C7" s="785"/>
      <c r="D7" s="344"/>
      <c r="E7" s="786"/>
      <c r="F7" s="344"/>
      <c r="G7" s="344"/>
      <c r="H7" s="344"/>
      <c r="I7" s="344"/>
    </row>
    <row r="8" spans="1:30" ht="17.399999999999999">
      <c r="A8" s="395"/>
      <c r="B8" s="350"/>
      <c r="C8" s="1919"/>
      <c r="D8" s="358"/>
      <c r="E8" s="786"/>
      <c r="F8" s="344"/>
      <c r="G8" s="344"/>
      <c r="H8" s="344"/>
      <c r="I8" s="344"/>
    </row>
    <row r="9" spans="1:30">
      <c r="A9" s="352"/>
      <c r="B9" s="344"/>
      <c r="C9" s="2310"/>
      <c r="D9" s="358"/>
      <c r="E9" s="786"/>
      <c r="F9" s="344"/>
      <c r="G9" s="344"/>
      <c r="H9" s="344"/>
      <c r="I9" s="344"/>
    </row>
    <row r="10" spans="1:30">
      <c r="A10" s="352"/>
      <c r="B10" s="344"/>
      <c r="C10" s="1919"/>
      <c r="D10" s="349"/>
      <c r="E10" s="785"/>
      <c r="F10" s="350"/>
      <c r="G10" s="350"/>
      <c r="H10" s="350"/>
      <c r="I10" s="350"/>
      <c r="J10" s="1870"/>
    </row>
    <row r="11" spans="1:30" ht="15.6">
      <c r="A11" s="1343"/>
      <c r="B11" s="353"/>
      <c r="C11" s="2305"/>
      <c r="D11" s="2316"/>
      <c r="E11" s="2305"/>
      <c r="F11" s="2314"/>
      <c r="G11" s="2330" t="s">
        <v>1298</v>
      </c>
      <c r="H11" s="2314"/>
      <c r="I11" s="2314"/>
      <c r="J11" s="2317"/>
      <c r="K11" s="2297"/>
    </row>
    <row r="12" spans="1:30" ht="15.6">
      <c r="A12" s="1343"/>
      <c r="B12" s="353"/>
      <c r="C12" s="354"/>
      <c r="D12" s="354"/>
      <c r="E12" s="354"/>
      <c r="F12" s="354"/>
      <c r="G12" s="354"/>
      <c r="H12" s="354"/>
      <c r="I12" s="355" t="s">
        <v>87</v>
      </c>
      <c r="J12" s="355"/>
      <c r="K12" s="355" t="s">
        <v>87</v>
      </c>
    </row>
    <row r="13" spans="1:30" ht="15.6">
      <c r="A13" s="1343"/>
      <c r="B13" s="353"/>
      <c r="C13" s="354"/>
      <c r="D13" s="354"/>
      <c r="E13" s="354"/>
      <c r="F13" s="354"/>
      <c r="G13" s="354"/>
      <c r="H13" s="354"/>
      <c r="I13" s="355" t="s">
        <v>999</v>
      </c>
      <c r="J13" s="355"/>
      <c r="K13" s="355" t="s">
        <v>999</v>
      </c>
    </row>
    <row r="14" spans="1:30" ht="15.6">
      <c r="A14" s="1343"/>
      <c r="B14" s="353"/>
      <c r="C14" s="356" t="s">
        <v>1235</v>
      </c>
      <c r="D14" s="354"/>
      <c r="E14" s="355" t="s">
        <v>1236</v>
      </c>
      <c r="F14" s="354"/>
      <c r="G14" s="354"/>
      <c r="H14" s="354"/>
      <c r="I14" s="355" t="s">
        <v>88</v>
      </c>
      <c r="J14" s="355"/>
      <c r="K14" s="355" t="s">
        <v>88</v>
      </c>
    </row>
    <row r="15" spans="1:30" ht="15.75" customHeight="1">
      <c r="A15" s="1343"/>
      <c r="B15" s="353"/>
      <c r="C15" s="355" t="s">
        <v>1279</v>
      </c>
      <c r="D15" s="354"/>
      <c r="E15" s="355" t="s">
        <v>1279</v>
      </c>
      <c r="F15" s="354"/>
      <c r="G15" s="354"/>
      <c r="H15" s="354"/>
      <c r="I15" s="355" t="s">
        <v>1235</v>
      </c>
      <c r="J15" s="355"/>
      <c r="K15" s="355" t="s">
        <v>1236</v>
      </c>
    </row>
    <row r="16" spans="1:30" ht="15.6">
      <c r="A16" s="1343"/>
      <c r="B16" s="353"/>
      <c r="C16" s="355" t="s">
        <v>1280</v>
      </c>
      <c r="D16" s="354"/>
      <c r="E16" s="355" t="s">
        <v>1493</v>
      </c>
      <c r="F16" s="354"/>
      <c r="G16" s="356" t="s">
        <v>87</v>
      </c>
      <c r="H16" s="354"/>
      <c r="I16" s="355" t="s">
        <v>89</v>
      </c>
      <c r="J16" s="355"/>
      <c r="K16" s="355" t="s">
        <v>89</v>
      </c>
    </row>
    <row r="17" spans="1:30">
      <c r="A17" s="357"/>
      <c r="B17" s="358"/>
      <c r="C17" s="359"/>
      <c r="D17" s="358"/>
      <c r="E17" s="359"/>
      <c r="F17" s="344"/>
      <c r="G17" s="359"/>
      <c r="H17" s="344"/>
      <c r="I17" s="359"/>
      <c r="K17" s="359"/>
    </row>
    <row r="18" spans="1:30" ht="15.6">
      <c r="A18" s="221" t="s">
        <v>15</v>
      </c>
      <c r="B18" s="1840"/>
      <c r="C18" s="1237"/>
      <c r="D18" s="1840"/>
      <c r="E18" s="1237"/>
      <c r="F18" s="1237"/>
      <c r="G18" s="1237" t="s">
        <v>16</v>
      </c>
      <c r="H18" s="1237"/>
      <c r="I18" s="1237"/>
      <c r="K18" s="1237"/>
    </row>
    <row r="19" spans="1:30">
      <c r="A19" s="1674" t="s">
        <v>90</v>
      </c>
      <c r="B19" s="1841" t="s">
        <v>16</v>
      </c>
      <c r="C19" s="1238"/>
      <c r="D19" s="1926"/>
      <c r="E19" s="1238"/>
      <c r="F19" s="1238"/>
      <c r="G19" s="1872"/>
      <c r="H19" s="1240"/>
      <c r="I19" s="1238"/>
      <c r="J19" s="1840"/>
      <c r="K19" s="1238"/>
      <c r="L19" s="1840"/>
      <c r="M19" s="1840"/>
      <c r="N19" s="1840"/>
      <c r="O19" s="1840"/>
      <c r="P19" s="1840"/>
      <c r="Q19" s="1840"/>
      <c r="R19" s="1840"/>
      <c r="S19" s="1840"/>
      <c r="T19" s="1840"/>
      <c r="U19" s="1840"/>
      <c r="V19" s="1840"/>
      <c r="W19" s="1840"/>
      <c r="X19" s="1840"/>
      <c r="Y19" s="1137"/>
      <c r="Z19" s="1137"/>
      <c r="AA19" s="1137"/>
      <c r="AB19" s="1137"/>
      <c r="AC19" s="1137"/>
      <c r="AD19" s="1852"/>
    </row>
    <row r="20" spans="1:30">
      <c r="A20" s="1674" t="s">
        <v>92</v>
      </c>
      <c r="B20" s="1840" t="s">
        <v>16</v>
      </c>
      <c r="C20" s="1858">
        <f>+'Exh D Captl Projects State Fed'!C20+'Exh D Captl Projects State Fed'!M20</f>
        <v>48</v>
      </c>
      <c r="D20" s="1860"/>
      <c r="E20" s="1858">
        <f>+'Exh D Captl Projects State Fed'!E20</f>
        <v>0</v>
      </c>
      <c r="F20" s="1239"/>
      <c r="G20" s="1858">
        <f>+'Exh D Captl Projects State Fed'!G20</f>
        <v>43.7</v>
      </c>
      <c r="H20" s="1239"/>
      <c r="I20" s="1238">
        <f>ROUND(SUM(G20)-SUM(C20),1)</f>
        <v>-4.3</v>
      </c>
      <c r="J20" s="1840"/>
      <c r="K20" s="1238">
        <v>0</v>
      </c>
      <c r="L20" s="1840"/>
      <c r="M20" s="1840"/>
      <c r="N20" s="1840"/>
      <c r="O20" s="1840"/>
      <c r="P20" s="1840"/>
      <c r="Q20" s="1840"/>
      <c r="R20" s="1840"/>
      <c r="S20" s="1840"/>
      <c r="T20" s="1840"/>
      <c r="U20" s="1840"/>
      <c r="V20" s="1840"/>
      <c r="W20" s="1840"/>
      <c r="X20" s="1840"/>
      <c r="Y20" s="1137"/>
      <c r="Z20" s="1137"/>
      <c r="AA20" s="1137"/>
      <c r="AB20" s="1137"/>
      <c r="AC20" s="1137"/>
      <c r="AD20" s="1852"/>
    </row>
    <row r="21" spans="1:30">
      <c r="A21" s="1674" t="s">
        <v>93</v>
      </c>
      <c r="B21" s="1841" t="s">
        <v>16</v>
      </c>
      <c r="C21" s="1339">
        <f>+'Exh D Captl Projects State Fed'!C21+'Exh D Captl Projects State Fed'!M21</f>
        <v>46</v>
      </c>
      <c r="D21" s="1860"/>
      <c r="E21" s="1339">
        <f>+'Exh D Captl Projects State Fed'!E21</f>
        <v>0</v>
      </c>
      <c r="F21" s="1239"/>
      <c r="G21" s="1339">
        <f>+'Exh D Captl Projects State Fed'!G21</f>
        <v>49</v>
      </c>
      <c r="H21" s="1239"/>
      <c r="I21" s="1159">
        <f t="shared" ref="I21:I26" si="0">ROUND(SUM(G21)-SUM(C21),1)</f>
        <v>3</v>
      </c>
      <c r="J21" s="1862"/>
      <c r="K21" s="1159">
        <v>0</v>
      </c>
      <c r="L21" s="1840"/>
      <c r="M21" s="1862"/>
      <c r="N21" s="1840"/>
      <c r="O21" s="1862"/>
      <c r="P21" s="1840"/>
      <c r="Q21" s="1840"/>
      <c r="R21" s="1862"/>
      <c r="S21" s="1840"/>
      <c r="T21" s="1840"/>
      <c r="U21" s="1862"/>
      <c r="V21" s="405"/>
      <c r="W21" s="1862"/>
      <c r="X21" s="1840"/>
      <c r="Y21" s="1137"/>
      <c r="Z21" s="1137"/>
      <c r="AA21" s="1137"/>
      <c r="AB21" s="1137"/>
      <c r="AC21" s="1137"/>
      <c r="AD21" s="1852"/>
    </row>
    <row r="22" spans="1:30">
      <c r="A22" s="1674" t="s">
        <v>94</v>
      </c>
      <c r="B22" s="1840" t="s">
        <v>16</v>
      </c>
      <c r="C22" s="1339">
        <f>+'Exh D Captl Projects State Fed'!C22+'Exh D Captl Projects State Fed'!M22</f>
        <v>0</v>
      </c>
      <c r="D22" s="1860"/>
      <c r="E22" s="1339">
        <f>+'Exh D Captl Projects State Fed'!E22</f>
        <v>0</v>
      </c>
      <c r="F22" s="1239"/>
      <c r="G22" s="1339">
        <f>+'Exh D Captl Projects State Fed'!G22</f>
        <v>0</v>
      </c>
      <c r="H22" s="1239"/>
      <c r="I22" s="1159">
        <f t="shared" si="0"/>
        <v>0</v>
      </c>
      <c r="J22" s="1840"/>
      <c r="K22" s="1159">
        <f t="shared" ref="K22:K25" si="1">ROUND(SUM(G22)-SUM(E22),1)</f>
        <v>0</v>
      </c>
      <c r="L22" s="1840"/>
      <c r="M22" s="1840"/>
      <c r="N22" s="1840"/>
      <c r="O22" s="1840"/>
      <c r="P22" s="1840"/>
      <c r="Q22" s="1840"/>
      <c r="R22" s="1840"/>
      <c r="S22" s="1840"/>
      <c r="T22" s="1840"/>
      <c r="U22" s="1840"/>
      <c r="V22" s="1840"/>
      <c r="W22" s="1840"/>
      <c r="X22" s="1840"/>
      <c r="Y22" s="1137"/>
      <c r="Z22" s="1137"/>
      <c r="AA22" s="1137"/>
      <c r="AB22" s="1137"/>
      <c r="AC22" s="1137"/>
      <c r="AD22" s="1852"/>
    </row>
    <row r="23" spans="1:30">
      <c r="A23" s="1674" t="s">
        <v>21</v>
      </c>
      <c r="B23" s="1840" t="s">
        <v>16</v>
      </c>
      <c r="C23" s="1159">
        <f>+'Exh D Captl Projects State Fed'!C23+'Exh D Captl Projects State Fed'!M23</f>
        <v>85</v>
      </c>
      <c r="D23" s="1860"/>
      <c r="E23" s="1159">
        <f>+'Exh D Captl Projects State Fed'!E23+'Exh D Captl Projects State Fed'!O23</f>
        <v>0</v>
      </c>
      <c r="F23" s="1159"/>
      <c r="G23" s="1159">
        <f>+'Exh D Captl Projects State Fed'!G23+'Exh D Captl Projects State Fed'!Q23</f>
        <v>85.2</v>
      </c>
      <c r="H23" s="1159"/>
      <c r="I23" s="1159">
        <f t="shared" si="0"/>
        <v>0.2</v>
      </c>
      <c r="K23" s="1159">
        <v>0</v>
      </c>
    </row>
    <row r="24" spans="1:30">
      <c r="A24" s="1674" t="s">
        <v>22</v>
      </c>
      <c r="B24" s="1840" t="s">
        <v>16</v>
      </c>
      <c r="C24" s="1159">
        <f>+'Exh D Captl Projects State Fed'!C24+'Exh D Captl Projects State Fed'!M24</f>
        <v>126</v>
      </c>
      <c r="D24" s="1860"/>
      <c r="E24" s="1159">
        <f>+'Exh D Captl Projects State Fed'!E24+'Exh D Captl Projects State Fed'!O24</f>
        <v>0</v>
      </c>
      <c r="F24" s="1159"/>
      <c r="G24" s="1159">
        <f>+'Exh D Captl Projects State Fed'!G24+'Exh D Captl Projects State Fed'!Q24</f>
        <v>126.2</v>
      </c>
      <c r="H24" s="1159"/>
      <c r="I24" s="1159">
        <f t="shared" si="0"/>
        <v>0.2</v>
      </c>
      <c r="K24" s="1159">
        <v>0</v>
      </c>
    </row>
    <row r="25" spans="1:30">
      <c r="A25" s="1674" t="s">
        <v>100</v>
      </c>
      <c r="B25" s="1840" t="s">
        <v>16</v>
      </c>
      <c r="C25" s="1239">
        <f>+'Exh D Captl Projects State Fed'!C25+'Exh D Captl Projects State Fed'!M25</f>
        <v>0</v>
      </c>
      <c r="D25" s="2315"/>
      <c r="E25" s="1239">
        <f>+'Exh D Captl Projects State Fed'!E25+'Exh D Captl Projects State Fed'!O25</f>
        <v>0</v>
      </c>
      <c r="F25" s="1159"/>
      <c r="G25" s="1239">
        <f>+'Exh D Captl Projects State Fed'!G25+'Exh D Captl Projects State Fed'!Q25</f>
        <v>0</v>
      </c>
      <c r="H25" s="1159"/>
      <c r="I25" s="1159">
        <f t="shared" si="0"/>
        <v>0</v>
      </c>
      <c r="K25" s="1159">
        <f t="shared" si="1"/>
        <v>0</v>
      </c>
    </row>
    <row r="26" spans="1:30">
      <c r="A26" s="1674" t="s">
        <v>1494</v>
      </c>
      <c r="B26" s="1840" t="s">
        <v>16</v>
      </c>
      <c r="C26" s="1313">
        <f>+'Exh D Captl Projects State Fed'!C26+'Exh D Captl Projects State Fed'!M26</f>
        <v>161</v>
      </c>
      <c r="D26" s="1860"/>
      <c r="E26" s="1313">
        <f>+'Exh D Captl Projects State Fed'!E26+'Exh D Captl Projects State Fed'!O26</f>
        <v>0</v>
      </c>
      <c r="F26" s="1159"/>
      <c r="G26" s="1313">
        <f>+'Exh D Captl Projects State Fed'!G26+'Exh D Captl Projects State Fed'!Q26</f>
        <v>162.19999999999999</v>
      </c>
      <c r="H26" s="1159"/>
      <c r="I26" s="1159">
        <f t="shared" si="0"/>
        <v>1.2</v>
      </c>
      <c r="K26" s="1159">
        <v>0</v>
      </c>
    </row>
    <row r="27" spans="1:30" ht="18" customHeight="1">
      <c r="A27" s="2195" t="s">
        <v>113</v>
      </c>
      <c r="B27" s="353" t="s">
        <v>16</v>
      </c>
      <c r="C27" s="419">
        <f>ROUND(SUM(C20:C26),1)</f>
        <v>466</v>
      </c>
      <c r="D27" s="273"/>
      <c r="E27" s="419">
        <f>ROUND(SUM(E20:E26),1)</f>
        <v>0</v>
      </c>
      <c r="F27" s="1838"/>
      <c r="G27" s="419">
        <f>ROUND(SUM(G20:G26),1)</f>
        <v>466.3</v>
      </c>
      <c r="H27" s="1838"/>
      <c r="I27" s="419">
        <f>ROUND(SUM(I20:I26),1)</f>
        <v>0.3</v>
      </c>
      <c r="K27" s="419">
        <f>ROUND(SUM(K20:K26),1)</f>
        <v>0</v>
      </c>
    </row>
    <row r="28" spans="1:30">
      <c r="A28" s="1343"/>
      <c r="B28" s="1840" t="s">
        <v>16</v>
      </c>
      <c r="C28" s="1341"/>
      <c r="D28" s="1860"/>
      <c r="E28" s="1341"/>
      <c r="F28" s="1159"/>
      <c r="G28" s="1341"/>
      <c r="H28" s="1159"/>
      <c r="I28" s="1341" t="s">
        <v>16</v>
      </c>
      <c r="K28" s="1341" t="s">
        <v>16</v>
      </c>
    </row>
    <row r="29" spans="1:30" ht="15.6">
      <c r="A29" s="221" t="s">
        <v>24</v>
      </c>
      <c r="B29" s="1840" t="s">
        <v>16</v>
      </c>
      <c r="C29" s="1159"/>
      <c r="D29" s="1860"/>
      <c r="E29" s="1159"/>
      <c r="F29" s="1159"/>
      <c r="G29" s="1159"/>
      <c r="H29" s="1159"/>
      <c r="I29" s="1159"/>
      <c r="K29" s="1159"/>
    </row>
    <row r="30" spans="1:30">
      <c r="A30" s="1674" t="s">
        <v>96</v>
      </c>
      <c r="B30" s="1840" t="s">
        <v>16</v>
      </c>
      <c r="C30" s="1159">
        <f>+'Exh D Captl Projects State Fed'!C30+'Exh D Captl Projects State Fed'!M30</f>
        <v>93</v>
      </c>
      <c r="D30" s="1860"/>
      <c r="E30" s="1159">
        <f>+'Exh D Captl Projects State Fed'!E30+'Exh D Captl Projects State Fed'!O30</f>
        <v>0</v>
      </c>
      <c r="F30" s="1159"/>
      <c r="G30" s="1159">
        <f>+'Exh D Captl Projects State Fed'!G30+'Exh D Captl Projects State Fed'!Q30</f>
        <v>93.5</v>
      </c>
      <c r="H30" s="1159"/>
      <c r="I30" s="1159">
        <f>ROUND(SUM(G30)-SUM(C30),1)</f>
        <v>0.5</v>
      </c>
      <c r="K30" s="1159">
        <v>0</v>
      </c>
    </row>
    <row r="31" spans="1:30">
      <c r="A31" s="1674" t="s">
        <v>43</v>
      </c>
      <c r="B31" s="1840" t="s">
        <v>16</v>
      </c>
      <c r="C31" s="1159">
        <f>+'Exh D Captl Projects State Fed'!C31+'Exh D Captl Projects State Fed'!M31</f>
        <v>315</v>
      </c>
      <c r="D31" s="2315"/>
      <c r="E31" s="1159">
        <f>+'Exh D Captl Projects State Fed'!E31+'Exh D Captl Projects State Fed'!O31</f>
        <v>0</v>
      </c>
      <c r="F31" s="1159"/>
      <c r="G31" s="1159">
        <f>+'Exh D Captl Projects State Fed'!G31+'Exh D Captl Projects State Fed'!Q31</f>
        <v>313.5</v>
      </c>
      <c r="H31" s="1159"/>
      <c r="I31" s="1159">
        <f>ROUND(SUM(G31)-SUM(C31),1)</f>
        <v>-1.5</v>
      </c>
      <c r="K31" s="1159">
        <v>0</v>
      </c>
    </row>
    <row r="32" spans="1:30">
      <c r="A32" s="1674" t="s">
        <v>1495</v>
      </c>
      <c r="B32" s="1840" t="s">
        <v>16</v>
      </c>
      <c r="C32" s="1159">
        <f>+'Exh D Captl Projects State Fed'!C32+'Exh D Captl Projects State Fed'!M32</f>
        <v>26</v>
      </c>
      <c r="D32" s="1860"/>
      <c r="E32" s="1159">
        <f>+'Exh D Captl Projects State Fed'!E32+'Exh D Captl Projects State Fed'!O32</f>
        <v>0</v>
      </c>
      <c r="F32" s="1159"/>
      <c r="G32" s="1159">
        <f>+'Exh D Captl Projects State Fed'!G32+'Exh D Captl Projects State Fed'!Q32</f>
        <v>25.5</v>
      </c>
      <c r="H32" s="1159"/>
      <c r="I32" s="1159">
        <f>ROUND(SUM(G32)-SUM(C32),1)</f>
        <v>-0.5</v>
      </c>
      <c r="K32" s="1159">
        <v>0</v>
      </c>
    </row>
    <row r="33" spans="1:30" ht="18" customHeight="1">
      <c r="A33" s="2195" t="s">
        <v>122</v>
      </c>
      <c r="B33" s="353" t="s">
        <v>16</v>
      </c>
      <c r="C33" s="419">
        <f>ROUND(SUM(C30:C32),1)</f>
        <v>434</v>
      </c>
      <c r="D33" s="273"/>
      <c r="E33" s="419">
        <f>ROUND(SUM(E30:E32),1)</f>
        <v>0</v>
      </c>
      <c r="F33" s="1838"/>
      <c r="G33" s="419">
        <f>ROUND(SUM(G30:G32),1)</f>
        <v>432.5</v>
      </c>
      <c r="H33" s="1838"/>
      <c r="I33" s="419">
        <f>ROUND(SUM(I30:I32),1)</f>
        <v>-1.5</v>
      </c>
      <c r="K33" s="419">
        <f>ROUND(SUM(K30:K32),1)</f>
        <v>0</v>
      </c>
    </row>
    <row r="34" spans="1:30">
      <c r="A34" s="1343"/>
      <c r="B34" s="1840" t="s">
        <v>16</v>
      </c>
      <c r="C34" s="1341"/>
      <c r="D34" s="1860"/>
      <c r="E34" s="1341"/>
      <c r="F34" s="1159"/>
      <c r="G34" s="1341"/>
      <c r="H34" s="1159"/>
      <c r="I34" s="1341"/>
      <c r="K34" s="1341"/>
    </row>
    <row r="35" spans="1:30" ht="15.6">
      <c r="A35" s="221" t="s">
        <v>103</v>
      </c>
      <c r="B35" s="1840"/>
      <c r="C35" s="1159"/>
      <c r="D35" s="1860"/>
      <c r="E35" s="1159"/>
      <c r="F35" s="1159"/>
      <c r="G35" s="1159"/>
      <c r="H35" s="1159"/>
      <c r="I35" s="1159"/>
      <c r="K35" s="1159"/>
    </row>
    <row r="36" spans="1:30" ht="15.6">
      <c r="A36" s="221" t="s">
        <v>104</v>
      </c>
      <c r="B36" s="1840"/>
      <c r="C36" s="1159"/>
      <c r="D36" s="1860"/>
      <c r="E36" s="1159"/>
      <c r="F36" s="1159"/>
      <c r="G36" s="1159"/>
      <c r="H36" s="1159"/>
      <c r="I36" s="1159"/>
      <c r="K36" s="1159"/>
    </row>
    <row r="37" spans="1:30" ht="15.6">
      <c r="A37" s="2195" t="s">
        <v>105</v>
      </c>
      <c r="B37" s="376" t="s">
        <v>16</v>
      </c>
      <c r="C37" s="273">
        <f>ROUND(SUM(C27)-SUM(C33),1)</f>
        <v>32</v>
      </c>
      <c r="D37" s="273"/>
      <c r="E37" s="273">
        <f>ROUND(SUM(E27)-SUM(E33),1)</f>
        <v>0</v>
      </c>
      <c r="F37" s="284"/>
      <c r="G37" s="273">
        <f>ROUND(SUM(G27)-SUM(G33),1)</f>
        <v>33.799999999999997</v>
      </c>
      <c r="H37" s="284"/>
      <c r="I37" s="273">
        <f>ROUND(SUM(I27)-SUM(I33),1)</f>
        <v>1.8</v>
      </c>
      <c r="J37" s="1137"/>
      <c r="K37" s="273">
        <f>ROUND(SUM(K27)-SUM(K33),1)</f>
        <v>0</v>
      </c>
    </row>
    <row r="38" spans="1:30" ht="15.6">
      <c r="B38" s="1137"/>
      <c r="C38" s="1255"/>
      <c r="D38" s="273"/>
      <c r="E38" s="1255"/>
      <c r="F38" s="1849"/>
      <c r="G38" s="1255"/>
      <c r="H38" s="1849"/>
      <c r="I38" s="1255"/>
      <c r="K38" s="1255"/>
    </row>
    <row r="39" spans="1:30" ht="15.6">
      <c r="A39" s="2195" t="str">
        <f>+'Exh D-Governmental  '!A49</f>
        <v>Fund Balances (Deficits) at April 1</v>
      </c>
      <c r="B39" s="1851" t="s">
        <v>16</v>
      </c>
      <c r="C39" s="273">
        <f>+'Exh D Captl Projects State Fed'!C39+'Exh D Captl Projects State Fed'!M39</f>
        <v>-891</v>
      </c>
      <c r="D39" s="273"/>
      <c r="E39" s="273">
        <v>0</v>
      </c>
      <c r="F39" s="1849"/>
      <c r="G39" s="273">
        <f>'Exh D Captl Projects State Fed'!G39+'Exh D Captl Projects State Fed'!Q39</f>
        <v>-890.8</v>
      </c>
      <c r="H39" s="1849"/>
      <c r="I39" s="281">
        <f>ROUND(SUM(G39-C39),1)</f>
        <v>0.2</v>
      </c>
      <c r="J39" s="1137"/>
      <c r="K39" s="281">
        <v>0</v>
      </c>
      <c r="L39" s="1137"/>
      <c r="M39" s="1137"/>
      <c r="N39" s="1137"/>
      <c r="O39" s="1137"/>
      <c r="P39" s="1137"/>
      <c r="Q39" s="1137"/>
      <c r="R39" s="1137"/>
      <c r="S39" s="1137"/>
      <c r="T39" s="1137"/>
      <c r="U39" s="1137"/>
      <c r="V39" s="1137"/>
      <c r="W39" s="1137"/>
      <c r="X39" s="1137"/>
      <c r="Y39" s="1137"/>
      <c r="Z39" s="1137"/>
      <c r="AA39" s="1137"/>
      <c r="AB39" s="1137"/>
      <c r="AC39" s="1137"/>
      <c r="AD39" s="1852"/>
    </row>
    <row r="40" spans="1:30" ht="16.2" thickBot="1">
      <c r="A40" s="2636" t="str">
        <f>+'Exh D-Governmental  '!A50</f>
        <v>Fund Balances (Deficits) at April 30, 2016</v>
      </c>
      <c r="B40" s="382" t="s">
        <v>16</v>
      </c>
      <c r="C40" s="298">
        <f>ROUND(SUM(C37:C39),1)</f>
        <v>-859</v>
      </c>
      <c r="D40" s="423"/>
      <c r="E40" s="298">
        <f>ROUND(SUM(E37:E39),1)</f>
        <v>0</v>
      </c>
      <c r="F40" s="383"/>
      <c r="G40" s="298">
        <f>ROUND(SUM(G37:G39),1)</f>
        <v>-857</v>
      </c>
      <c r="H40" s="383"/>
      <c r="I40" s="298">
        <f>ROUND(SUM(I37:I39),1)</f>
        <v>2</v>
      </c>
      <c r="J40" s="1137"/>
      <c r="K40" s="298">
        <f>ROUND(SUM(K37:K39),1)</f>
        <v>0</v>
      </c>
      <c r="L40" s="1137"/>
      <c r="M40" s="1137"/>
      <c r="N40" s="1137"/>
      <c r="O40" s="1137"/>
      <c r="P40" s="1137"/>
      <c r="Q40" s="1137"/>
      <c r="R40" s="1137"/>
      <c r="S40" s="1137"/>
      <c r="T40" s="1137"/>
      <c r="U40" s="1137"/>
      <c r="V40" s="1137"/>
      <c r="W40" s="1137"/>
      <c r="X40" s="1137"/>
      <c r="Y40" s="1137"/>
      <c r="Z40" s="1137"/>
      <c r="AA40" s="1137"/>
      <c r="AB40" s="1137"/>
      <c r="AC40" s="1137"/>
      <c r="AD40" s="1852"/>
    </row>
    <row r="41" spans="1:30" ht="15.6" thickTop="1">
      <c r="B41" s="1137"/>
      <c r="C41" s="1137"/>
      <c r="D41" s="1137"/>
      <c r="E41" s="1137"/>
      <c r="G41" s="1878"/>
    </row>
    <row r="42" spans="1:30">
      <c r="A42" s="1853" t="s">
        <v>1526</v>
      </c>
      <c r="B42" s="1137"/>
      <c r="D42" s="1137"/>
    </row>
    <row r="43" spans="1:30">
      <c r="A43" s="2851" t="s">
        <v>1491</v>
      </c>
      <c r="B43" s="1137"/>
      <c r="D43" s="1137"/>
      <c r="G43" s="1844"/>
      <c r="H43" s="1237"/>
      <c r="I43" s="1844"/>
      <c r="J43" s="1237"/>
      <c r="K43" s="1879"/>
    </row>
    <row r="44" spans="1:30">
      <c r="A44" s="2851" t="s">
        <v>1398</v>
      </c>
      <c r="B44" s="1137"/>
      <c r="D44" s="1137"/>
    </row>
    <row r="45" spans="1:30">
      <c r="A45" s="2851"/>
      <c r="B45" s="1137"/>
      <c r="D45" s="1137"/>
    </row>
    <row r="46" spans="1:30">
      <c r="A46" s="2027"/>
      <c r="B46" s="1137"/>
      <c r="D46" s="1137"/>
    </row>
    <row r="47" spans="1:30">
      <c r="A47" s="385"/>
      <c r="B47" s="1137"/>
      <c r="D47" s="1137"/>
    </row>
    <row r="48" spans="1:30">
      <c r="B48" s="1137"/>
      <c r="D48" s="1137"/>
    </row>
    <row r="49" spans="2:2">
      <c r="B49" s="1137"/>
    </row>
  </sheetData>
  <customSheetViews>
    <customSheetView guid="{8EE6466D-211E-4E05-9F84-CC0A1C6F79F4}" scale="70" showGridLines="0" fitToPage="1" topLeftCell="A10">
      <selection activeCell="A6" sqref="A6"/>
      <pageMargins left="0.75" right="0.75" top="0.75" bottom="0.75" header="0.3" footer="0.25"/>
      <pageSetup scale="73" orientation="landscape" r:id="rId1"/>
      <headerFooter scaleWithDoc="0">
        <oddFooter>&amp;C&amp;8 13</oddFooter>
      </headerFooter>
    </customSheetView>
  </customSheetViews>
  <pageMargins left="0.7" right="0.7" top="0.75" bottom="0.75" header="0.3" footer="0.3"/>
  <pageSetup scale="65" firstPageNumber="13" orientation="landscape" useFirstPageNumber="1" r:id="rId2"/>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V52"/>
  <sheetViews>
    <sheetView zoomScale="80" zoomScaleNormal="80" workbookViewId="0"/>
  </sheetViews>
  <sheetFormatPr defaultColWidth="8.90625" defaultRowHeight="15"/>
  <cols>
    <col min="1" max="1" width="51.81640625" style="1848" customWidth="1"/>
    <col min="2" max="2" width="2.08984375" style="1852" customWidth="1"/>
    <col min="3" max="3" width="15.81640625" style="789" customWidth="1"/>
    <col min="4" max="4" width="1.08984375" style="1852" customWidth="1"/>
    <col min="5" max="5" width="15.81640625" style="789" customWidth="1"/>
    <col min="6" max="6" width="1.08984375" style="1852" customWidth="1"/>
    <col min="7" max="7" width="15.81640625" style="1852" customWidth="1"/>
    <col min="8" max="8" width="0.6328125" style="1852" customWidth="1"/>
    <col min="9" max="9" width="19.453125" style="1852" customWidth="1"/>
    <col min="10" max="10" width="1.08984375" style="1137" customWidth="1"/>
    <col min="11" max="11" width="19.453125" style="1852" customWidth="1"/>
    <col min="12" max="12" width="1.36328125" style="1852" customWidth="1"/>
    <col min="13" max="13" width="15.81640625" style="1137" customWidth="1"/>
    <col min="14" max="14" width="1.1796875" style="1137" customWidth="1"/>
    <col min="15" max="15" width="15.81640625" style="1137" customWidth="1"/>
    <col min="16" max="16" width="1.1796875" style="1137" customWidth="1"/>
    <col min="17" max="17" width="15.81640625" style="1137" customWidth="1"/>
    <col min="18" max="18" width="1.36328125" style="1137" customWidth="1"/>
    <col min="19" max="19" width="15.81640625" style="1137" customWidth="1"/>
    <col min="20" max="20" width="1.90625" style="1137" customWidth="1"/>
    <col min="21" max="21" width="15.81640625" style="789" customWidth="1"/>
    <col min="22" max="22" width="0.6328125" style="1137" customWidth="1"/>
    <col min="23" max="23" width="15.81640625" style="789" customWidth="1"/>
    <col min="24" max="24" width="1.36328125" style="1137" customWidth="1"/>
    <col min="25" max="25" width="15.81640625" style="1137" customWidth="1"/>
    <col min="26" max="26" width="1" style="1137" customWidth="1"/>
    <col min="27" max="27" width="15.81640625" style="1137" customWidth="1"/>
    <col min="28" max="28" width="3.6328125" style="1852" bestFit="1" customWidth="1"/>
    <col min="29" max="33" width="8.90625" style="1852"/>
    <col min="34" max="16384" width="8.90625" style="1848"/>
  </cols>
  <sheetData>
    <row r="1" spans="1:48">
      <c r="A1" s="1854" t="s">
        <v>1103</v>
      </c>
    </row>
    <row r="2" spans="1:48" ht="16.8">
      <c r="A2" s="387"/>
      <c r="B2" s="389"/>
      <c r="C2" s="783"/>
      <c r="D2" s="389"/>
      <c r="E2" s="783"/>
      <c r="F2" s="389"/>
      <c r="G2" s="389"/>
      <c r="H2" s="389"/>
      <c r="I2" s="389"/>
      <c r="J2" s="388"/>
      <c r="K2" s="389"/>
      <c r="L2" s="389"/>
      <c r="M2" s="388"/>
      <c r="N2" s="388"/>
      <c r="O2" s="388"/>
      <c r="P2" s="388"/>
      <c r="Q2" s="388"/>
      <c r="R2" s="388"/>
      <c r="S2" s="388"/>
      <c r="T2" s="388"/>
      <c r="U2" s="2308"/>
      <c r="V2" s="388"/>
      <c r="W2" s="2308"/>
      <c r="X2" s="388"/>
      <c r="Y2" s="388"/>
      <c r="Z2" s="388"/>
      <c r="AA2" s="388"/>
    </row>
    <row r="3" spans="1:48" ht="21" customHeight="1">
      <c r="A3" s="393" t="s">
        <v>0</v>
      </c>
      <c r="B3" s="350"/>
      <c r="C3" s="785"/>
      <c r="D3" s="344"/>
      <c r="E3" s="785"/>
      <c r="F3" s="344"/>
      <c r="G3" s="344"/>
      <c r="H3" s="344"/>
      <c r="I3" s="344"/>
      <c r="J3" s="358"/>
      <c r="K3" s="344"/>
      <c r="L3" s="344"/>
      <c r="M3" s="358"/>
      <c r="N3" s="358"/>
      <c r="O3" s="358"/>
      <c r="P3" s="358"/>
      <c r="Q3" s="358"/>
      <c r="R3" s="358"/>
      <c r="S3" s="1683"/>
      <c r="T3" s="358"/>
      <c r="U3" s="1683" t="s">
        <v>86</v>
      </c>
      <c r="V3" s="358"/>
      <c r="W3" s="2310"/>
      <c r="X3" s="358"/>
      <c r="Y3" s="358"/>
      <c r="Z3" s="358"/>
      <c r="AA3" s="2311"/>
    </row>
    <row r="4" spans="1:48" ht="17.399999999999999">
      <c r="A4" s="393" t="s">
        <v>1370</v>
      </c>
      <c r="B4" s="350"/>
      <c r="C4" s="785"/>
      <c r="D4" s="344"/>
      <c r="E4" s="785"/>
      <c r="F4" s="344"/>
      <c r="G4" s="344"/>
      <c r="H4" s="344"/>
      <c r="I4" s="344"/>
      <c r="J4" s="358"/>
      <c r="K4" s="344"/>
      <c r="L4" s="344"/>
      <c r="M4" s="358"/>
      <c r="N4" s="358"/>
      <c r="O4" s="358"/>
      <c r="P4" s="358"/>
      <c r="Q4" s="358"/>
      <c r="R4" s="358"/>
      <c r="S4" s="1684"/>
      <c r="T4" s="358"/>
      <c r="U4" s="1684" t="s">
        <v>107</v>
      </c>
      <c r="V4" s="358"/>
      <c r="W4" s="2310"/>
      <c r="X4" s="358"/>
      <c r="Y4" s="358"/>
      <c r="Z4" s="358"/>
      <c r="AA4" s="2312"/>
    </row>
    <row r="5" spans="1:48" ht="18.899999999999999" customHeight="1">
      <c r="A5" s="3396" t="s">
        <v>1457</v>
      </c>
      <c r="B5" s="3397"/>
      <c r="C5" s="3397"/>
      <c r="D5" s="3397"/>
      <c r="E5" s="3397"/>
      <c r="F5" s="344"/>
      <c r="G5" s="344"/>
      <c r="H5" s="344"/>
      <c r="I5" s="344"/>
      <c r="J5" s="358"/>
      <c r="K5" s="344"/>
      <c r="L5" s="344"/>
      <c r="M5" s="358"/>
      <c r="N5" s="358"/>
      <c r="O5" s="358"/>
      <c r="P5" s="358"/>
      <c r="Q5" s="358"/>
      <c r="R5" s="358"/>
      <c r="S5" s="358"/>
      <c r="T5" s="358"/>
      <c r="U5" s="2310"/>
      <c r="V5" s="358"/>
      <c r="W5" s="2310"/>
      <c r="X5" s="358"/>
      <c r="Y5" s="358"/>
      <c r="Z5" s="358"/>
      <c r="AA5" s="358"/>
    </row>
    <row r="6" spans="1:48" ht="18.899999999999999" customHeight="1">
      <c r="A6" s="2790" t="str">
        <f>'Exh D-Governmental  '!A6</f>
        <v>FOR ONE MONTH ENDED APRIL 30, 2016</v>
      </c>
      <c r="B6" s="349"/>
      <c r="C6" s="785"/>
      <c r="D6" s="344"/>
      <c r="E6" s="785"/>
      <c r="F6" s="344"/>
      <c r="G6" s="344"/>
      <c r="H6" s="344"/>
      <c r="I6" s="344"/>
      <c r="J6" s="358"/>
      <c r="K6" s="344"/>
      <c r="L6" s="344"/>
      <c r="M6" s="358"/>
      <c r="N6" s="358"/>
      <c r="O6" s="358"/>
      <c r="P6" s="358"/>
      <c r="Q6" s="358"/>
      <c r="R6" s="358"/>
      <c r="S6" s="358"/>
      <c r="T6" s="358"/>
      <c r="U6" s="2310"/>
      <c r="V6" s="358"/>
      <c r="W6" s="2310"/>
      <c r="X6" s="358"/>
      <c r="Y6" s="358"/>
      <c r="Z6" s="358"/>
      <c r="AA6" s="358"/>
      <c r="AB6" s="344"/>
      <c r="AC6" s="358"/>
      <c r="AD6" s="358"/>
      <c r="AE6" s="358"/>
      <c r="AF6" s="358"/>
      <c r="AG6" s="358"/>
      <c r="AH6" s="358"/>
      <c r="AI6" s="358"/>
      <c r="AJ6" s="358"/>
      <c r="AK6" s="358"/>
      <c r="AL6" s="358"/>
      <c r="AM6" s="358"/>
      <c r="AN6" s="358"/>
      <c r="AO6" s="358"/>
      <c r="AP6" s="358"/>
      <c r="AQ6" s="1137"/>
      <c r="AR6" s="1137"/>
      <c r="AS6" s="1137"/>
      <c r="AT6" s="1137"/>
      <c r="AU6" s="1137"/>
      <c r="AV6" s="1852"/>
    </row>
    <row r="7" spans="1:48" ht="17.399999999999999">
      <c r="A7" s="393" t="s">
        <v>992</v>
      </c>
      <c r="B7" s="350"/>
      <c r="C7" s="785"/>
      <c r="D7" s="344"/>
      <c r="E7" s="785"/>
      <c r="F7" s="344"/>
      <c r="G7" s="344"/>
      <c r="H7" s="344"/>
      <c r="I7" s="344"/>
      <c r="J7" s="358"/>
      <c r="K7" s="344"/>
      <c r="L7" s="344"/>
      <c r="M7" s="358"/>
      <c r="N7" s="358"/>
      <c r="O7" s="358"/>
      <c r="P7" s="358"/>
      <c r="Q7" s="358"/>
      <c r="R7" s="358"/>
      <c r="S7" s="358"/>
      <c r="T7" s="358"/>
      <c r="U7" s="2310"/>
      <c r="V7" s="358"/>
      <c r="W7" s="2310"/>
      <c r="X7" s="358"/>
      <c r="Y7" s="358"/>
      <c r="Z7" s="358"/>
      <c r="AA7" s="358"/>
    </row>
    <row r="8" spans="1:48" ht="17.399999999999999">
      <c r="A8" s="395"/>
      <c r="B8" s="350"/>
      <c r="C8" s="785"/>
      <c r="D8" s="344"/>
      <c r="E8" s="785"/>
      <c r="F8" s="344"/>
      <c r="G8" s="344"/>
      <c r="H8" s="344"/>
      <c r="I8" s="344"/>
      <c r="J8" s="358"/>
      <c r="K8" s="344"/>
      <c r="L8" s="344"/>
      <c r="M8" s="358"/>
      <c r="N8" s="358"/>
      <c r="O8" s="358"/>
      <c r="P8" s="358"/>
      <c r="Q8" s="358"/>
      <c r="R8" s="358"/>
      <c r="S8" s="358"/>
      <c r="T8" s="358"/>
      <c r="U8" s="2310"/>
      <c r="V8" s="358"/>
      <c r="W8" s="2310"/>
      <c r="X8" s="358"/>
      <c r="Y8" s="358"/>
      <c r="Z8" s="358"/>
      <c r="AA8" s="358"/>
    </row>
    <row r="9" spans="1:48">
      <c r="A9" s="352"/>
      <c r="B9" s="344"/>
      <c r="C9" s="786"/>
      <c r="D9" s="344"/>
      <c r="E9" s="786"/>
      <c r="F9" s="344"/>
      <c r="G9" s="344"/>
      <c r="H9" s="344"/>
      <c r="I9" s="344"/>
      <c r="J9" s="358"/>
      <c r="K9" s="344"/>
      <c r="L9" s="344"/>
      <c r="M9" s="358"/>
      <c r="N9" s="358"/>
      <c r="O9" s="358"/>
      <c r="P9" s="358"/>
      <c r="Q9" s="358"/>
      <c r="R9" s="358"/>
      <c r="S9" s="358"/>
      <c r="T9" s="358"/>
      <c r="U9" s="2310"/>
      <c r="V9" s="358"/>
      <c r="W9" s="2310"/>
      <c r="X9" s="358"/>
      <c r="Y9" s="358"/>
      <c r="Z9" s="358"/>
      <c r="AA9" s="358"/>
    </row>
    <row r="10" spans="1:48">
      <c r="A10" s="352"/>
      <c r="B10" s="344"/>
      <c r="C10" s="785"/>
      <c r="D10" s="350"/>
      <c r="E10" s="785"/>
      <c r="F10" s="350"/>
      <c r="G10" s="350"/>
      <c r="H10" s="350"/>
      <c r="I10" s="350"/>
      <c r="J10" s="349"/>
      <c r="K10" s="350"/>
      <c r="L10" s="350"/>
      <c r="M10" s="785"/>
      <c r="N10" s="350"/>
      <c r="O10" s="785"/>
      <c r="P10" s="350"/>
      <c r="Q10" s="350"/>
      <c r="R10" s="350"/>
      <c r="S10" s="350"/>
      <c r="T10" s="349"/>
      <c r="U10" s="1919"/>
      <c r="V10" s="349"/>
      <c r="W10" s="1919"/>
      <c r="X10" s="349"/>
      <c r="Y10" s="349"/>
      <c r="Z10" s="349"/>
      <c r="AA10" s="349"/>
      <c r="AB10" s="1870"/>
    </row>
    <row r="11" spans="1:48" ht="15.6">
      <c r="A11" s="1343"/>
      <c r="B11" s="353"/>
      <c r="C11" s="3399" t="s">
        <v>1299</v>
      </c>
      <c r="D11" s="3399"/>
      <c r="E11" s="3399"/>
      <c r="F11" s="3399"/>
      <c r="G11" s="3399"/>
      <c r="H11" s="3399"/>
      <c r="I11" s="3399"/>
      <c r="J11" s="2304"/>
      <c r="K11" s="2304"/>
      <c r="L11" s="407"/>
      <c r="M11" s="3399" t="s">
        <v>1300</v>
      </c>
      <c r="N11" s="3399"/>
      <c r="O11" s="3399"/>
      <c r="P11" s="3399"/>
      <c r="Q11" s="3399"/>
      <c r="R11" s="3399"/>
      <c r="S11" s="3399"/>
      <c r="T11" s="2317"/>
      <c r="U11" s="2715"/>
      <c r="V11" s="2715"/>
      <c r="W11" s="398"/>
      <c r="X11" s="398"/>
      <c r="Y11" s="398"/>
      <c r="Z11" s="398"/>
      <c r="AA11" s="398"/>
      <c r="AB11" s="1870"/>
    </row>
    <row r="12" spans="1:48" ht="15.6">
      <c r="A12" s="1343"/>
      <c r="B12" s="353"/>
      <c r="C12" s="791"/>
      <c r="D12" s="354"/>
      <c r="E12" s="791"/>
      <c r="F12" s="354"/>
      <c r="G12" s="354"/>
      <c r="H12" s="354"/>
      <c r="I12" s="408" t="s">
        <v>87</v>
      </c>
      <c r="J12" s="408"/>
      <c r="K12" s="408" t="s">
        <v>87</v>
      </c>
      <c r="L12" s="1855"/>
      <c r="M12" s="791"/>
      <c r="N12" s="354"/>
      <c r="O12" s="791"/>
      <c r="P12" s="354"/>
      <c r="Q12" s="354"/>
      <c r="R12" s="354"/>
      <c r="S12" s="408" t="s">
        <v>87</v>
      </c>
      <c r="T12" s="353"/>
      <c r="U12" s="408" t="s">
        <v>87</v>
      </c>
      <c r="V12" s="353"/>
      <c r="W12" s="1937"/>
      <c r="X12" s="353"/>
      <c r="Y12" s="353"/>
      <c r="Z12" s="353"/>
      <c r="AA12" s="408"/>
    </row>
    <row r="13" spans="1:48" ht="15.6">
      <c r="A13" s="1343"/>
      <c r="B13" s="353"/>
      <c r="C13" s="791"/>
      <c r="D13" s="354"/>
      <c r="E13" s="791"/>
      <c r="F13" s="354"/>
      <c r="G13" s="354"/>
      <c r="H13" s="354"/>
      <c r="I13" s="355" t="s">
        <v>999</v>
      </c>
      <c r="J13" s="403"/>
      <c r="K13" s="355" t="s">
        <v>999</v>
      </c>
      <c r="L13" s="1855"/>
      <c r="M13" s="791"/>
      <c r="N13" s="354"/>
      <c r="O13" s="791"/>
      <c r="P13" s="354"/>
      <c r="Q13" s="354"/>
      <c r="R13" s="354"/>
      <c r="S13" s="355" t="s">
        <v>999</v>
      </c>
      <c r="T13" s="353"/>
      <c r="U13" s="355" t="s">
        <v>999</v>
      </c>
      <c r="V13" s="353"/>
      <c r="W13" s="1937"/>
      <c r="X13" s="353"/>
      <c r="Y13" s="353"/>
      <c r="Z13" s="353"/>
      <c r="AA13" s="403"/>
    </row>
    <row r="14" spans="1:48" ht="15.75" customHeight="1">
      <c r="A14" s="1343"/>
      <c r="B14" s="353"/>
      <c r="C14" s="356" t="s">
        <v>1235</v>
      </c>
      <c r="D14" s="1848"/>
      <c r="E14" s="356" t="s">
        <v>1236</v>
      </c>
      <c r="F14" s="354"/>
      <c r="G14" s="354"/>
      <c r="H14" s="354"/>
      <c r="I14" s="355" t="s">
        <v>88</v>
      </c>
      <c r="J14" s="403"/>
      <c r="K14" s="355" t="s">
        <v>88</v>
      </c>
      <c r="L14" s="1855"/>
      <c r="M14" s="356" t="s">
        <v>1235</v>
      </c>
      <c r="N14" s="1848"/>
      <c r="O14" s="356" t="s">
        <v>1236</v>
      </c>
      <c r="P14" s="354"/>
      <c r="Q14" s="354"/>
      <c r="R14" s="354"/>
      <c r="S14" s="355" t="s">
        <v>88</v>
      </c>
      <c r="T14" s="404"/>
      <c r="U14" s="355" t="s">
        <v>88</v>
      </c>
      <c r="V14" s="1348"/>
      <c r="W14" s="402"/>
      <c r="X14" s="353"/>
      <c r="Y14" s="353"/>
      <c r="Z14" s="353"/>
      <c r="AA14" s="403"/>
    </row>
    <row r="15" spans="1:48" ht="15.75" customHeight="1">
      <c r="A15" s="1343"/>
      <c r="B15" s="353"/>
      <c r="C15" s="355" t="s">
        <v>1279</v>
      </c>
      <c r="D15" s="354"/>
      <c r="E15" s="355" t="s">
        <v>1279</v>
      </c>
      <c r="F15" s="354"/>
      <c r="G15" s="354"/>
      <c r="H15" s="354"/>
      <c r="I15" s="355" t="s">
        <v>1235</v>
      </c>
      <c r="J15" s="402"/>
      <c r="K15" s="356" t="s">
        <v>1236</v>
      </c>
      <c r="L15" s="1938"/>
      <c r="M15" s="355" t="s">
        <v>1279</v>
      </c>
      <c r="N15" s="354"/>
      <c r="O15" s="355" t="s">
        <v>1279</v>
      </c>
      <c r="P15" s="354"/>
      <c r="Q15" s="354"/>
      <c r="R15" s="354"/>
      <c r="S15" s="355" t="s">
        <v>1235</v>
      </c>
      <c r="T15" s="404"/>
      <c r="U15" s="356" t="s">
        <v>1236</v>
      </c>
      <c r="V15" s="353"/>
      <c r="W15" s="403"/>
      <c r="X15" s="353"/>
      <c r="Y15" s="353"/>
      <c r="Z15" s="353"/>
      <c r="AA15" s="402"/>
    </row>
    <row r="16" spans="1:48" ht="15.6">
      <c r="A16" s="1343"/>
      <c r="B16" s="353"/>
      <c r="C16" s="355" t="s">
        <v>1280</v>
      </c>
      <c r="D16" s="354"/>
      <c r="E16" s="355" t="s">
        <v>1458</v>
      </c>
      <c r="F16" s="354"/>
      <c r="G16" s="356" t="s">
        <v>87</v>
      </c>
      <c r="H16" s="354"/>
      <c r="I16" s="355" t="s">
        <v>89</v>
      </c>
      <c r="J16" s="403"/>
      <c r="K16" s="355" t="s">
        <v>89</v>
      </c>
      <c r="L16" s="1855"/>
      <c r="M16" s="355" t="s">
        <v>1280</v>
      </c>
      <c r="N16" s="354"/>
      <c r="O16" s="355" t="s">
        <v>1458</v>
      </c>
      <c r="P16" s="354"/>
      <c r="Q16" s="356" t="s">
        <v>87</v>
      </c>
      <c r="R16" s="354"/>
      <c r="S16" s="355" t="s">
        <v>89</v>
      </c>
      <c r="T16" s="403"/>
      <c r="U16" s="355" t="s">
        <v>89</v>
      </c>
      <c r="V16" s="353"/>
      <c r="W16" s="403"/>
      <c r="X16" s="353"/>
      <c r="Y16" s="402"/>
      <c r="Z16" s="353"/>
      <c r="AA16" s="403"/>
    </row>
    <row r="17" spans="1:48">
      <c r="A17" s="357"/>
      <c r="B17" s="358"/>
      <c r="C17" s="359"/>
      <c r="D17" s="344"/>
      <c r="E17" s="359"/>
      <c r="F17" s="344"/>
      <c r="G17" s="359"/>
      <c r="H17" s="344"/>
      <c r="I17" s="359"/>
      <c r="J17" s="358"/>
      <c r="K17" s="359"/>
      <c r="L17" s="1856"/>
      <c r="M17" s="359"/>
      <c r="N17" s="344"/>
      <c r="O17" s="359"/>
      <c r="P17" s="344"/>
      <c r="Q17" s="359"/>
      <c r="R17" s="344"/>
      <c r="S17" s="359"/>
      <c r="T17" s="358"/>
      <c r="U17" s="359"/>
      <c r="V17" s="358"/>
      <c r="W17" s="358"/>
      <c r="X17" s="358"/>
      <c r="Y17" s="358"/>
      <c r="Z17" s="358"/>
      <c r="AA17" s="358"/>
    </row>
    <row r="18" spans="1:48" ht="15.6">
      <c r="A18" s="221" t="s">
        <v>15</v>
      </c>
      <c r="B18" s="1840"/>
      <c r="C18" s="1237"/>
      <c r="D18" s="1237"/>
      <c r="E18" s="1237"/>
      <c r="F18" s="1237"/>
      <c r="G18" s="1668" t="s">
        <v>16</v>
      </c>
      <c r="H18" s="1237"/>
      <c r="I18" s="1237"/>
      <c r="J18" s="1840"/>
      <c r="K18" s="1237"/>
      <c r="L18" s="1857"/>
      <c r="M18" s="1237"/>
      <c r="N18" s="1237"/>
      <c r="O18" s="1237"/>
      <c r="P18" s="1237"/>
      <c r="Q18" s="1237" t="s">
        <v>16</v>
      </c>
      <c r="R18" s="1237"/>
      <c r="S18" s="1237"/>
      <c r="T18" s="1840"/>
      <c r="U18" s="1237"/>
      <c r="V18" s="1840"/>
      <c r="W18" s="1840"/>
      <c r="X18" s="1840"/>
      <c r="Y18" s="1840"/>
      <c r="Z18" s="1840"/>
      <c r="AA18" s="1840"/>
    </row>
    <row r="19" spans="1:48">
      <c r="A19" s="1674" t="s">
        <v>90</v>
      </c>
      <c r="B19" s="1841" t="s">
        <v>16</v>
      </c>
      <c r="C19" s="1238"/>
      <c r="D19" s="1240"/>
      <c r="E19" s="1238"/>
      <c r="F19" s="1240"/>
      <c r="G19" s="1238"/>
      <c r="H19" s="1240"/>
      <c r="I19" s="1238"/>
      <c r="J19" s="1926"/>
      <c r="K19" s="1238"/>
      <c r="L19" s="1871"/>
      <c r="M19" s="1238"/>
      <c r="N19" s="1238"/>
      <c r="O19" s="1238"/>
      <c r="P19" s="1238"/>
      <c r="Q19" s="1872"/>
      <c r="R19" s="1240"/>
      <c r="S19" s="1238"/>
      <c r="T19" s="1240"/>
      <c r="U19" s="1238"/>
      <c r="V19" s="1926"/>
      <c r="W19" s="1926"/>
      <c r="X19" s="1926"/>
      <c r="Y19" s="2318"/>
      <c r="Z19" s="1924"/>
      <c r="AA19" s="1926"/>
      <c r="AB19" s="1840"/>
      <c r="AC19" s="1840"/>
      <c r="AD19" s="1840"/>
      <c r="AE19" s="1840"/>
      <c r="AF19" s="1840"/>
      <c r="AG19" s="1840"/>
      <c r="AH19" s="1840"/>
      <c r="AI19" s="1840"/>
      <c r="AJ19" s="1840"/>
      <c r="AK19" s="1840"/>
      <c r="AL19" s="1840"/>
      <c r="AM19" s="1840"/>
      <c r="AN19" s="1840"/>
      <c r="AO19" s="1840"/>
      <c r="AP19" s="1840"/>
      <c r="AQ19" s="1137"/>
      <c r="AR19" s="1137"/>
      <c r="AS19" s="1137"/>
      <c r="AT19" s="1137"/>
      <c r="AU19" s="1137"/>
      <c r="AV19" s="1852"/>
    </row>
    <row r="20" spans="1:48">
      <c r="A20" s="1674" t="s">
        <v>92</v>
      </c>
      <c r="B20" s="1840" t="s">
        <v>16</v>
      </c>
      <c r="C20" s="1983">
        <v>48</v>
      </c>
      <c r="D20" s="1238"/>
      <c r="E20" s="1983">
        <v>0</v>
      </c>
      <c r="F20" s="1238"/>
      <c r="G20" s="1858">
        <f>+' Exhibit I State'!AF22</f>
        <v>43.7</v>
      </c>
      <c r="H20" s="1238"/>
      <c r="I20" s="1238">
        <f t="shared" ref="I20:I26" si="0">ROUND(SUM(G20)-SUM(C20),1)</f>
        <v>-4.3</v>
      </c>
      <c r="J20" s="1926"/>
      <c r="K20" s="1238">
        <v>0</v>
      </c>
      <c r="L20" s="1871"/>
      <c r="M20" s="1983">
        <v>0</v>
      </c>
      <c r="N20" s="1241"/>
      <c r="O20" s="1983">
        <v>0</v>
      </c>
      <c r="P20" s="1241"/>
      <c r="Q20" s="1858">
        <v>0</v>
      </c>
      <c r="R20" s="1241"/>
      <c r="S20" s="1238">
        <f t="shared" ref="S20:S26" si="1">ROUND(SUM(Q20)-SUM(M20),1)</f>
        <v>0</v>
      </c>
      <c r="T20" s="1926"/>
      <c r="U20" s="1238">
        <f t="shared" ref="U20:U26" si="2">ROUND(SUM(Q20)-SUM(O20),1)</f>
        <v>0</v>
      </c>
      <c r="V20" s="2319"/>
      <c r="W20" s="1925"/>
      <c r="X20" s="2319"/>
      <c r="Y20" s="1925"/>
      <c r="Z20" s="2319"/>
      <c r="AA20" s="1926"/>
      <c r="AB20" s="1840"/>
      <c r="AC20" s="1840"/>
      <c r="AD20" s="1840"/>
      <c r="AE20" s="1840"/>
      <c r="AF20" s="1840"/>
      <c r="AG20" s="1840"/>
      <c r="AH20" s="1840"/>
      <c r="AI20" s="1840"/>
      <c r="AJ20" s="1840"/>
      <c r="AK20" s="1840"/>
      <c r="AL20" s="1840"/>
      <c r="AM20" s="1840"/>
      <c r="AN20" s="1840"/>
      <c r="AO20" s="1840"/>
      <c r="AP20" s="1840"/>
      <c r="AQ20" s="1137"/>
      <c r="AR20" s="1137"/>
      <c r="AS20" s="1137"/>
      <c r="AT20" s="1137"/>
      <c r="AU20" s="1137"/>
      <c r="AV20" s="1852"/>
    </row>
    <row r="21" spans="1:48">
      <c r="A21" s="1674" t="s">
        <v>93</v>
      </c>
      <c r="B21" s="1841" t="s">
        <v>16</v>
      </c>
      <c r="C21" s="2198">
        <v>46</v>
      </c>
      <c r="D21" s="1313"/>
      <c r="E21" s="2198">
        <v>0</v>
      </c>
      <c r="F21" s="1313"/>
      <c r="G21" s="1339">
        <f>+' Exhibit I State'!AF27</f>
        <v>49</v>
      </c>
      <c r="H21" s="1313"/>
      <c r="I21" s="1159">
        <f t="shared" si="0"/>
        <v>3</v>
      </c>
      <c r="J21" s="1860"/>
      <c r="K21" s="2993">
        <v>0</v>
      </c>
      <c r="L21" s="1873"/>
      <c r="M21" s="1337">
        <v>0</v>
      </c>
      <c r="N21" s="1239"/>
      <c r="O21" s="1337">
        <v>0</v>
      </c>
      <c r="P21" s="1239"/>
      <c r="Q21" s="1339">
        <v>0</v>
      </c>
      <c r="R21" s="1239"/>
      <c r="S21" s="1159">
        <f t="shared" si="1"/>
        <v>0</v>
      </c>
      <c r="T21" s="1313"/>
      <c r="U21" s="2993">
        <f t="shared" si="2"/>
        <v>0</v>
      </c>
      <c r="V21" s="1864"/>
      <c r="W21" s="1929"/>
      <c r="X21" s="1864"/>
      <c r="Y21" s="1929"/>
      <c r="Z21" s="1864"/>
      <c r="AA21" s="1860"/>
      <c r="AB21" s="1862"/>
      <c r="AC21" s="1840"/>
      <c r="AD21" s="1840"/>
      <c r="AE21" s="1862"/>
      <c r="AF21" s="1840"/>
      <c r="AG21" s="1862"/>
      <c r="AH21" s="1840"/>
      <c r="AI21" s="1840"/>
      <c r="AJ21" s="1862"/>
      <c r="AK21" s="1840"/>
      <c r="AL21" s="1840"/>
      <c r="AM21" s="1862"/>
      <c r="AN21" s="405"/>
      <c r="AO21" s="1862"/>
      <c r="AP21" s="1840"/>
      <c r="AQ21" s="1137"/>
      <c r="AR21" s="1137"/>
      <c r="AS21" s="1137"/>
      <c r="AT21" s="1137"/>
      <c r="AU21" s="1137"/>
      <c r="AV21" s="1852"/>
    </row>
    <row r="22" spans="1:48">
      <c r="A22" s="1674" t="s">
        <v>94</v>
      </c>
      <c r="B22" s="1840" t="s">
        <v>16</v>
      </c>
      <c r="C22" s="1337">
        <v>0</v>
      </c>
      <c r="D22" s="1159"/>
      <c r="E22" s="1337">
        <v>0</v>
      </c>
      <c r="F22" s="1159"/>
      <c r="G22" s="1339">
        <f>+' Exhibit I State'!AF30</f>
        <v>0</v>
      </c>
      <c r="H22" s="1159"/>
      <c r="I22" s="1159">
        <f t="shared" si="0"/>
        <v>0</v>
      </c>
      <c r="J22" s="1860"/>
      <c r="K22" s="2993">
        <f t="shared" ref="K22:K25" si="3">ROUND(SUM(G22)-SUM(E22),1)</f>
        <v>0</v>
      </c>
      <c r="L22" s="1873"/>
      <c r="M22" s="1337">
        <v>0</v>
      </c>
      <c r="N22" s="1239"/>
      <c r="O22" s="1337">
        <v>0</v>
      </c>
      <c r="P22" s="1239"/>
      <c r="Q22" s="1339">
        <v>0</v>
      </c>
      <c r="R22" s="1239"/>
      <c r="S22" s="1159">
        <f t="shared" si="1"/>
        <v>0</v>
      </c>
      <c r="T22" s="1860"/>
      <c r="U22" s="2993">
        <f t="shared" si="2"/>
        <v>0</v>
      </c>
      <c r="V22" s="1864"/>
      <c r="W22" s="1929"/>
      <c r="X22" s="1864"/>
      <c r="Y22" s="1929"/>
      <c r="Z22" s="1864"/>
      <c r="AA22" s="1860"/>
      <c r="AB22" s="1840"/>
      <c r="AC22" s="1840"/>
      <c r="AD22" s="1840"/>
      <c r="AE22" s="1840"/>
      <c r="AF22" s="1840"/>
      <c r="AG22" s="1840"/>
      <c r="AH22" s="1840"/>
      <c r="AI22" s="1840"/>
      <c r="AJ22" s="1840"/>
      <c r="AK22" s="1840"/>
      <c r="AL22" s="1840"/>
      <c r="AM22" s="1840"/>
      <c r="AN22" s="1840"/>
      <c r="AO22" s="1840"/>
      <c r="AP22" s="1840"/>
      <c r="AQ22" s="1137"/>
      <c r="AR22" s="1137"/>
      <c r="AS22" s="1137"/>
      <c r="AT22" s="1137"/>
      <c r="AU22" s="1137"/>
      <c r="AV22" s="1852"/>
    </row>
    <row r="23" spans="1:48">
      <c r="A23" s="1674" t="s">
        <v>21</v>
      </c>
      <c r="B23" s="1840" t="s">
        <v>16</v>
      </c>
      <c r="C23" s="1787">
        <v>85</v>
      </c>
      <c r="D23" s="1159"/>
      <c r="E23" s="1787">
        <v>0</v>
      </c>
      <c r="F23" s="1159"/>
      <c r="G23" s="1339">
        <f>+' Exhibit I State'!AF60</f>
        <v>84.2</v>
      </c>
      <c r="H23" s="1159"/>
      <c r="I23" s="1159">
        <f t="shared" si="0"/>
        <v>-0.8</v>
      </c>
      <c r="J23" s="1860"/>
      <c r="K23" s="2993">
        <v>0</v>
      </c>
      <c r="L23" s="1873"/>
      <c r="M23" s="1787">
        <v>0</v>
      </c>
      <c r="N23" s="1159"/>
      <c r="O23" s="1787">
        <v>0</v>
      </c>
      <c r="P23" s="1159"/>
      <c r="Q23" s="1159">
        <f>+'Exhibit I Federal'!AF41</f>
        <v>1</v>
      </c>
      <c r="R23" s="1159"/>
      <c r="S23" s="1159">
        <f t="shared" si="1"/>
        <v>1</v>
      </c>
      <c r="T23" s="1860"/>
      <c r="U23" s="2993">
        <v>0</v>
      </c>
      <c r="V23" s="1860"/>
      <c r="W23" s="1929"/>
      <c r="X23" s="1860"/>
      <c r="Y23" s="1929"/>
      <c r="Z23" s="1860"/>
      <c r="AA23" s="1860"/>
    </row>
    <row r="24" spans="1:48">
      <c r="A24" s="1674" t="s">
        <v>22</v>
      </c>
      <c r="B24" s="1840" t="s">
        <v>16</v>
      </c>
      <c r="C24" s="3010">
        <v>0</v>
      </c>
      <c r="D24" s="1159"/>
      <c r="E24" s="3010">
        <v>0</v>
      </c>
      <c r="F24" s="1159"/>
      <c r="G24" s="1339">
        <f>+' Exhibit I State'!AF62</f>
        <v>0</v>
      </c>
      <c r="H24" s="1159"/>
      <c r="I24" s="1159">
        <f t="shared" si="0"/>
        <v>0</v>
      </c>
      <c r="J24" s="1860"/>
      <c r="K24" s="2993">
        <f t="shared" si="3"/>
        <v>0</v>
      </c>
      <c r="L24" s="1873"/>
      <c r="M24" s="1787">
        <v>126</v>
      </c>
      <c r="N24" s="1159"/>
      <c r="O24" s="1787">
        <v>0</v>
      </c>
      <c r="P24" s="1159"/>
      <c r="Q24" s="1159">
        <f>+'Exhibit I Federal'!AF43</f>
        <v>126.2</v>
      </c>
      <c r="R24" s="1159"/>
      <c r="S24" s="1159">
        <f t="shared" si="1"/>
        <v>0.2</v>
      </c>
      <c r="T24" s="1860"/>
      <c r="U24" s="2993">
        <v>0</v>
      </c>
      <c r="V24" s="1860"/>
      <c r="W24" s="1929"/>
      <c r="X24" s="1860"/>
      <c r="Y24" s="1929"/>
      <c r="Z24" s="1860"/>
      <c r="AA24" s="1860"/>
    </row>
    <row r="25" spans="1:48">
      <c r="A25" s="1674" t="s">
        <v>100</v>
      </c>
      <c r="B25" s="1840" t="s">
        <v>16</v>
      </c>
      <c r="C25" s="2198">
        <v>0</v>
      </c>
      <c r="D25" s="1159"/>
      <c r="E25" s="2198">
        <v>0</v>
      </c>
      <c r="F25" s="1159"/>
      <c r="G25" s="1239">
        <f>+' Exhibit I State'!AA91</f>
        <v>0</v>
      </c>
      <c r="H25" s="1159"/>
      <c r="I25" s="1159">
        <f t="shared" si="0"/>
        <v>0</v>
      </c>
      <c r="J25" s="1860"/>
      <c r="K25" s="2993">
        <f t="shared" si="3"/>
        <v>0</v>
      </c>
      <c r="L25" s="1874"/>
      <c r="M25" s="1337">
        <v>0</v>
      </c>
      <c r="N25" s="1159"/>
      <c r="O25" s="1337">
        <v>0</v>
      </c>
      <c r="P25" s="1159"/>
      <c r="Q25" s="1239">
        <v>0</v>
      </c>
      <c r="R25" s="1159"/>
      <c r="S25" s="1159">
        <f t="shared" si="1"/>
        <v>0</v>
      </c>
      <c r="T25" s="1861"/>
      <c r="U25" s="2993">
        <f t="shared" si="2"/>
        <v>0</v>
      </c>
      <c r="V25" s="1860"/>
      <c r="W25" s="1929"/>
      <c r="X25" s="1860"/>
      <c r="Y25" s="1929"/>
      <c r="Z25" s="1860"/>
      <c r="AA25" s="1860"/>
    </row>
    <row r="26" spans="1:48">
      <c r="A26" s="1674" t="s">
        <v>1494</v>
      </c>
      <c r="B26" s="1840" t="s">
        <v>16</v>
      </c>
      <c r="C26" s="1336">
        <v>162</v>
      </c>
      <c r="D26" s="1159"/>
      <c r="E26" s="1336">
        <v>0</v>
      </c>
      <c r="F26" s="1159"/>
      <c r="G26" s="1336">
        <f>+' Exhibit I State'!AF92</f>
        <v>162.19999999999999</v>
      </c>
      <c r="H26" s="1159"/>
      <c r="I26" s="1159">
        <f t="shared" si="0"/>
        <v>0.2</v>
      </c>
      <c r="J26" s="1860"/>
      <c r="K26" s="2993">
        <v>0</v>
      </c>
      <c r="L26" s="1873"/>
      <c r="M26" s="1336">
        <v>-1</v>
      </c>
      <c r="N26" s="1159"/>
      <c r="O26" s="1336">
        <v>0</v>
      </c>
      <c r="P26" s="1159"/>
      <c r="Q26" s="1313">
        <f>+'Exhibit I Federal'!I72</f>
        <v>0</v>
      </c>
      <c r="R26" s="1159"/>
      <c r="S26" s="1159">
        <f t="shared" si="1"/>
        <v>1</v>
      </c>
      <c r="T26" s="1861"/>
      <c r="U26" s="2993">
        <f t="shared" si="2"/>
        <v>0</v>
      </c>
      <c r="V26" s="1860"/>
      <c r="W26" s="1929"/>
      <c r="X26" s="1860"/>
      <c r="Y26" s="1929"/>
      <c r="Z26" s="1860"/>
      <c r="AA26" s="1860"/>
    </row>
    <row r="27" spans="1:48" ht="18" customHeight="1">
      <c r="A27" s="375" t="s">
        <v>113</v>
      </c>
      <c r="B27" s="353" t="s">
        <v>16</v>
      </c>
      <c r="C27" s="2812">
        <f>ROUND(SUM(C20:C26),1)</f>
        <v>341</v>
      </c>
      <c r="D27" s="1838"/>
      <c r="E27" s="2812">
        <f>ROUND(SUM(E20:E26),1)</f>
        <v>0</v>
      </c>
      <c r="F27" s="1838"/>
      <c r="G27" s="419">
        <f>ROUND(SUM(G20:G26),1)</f>
        <v>339.1</v>
      </c>
      <c r="H27" s="1838"/>
      <c r="I27" s="419">
        <f>ROUND(SUM(I20:I26),1)</f>
        <v>-1.9</v>
      </c>
      <c r="J27" s="273"/>
      <c r="K27" s="419">
        <f>ROUND(SUM(K20:K26),1)</f>
        <v>0</v>
      </c>
      <c r="L27" s="1875"/>
      <c r="M27" s="2812">
        <f>ROUND(SUM(M20:M26),1)</f>
        <v>125</v>
      </c>
      <c r="N27" s="1838"/>
      <c r="O27" s="2812">
        <f>ROUND(SUM(O20:O26),1)</f>
        <v>0</v>
      </c>
      <c r="P27" s="1838"/>
      <c r="Q27" s="419">
        <f>ROUND(SUM(Q20:Q26),1)</f>
        <v>127.2</v>
      </c>
      <c r="R27" s="1838"/>
      <c r="S27" s="419">
        <f>ROUND(SUM(S20:S26),1)</f>
        <v>2.2000000000000002</v>
      </c>
      <c r="T27" s="273"/>
      <c r="U27" s="419">
        <f>ROUND(SUM(U20:U26),1)</f>
        <v>0</v>
      </c>
      <c r="V27" s="273"/>
      <c r="W27" s="273"/>
      <c r="X27" s="273"/>
      <c r="Y27" s="273"/>
      <c r="Z27" s="273"/>
      <c r="AA27" s="273"/>
    </row>
    <row r="28" spans="1:48">
      <c r="A28" s="1343"/>
      <c r="B28" s="1840" t="s">
        <v>16</v>
      </c>
      <c r="C28" s="2016"/>
      <c r="D28" s="1159"/>
      <c r="E28" s="2016"/>
      <c r="F28" s="1159"/>
      <c r="G28" s="1341"/>
      <c r="H28" s="1159"/>
      <c r="I28" s="1341"/>
      <c r="J28" s="1860"/>
      <c r="K28" s="1341"/>
      <c r="L28" s="1873"/>
      <c r="M28" s="2016"/>
      <c r="N28" s="1159"/>
      <c r="O28" s="2016"/>
      <c r="P28" s="1159"/>
      <c r="Q28" s="1341"/>
      <c r="R28" s="1159"/>
      <c r="S28" s="1341" t="s">
        <v>16</v>
      </c>
      <c r="T28" s="1860"/>
      <c r="U28" s="1341" t="s">
        <v>16</v>
      </c>
      <c r="V28" s="1860"/>
      <c r="W28" s="1860"/>
      <c r="X28" s="1860"/>
      <c r="Y28" s="1860"/>
      <c r="Z28" s="1860"/>
      <c r="AA28" s="1860"/>
    </row>
    <row r="29" spans="1:48" ht="15.6">
      <c r="A29" s="221" t="s">
        <v>24</v>
      </c>
      <c r="B29" s="1840" t="s">
        <v>16</v>
      </c>
      <c r="C29" s="1787"/>
      <c r="D29" s="1159"/>
      <c r="E29" s="1787"/>
      <c r="F29" s="1159"/>
      <c r="G29" s="1159" t="s">
        <v>16</v>
      </c>
      <c r="H29" s="1159"/>
      <c r="I29" s="1159"/>
      <c r="J29" s="1860"/>
      <c r="K29" s="1159"/>
      <c r="L29" s="1873"/>
      <c r="M29" s="1787"/>
      <c r="N29" s="1159"/>
      <c r="O29" s="1787"/>
      <c r="P29" s="1159"/>
      <c r="Q29" s="1159"/>
      <c r="R29" s="1159"/>
      <c r="S29" s="1159"/>
      <c r="T29" s="1860"/>
      <c r="U29" s="1159"/>
      <c r="V29" s="1860"/>
      <c r="W29" s="1860"/>
      <c r="X29" s="1860"/>
      <c r="Y29" s="1860"/>
      <c r="Z29" s="1860"/>
      <c r="AA29" s="1860"/>
    </row>
    <row r="30" spans="1:48">
      <c r="A30" s="1674" t="s">
        <v>96</v>
      </c>
      <c r="B30" s="1840" t="s">
        <v>16</v>
      </c>
      <c r="C30" s="2198">
        <v>71</v>
      </c>
      <c r="D30" s="1159"/>
      <c r="E30" s="2198">
        <v>0</v>
      </c>
      <c r="F30" s="1159"/>
      <c r="G30" s="1239">
        <f>+' Exhibit I State'!AF78</f>
        <v>71.5</v>
      </c>
      <c r="H30" s="1159"/>
      <c r="I30" s="1159">
        <f>ROUND(SUM(G30)-SUM(C30),1)</f>
        <v>0.5</v>
      </c>
      <c r="J30" s="1860"/>
      <c r="K30" s="2993">
        <v>0</v>
      </c>
      <c r="L30" s="1873"/>
      <c r="M30" s="1787">
        <v>22</v>
      </c>
      <c r="N30" s="1159"/>
      <c r="O30" s="1787">
        <v>0</v>
      </c>
      <c r="P30" s="1159"/>
      <c r="Q30" s="1159">
        <f>+'Exhibit I Federal'!AF59</f>
        <v>22</v>
      </c>
      <c r="R30" s="1159"/>
      <c r="S30" s="1159">
        <f>ROUND(SUM(Q30)-SUM(M30),1)</f>
        <v>0</v>
      </c>
      <c r="T30" s="1860"/>
      <c r="U30" s="2993">
        <v>0</v>
      </c>
      <c r="V30" s="1860"/>
      <c r="W30" s="1929"/>
      <c r="X30" s="1860"/>
      <c r="Y30" s="1929"/>
      <c r="Z30" s="1860"/>
      <c r="AA30" s="1860"/>
    </row>
    <row r="31" spans="1:48">
      <c r="A31" s="1674" t="s">
        <v>43</v>
      </c>
      <c r="B31" s="1840" t="s">
        <v>16</v>
      </c>
      <c r="C31" s="2198">
        <v>259</v>
      </c>
      <c r="D31" s="1159"/>
      <c r="E31" s="2198">
        <v>0</v>
      </c>
      <c r="F31" s="1159"/>
      <c r="G31" s="1239">
        <f>+' Exhibit I State'!AF83</f>
        <v>257.60000000000002</v>
      </c>
      <c r="H31" s="1159"/>
      <c r="I31" s="1159">
        <f>ROUND(SUM(G31)-SUM(C31),1)</f>
        <v>-1.4</v>
      </c>
      <c r="J31" s="1860"/>
      <c r="K31" s="2993">
        <v>0</v>
      </c>
      <c r="L31" s="1874"/>
      <c r="M31" s="1787">
        <v>56</v>
      </c>
      <c r="N31" s="1159"/>
      <c r="O31" s="1787">
        <v>0</v>
      </c>
      <c r="P31" s="1159"/>
      <c r="Q31" s="1159">
        <f>+'Exhibit I Federal'!AF64</f>
        <v>55.9</v>
      </c>
      <c r="R31" s="1159"/>
      <c r="S31" s="1159">
        <f>ROUND(SUM(Q31)-SUM(M31),1)</f>
        <v>-0.1</v>
      </c>
      <c r="T31" s="1860"/>
      <c r="U31" s="2993">
        <v>0</v>
      </c>
      <c r="V31" s="1860"/>
      <c r="W31" s="1929"/>
      <c r="X31" s="1860"/>
      <c r="Y31" s="1929"/>
      <c r="Z31" s="1860"/>
      <c r="AA31" s="1860"/>
    </row>
    <row r="32" spans="1:48">
      <c r="A32" s="1674" t="s">
        <v>1495</v>
      </c>
      <c r="B32" s="1840" t="s">
        <v>16</v>
      </c>
      <c r="C32" s="1336">
        <v>26</v>
      </c>
      <c r="D32" s="1159"/>
      <c r="E32" s="1336">
        <v>0</v>
      </c>
      <c r="F32" s="1159"/>
      <c r="G32" s="1313">
        <f>-' Exhibit I State'!AF93</f>
        <v>25.5</v>
      </c>
      <c r="H32" s="1159"/>
      <c r="I32" s="1159">
        <f>ROUND(SUM(G32)-SUM(C32),1)</f>
        <v>-0.5</v>
      </c>
      <c r="J32" s="1860"/>
      <c r="K32" s="2993">
        <v>0</v>
      </c>
      <c r="L32" s="1873"/>
      <c r="M32" s="1336">
        <v>0</v>
      </c>
      <c r="N32" s="1159"/>
      <c r="O32" s="1336">
        <v>0</v>
      </c>
      <c r="P32" s="1159"/>
      <c r="Q32" s="1313">
        <f>-'Exhibit I Federal'!AF73</f>
        <v>0</v>
      </c>
      <c r="R32" s="1159"/>
      <c r="S32" s="1159">
        <f>ROUND(SUM(Q32)-SUM(M32),1)</f>
        <v>0</v>
      </c>
      <c r="T32" s="1861"/>
      <c r="U32" s="2993">
        <f>ROUND(SUM(Q32)-SUM(O32),1)</f>
        <v>0</v>
      </c>
      <c r="V32" s="1860"/>
      <c r="W32" s="1929"/>
      <c r="X32" s="1860"/>
      <c r="Y32" s="1929"/>
      <c r="Z32" s="1860"/>
      <c r="AA32" s="1860"/>
    </row>
    <row r="33" spans="1:48" ht="18" customHeight="1">
      <c r="A33" s="375" t="s">
        <v>122</v>
      </c>
      <c r="B33" s="353" t="s">
        <v>16</v>
      </c>
      <c r="C33" s="2812">
        <f>ROUND(SUM(C30:C32),1)</f>
        <v>356</v>
      </c>
      <c r="D33" s="1838"/>
      <c r="E33" s="2812">
        <f>ROUND(SUM(E30:E32),1)</f>
        <v>0</v>
      </c>
      <c r="F33" s="1838"/>
      <c r="G33" s="419">
        <f>ROUND(SUM(G30:G32),1)</f>
        <v>354.6</v>
      </c>
      <c r="H33" s="1838"/>
      <c r="I33" s="419">
        <f>ROUND(SUM(I30:I32),1)</f>
        <v>-1.4</v>
      </c>
      <c r="J33" s="273"/>
      <c r="K33" s="419">
        <f>ROUND(SUM(K30:K32),1)</f>
        <v>0</v>
      </c>
      <c r="L33" s="1875"/>
      <c r="M33" s="419">
        <f>ROUND(SUM(M30:M32),1)</f>
        <v>78</v>
      </c>
      <c r="N33" s="1838"/>
      <c r="O33" s="2812">
        <f>ROUND(SUM(O30:O32),1)</f>
        <v>0</v>
      </c>
      <c r="P33" s="1838"/>
      <c r="Q33" s="419">
        <f>ROUND(SUM(Q30:Q32),1)</f>
        <v>77.900000000000006</v>
      </c>
      <c r="R33" s="1838"/>
      <c r="S33" s="419">
        <f>ROUND(SUM(S30:S32),1)</f>
        <v>-0.1</v>
      </c>
      <c r="T33" s="273"/>
      <c r="U33" s="419">
        <f>ROUND(SUM(U30:U32),1)</f>
        <v>0</v>
      </c>
      <c r="V33" s="273"/>
      <c r="W33" s="273"/>
      <c r="X33" s="273"/>
      <c r="Y33" s="273"/>
      <c r="Z33" s="273"/>
      <c r="AA33" s="273"/>
    </row>
    <row r="34" spans="1:48">
      <c r="A34" s="1343"/>
      <c r="B34" s="1840" t="s">
        <v>16</v>
      </c>
      <c r="C34" s="2016"/>
      <c r="D34" s="1159"/>
      <c r="E34" s="2016"/>
      <c r="F34" s="1159"/>
      <c r="G34" s="1341"/>
      <c r="H34" s="1159"/>
      <c r="I34" s="1341"/>
      <c r="J34" s="1860"/>
      <c r="K34" s="1341"/>
      <c r="L34" s="1873"/>
      <c r="M34" s="1341"/>
      <c r="N34" s="1159"/>
      <c r="O34" s="2016"/>
      <c r="P34" s="1159"/>
      <c r="Q34" s="1341"/>
      <c r="R34" s="1159"/>
      <c r="S34" s="1341"/>
      <c r="T34" s="1860"/>
      <c r="U34" s="1341"/>
      <c r="V34" s="1860"/>
      <c r="W34" s="1860"/>
      <c r="X34" s="1860"/>
      <c r="Y34" s="1860"/>
      <c r="Z34" s="1860"/>
      <c r="AA34" s="1860"/>
    </row>
    <row r="35" spans="1:48" ht="15.6">
      <c r="A35" s="221" t="s">
        <v>103</v>
      </c>
      <c r="B35" s="1840"/>
      <c r="C35" s="1787"/>
      <c r="D35" s="1159"/>
      <c r="E35" s="1787"/>
      <c r="F35" s="1159"/>
      <c r="G35" s="1159"/>
      <c r="H35" s="1159"/>
      <c r="I35" s="1159"/>
      <c r="J35" s="1860"/>
      <c r="K35" s="1159"/>
      <c r="L35" s="1873"/>
      <c r="M35" s="1159"/>
      <c r="N35" s="1159"/>
      <c r="O35" s="1787"/>
      <c r="P35" s="1159"/>
      <c r="Q35" s="1159"/>
      <c r="R35" s="1159"/>
      <c r="S35" s="1159"/>
      <c r="T35" s="1860"/>
      <c r="U35" s="1159"/>
      <c r="V35" s="1860"/>
      <c r="W35" s="1860"/>
      <c r="X35" s="1860"/>
      <c r="Y35" s="1860"/>
      <c r="Z35" s="1860"/>
      <c r="AA35" s="1860"/>
    </row>
    <row r="36" spans="1:48" ht="15.6">
      <c r="A36" s="221" t="s">
        <v>104</v>
      </c>
      <c r="B36" s="1840"/>
      <c r="C36" s="1787"/>
      <c r="D36" s="1159"/>
      <c r="E36" s="1787"/>
      <c r="F36" s="1159"/>
      <c r="G36" s="1159"/>
      <c r="H36" s="1159"/>
      <c r="I36" s="1159"/>
      <c r="J36" s="1860"/>
      <c r="K36" s="1159"/>
      <c r="L36" s="1873"/>
      <c r="M36" s="1159"/>
      <c r="N36" s="1159"/>
      <c r="O36" s="1787"/>
      <c r="P36" s="1159"/>
      <c r="Q36" s="1159"/>
      <c r="R36" s="1159"/>
      <c r="S36" s="1159"/>
      <c r="T36" s="1860"/>
      <c r="U36" s="1159"/>
      <c r="V36" s="1860"/>
      <c r="W36" s="1860"/>
      <c r="X36" s="1860"/>
      <c r="Y36" s="1860"/>
      <c r="Z36" s="1860"/>
      <c r="AA36" s="1860"/>
    </row>
    <row r="37" spans="1:48" ht="15.6">
      <c r="A37" s="375" t="s">
        <v>105</v>
      </c>
      <c r="B37" s="376" t="s">
        <v>16</v>
      </c>
      <c r="C37" s="315">
        <f>ROUND(SUM(C27)-SUM(C33),1)</f>
        <v>-15</v>
      </c>
      <c r="D37" s="284"/>
      <c r="E37" s="315">
        <f>ROUND(SUM(E27)-SUM(E33),1)</f>
        <v>0</v>
      </c>
      <c r="F37" s="284"/>
      <c r="G37" s="273">
        <f>ROUND(SUM(G27)-SUM(G33),1)</f>
        <v>-15.5</v>
      </c>
      <c r="H37" s="284"/>
      <c r="I37" s="273">
        <f>ROUND(SUM(I27)-SUM(I33),1)</f>
        <v>-0.5</v>
      </c>
      <c r="J37" s="273"/>
      <c r="K37" s="273">
        <f>ROUND(SUM(K27)-SUM(K33),1)</f>
        <v>0</v>
      </c>
      <c r="L37" s="1875"/>
      <c r="M37" s="273">
        <f>ROUND(SUM(M27)-SUM(M33),1)</f>
        <v>47</v>
      </c>
      <c r="N37" s="284"/>
      <c r="O37" s="315">
        <f>ROUND(SUM(O27)-SUM(O33),1)</f>
        <v>0</v>
      </c>
      <c r="P37" s="284"/>
      <c r="Q37" s="273">
        <f>ROUND(SUM(Q27)-SUM(Q33),1)</f>
        <v>49.3</v>
      </c>
      <c r="R37" s="284"/>
      <c r="S37" s="273">
        <f>ROUND(SUM(S27)-SUM(S33),1)</f>
        <v>2.2999999999999998</v>
      </c>
      <c r="T37" s="284"/>
      <c r="U37" s="273">
        <f>ROUND(SUM(U27)-SUM(U33),1)</f>
        <v>0</v>
      </c>
      <c r="V37" s="741"/>
      <c r="W37" s="273"/>
      <c r="X37" s="741"/>
      <c r="Y37" s="273"/>
      <c r="Z37" s="741"/>
      <c r="AA37" s="273"/>
      <c r="AB37" s="1137"/>
    </row>
    <row r="38" spans="1:48" ht="15.6">
      <c r="B38" s="1137"/>
      <c r="C38" s="2813"/>
      <c r="D38" s="1849"/>
      <c r="E38" s="2813"/>
      <c r="F38" s="1849"/>
      <c r="G38" s="1255"/>
      <c r="H38" s="1849"/>
      <c r="I38" s="1255"/>
      <c r="J38" s="1255"/>
      <c r="K38" s="1255"/>
      <c r="L38" s="1875"/>
      <c r="M38" s="1255"/>
      <c r="N38" s="1849"/>
      <c r="O38" s="2813"/>
      <c r="P38" s="1849"/>
      <c r="Q38" s="1255"/>
      <c r="R38" s="1849"/>
      <c r="S38" s="1255"/>
      <c r="T38" s="1255"/>
      <c r="U38" s="1255"/>
      <c r="V38" s="1255"/>
      <c r="W38" s="1255"/>
      <c r="X38" s="1255"/>
      <c r="Y38" s="1255"/>
      <c r="Z38" s="1255"/>
      <c r="AA38" s="1255"/>
    </row>
    <row r="39" spans="1:48" ht="15.6">
      <c r="A39" s="375" t="s">
        <v>106</v>
      </c>
      <c r="B39" s="1851" t="s">
        <v>16</v>
      </c>
      <c r="C39" s="315">
        <v>-333</v>
      </c>
      <c r="D39" s="1849"/>
      <c r="E39" s="315">
        <v>0</v>
      </c>
      <c r="F39" s="1849"/>
      <c r="G39" s="273">
        <v>-331.5</v>
      </c>
      <c r="H39" s="1849"/>
      <c r="I39" s="281">
        <f>ROUND(SUM(G39-C39),1)</f>
        <v>1.5</v>
      </c>
      <c r="J39" s="281"/>
      <c r="K39" s="281">
        <v>0</v>
      </c>
      <c r="L39" s="1875"/>
      <c r="M39" s="315">
        <v>-558</v>
      </c>
      <c r="N39" s="1849"/>
      <c r="O39" s="315">
        <v>0</v>
      </c>
      <c r="P39" s="1849"/>
      <c r="Q39" s="273">
        <v>-559.29999999999995</v>
      </c>
      <c r="R39" s="1849"/>
      <c r="S39" s="281">
        <f>ROUND(SUM(Q39-M39),1)</f>
        <v>-1.3</v>
      </c>
      <c r="T39" s="1255"/>
      <c r="U39" s="281">
        <v>0</v>
      </c>
      <c r="V39" s="1255"/>
      <c r="W39" s="273"/>
      <c r="X39" s="1255"/>
      <c r="Y39" s="273"/>
      <c r="Z39" s="1255"/>
      <c r="AA39" s="281"/>
      <c r="AB39" s="1137"/>
      <c r="AC39" s="1137"/>
      <c r="AD39" s="1137"/>
      <c r="AE39" s="1137"/>
      <c r="AF39" s="1137"/>
      <c r="AG39" s="1137"/>
      <c r="AH39" s="1137"/>
      <c r="AI39" s="1137"/>
      <c r="AJ39" s="1137"/>
      <c r="AK39" s="1137"/>
      <c r="AL39" s="1137"/>
      <c r="AM39" s="1137"/>
      <c r="AN39" s="1137"/>
      <c r="AO39" s="1137"/>
      <c r="AP39" s="1137"/>
      <c r="AQ39" s="1137"/>
      <c r="AR39" s="1137"/>
      <c r="AS39" s="1137"/>
      <c r="AT39" s="1137"/>
      <c r="AU39" s="1137"/>
      <c r="AV39" s="1852"/>
    </row>
    <row r="40" spans="1:48" ht="16.2" thickBot="1">
      <c r="A40" s="2640" t="str">
        <f>+'Exh D-Governmental  '!A50</f>
        <v>Fund Balances (Deficits) at April 30, 2016</v>
      </c>
      <c r="B40" s="382" t="s">
        <v>16</v>
      </c>
      <c r="C40" s="298">
        <f>ROUND(SUM(C37:C39),1)</f>
        <v>-348</v>
      </c>
      <c r="D40" s="383"/>
      <c r="E40" s="298">
        <f>ROUND(SUM(E37:E39),1)</f>
        <v>0</v>
      </c>
      <c r="F40" s="383"/>
      <c r="G40" s="298">
        <f>ROUND(SUM(G37:G39),1)</f>
        <v>-347</v>
      </c>
      <c r="H40" s="383"/>
      <c r="I40" s="298">
        <f>ROUND(SUM(I37:I39),1)</f>
        <v>1</v>
      </c>
      <c r="J40" s="423"/>
      <c r="K40" s="298">
        <f>ROUND(SUM(K37:K39),1)</f>
        <v>0</v>
      </c>
      <c r="L40" s="1877"/>
      <c r="M40" s="298">
        <f>ROUND(SUM(M37:M39),1)</f>
        <v>-511</v>
      </c>
      <c r="N40" s="383"/>
      <c r="O40" s="298">
        <f>ROUND(SUM(O37:O39),1)</f>
        <v>0</v>
      </c>
      <c r="P40" s="383"/>
      <c r="Q40" s="298">
        <f>ROUND(SUM(Q37:Q39),1)</f>
        <v>-510</v>
      </c>
      <c r="R40" s="383"/>
      <c r="S40" s="298">
        <f>ROUND(SUM(S37:S39),1)</f>
        <v>1</v>
      </c>
      <c r="T40" s="383"/>
      <c r="U40" s="298">
        <f>ROUND(SUM(U37:U39),1)</f>
        <v>0</v>
      </c>
      <c r="V40" s="1930"/>
      <c r="W40" s="423"/>
      <c r="X40" s="1930"/>
      <c r="Y40" s="423"/>
      <c r="Z40" s="1930"/>
      <c r="AA40" s="423"/>
      <c r="AB40" s="1137"/>
      <c r="AC40" s="1137"/>
      <c r="AD40" s="1137"/>
      <c r="AE40" s="1137"/>
      <c r="AF40" s="1137"/>
      <c r="AG40" s="1137"/>
      <c r="AH40" s="1137"/>
      <c r="AI40" s="1137"/>
      <c r="AJ40" s="1137"/>
      <c r="AK40" s="1137"/>
      <c r="AL40" s="1137"/>
      <c r="AM40" s="1137"/>
      <c r="AN40" s="1137"/>
      <c r="AO40" s="1137"/>
      <c r="AP40" s="1137"/>
      <c r="AQ40" s="1137"/>
      <c r="AR40" s="1137"/>
      <c r="AS40" s="1137"/>
      <c r="AT40" s="1137"/>
      <c r="AU40" s="1137"/>
      <c r="AV40" s="1852"/>
    </row>
    <row r="41" spans="1:48" ht="15.6" thickTop="1">
      <c r="B41" s="1137"/>
      <c r="L41" s="1137"/>
      <c r="N41" s="1852"/>
      <c r="P41" s="1852"/>
      <c r="Q41" s="1878"/>
      <c r="R41" s="1852"/>
      <c r="S41" s="1852"/>
      <c r="U41" s="1852"/>
      <c r="W41" s="1137"/>
      <c r="Y41" s="1850"/>
    </row>
    <row r="42" spans="1:48">
      <c r="A42" s="1853" t="s">
        <v>1526</v>
      </c>
      <c r="B42" s="1137"/>
      <c r="S42" s="2700"/>
    </row>
    <row r="43" spans="1:48">
      <c r="A43" s="2851" t="s">
        <v>1491</v>
      </c>
      <c r="B43" s="1137"/>
      <c r="J43" s="1852"/>
      <c r="K43" s="1137"/>
      <c r="L43" s="789"/>
      <c r="U43" s="1137"/>
      <c r="W43" s="1137"/>
      <c r="AB43" s="1137"/>
      <c r="AC43" s="1137"/>
      <c r="AD43" s="1137"/>
      <c r="AE43" s="1137"/>
      <c r="AF43" s="1137"/>
      <c r="AG43" s="1137"/>
      <c r="AH43" s="1137"/>
      <c r="AI43" s="1137"/>
      <c r="AJ43" s="1137"/>
      <c r="AK43" s="1852"/>
    </row>
    <row r="44" spans="1:48">
      <c r="A44" s="2851" t="s">
        <v>1492</v>
      </c>
      <c r="B44" s="1137"/>
      <c r="Y44" s="1865"/>
      <c r="Z44" s="1840"/>
      <c r="AA44" s="1865"/>
      <c r="AB44" s="1237"/>
      <c r="AC44" s="1879"/>
    </row>
    <row r="45" spans="1:48">
      <c r="A45" s="2851"/>
      <c r="B45" s="1137"/>
    </row>
    <row r="46" spans="1:48">
      <c r="A46" s="2027"/>
      <c r="B46" s="1137"/>
    </row>
    <row r="47" spans="1:48">
      <c r="A47" s="385"/>
      <c r="B47" s="1137"/>
    </row>
    <row r="48" spans="1:48">
      <c r="B48" s="1137"/>
    </row>
    <row r="49" spans="2:7">
      <c r="B49" s="1137"/>
    </row>
    <row r="52" spans="2:7">
      <c r="G52" s="1878"/>
    </row>
  </sheetData>
  <customSheetViews>
    <customSheetView guid="{8EE6466D-211E-4E05-9F84-CC0A1C6F79F4}" scale="60" showGridLines="0" fitToPage="1" hiddenColumns="1">
      <selection activeCell="A41" sqref="A41"/>
      <pageMargins left="0.2" right="0.2" top="0.75" bottom="0.75" header="0.3" footer="0.3"/>
      <printOptions horizontalCentered="1"/>
      <pageSetup scale="49" orientation="landscape" r:id="rId1"/>
      <headerFooter scaleWithDoc="0">
        <oddFooter>&amp;C&amp;8 14</oddFooter>
      </headerFooter>
    </customSheetView>
  </customSheetViews>
  <mergeCells count="3">
    <mergeCell ref="A5:E5"/>
    <mergeCell ref="C11:I11"/>
    <mergeCell ref="M11:S11"/>
  </mergeCells>
  <printOptions horizontalCentered="1"/>
  <pageMargins left="0.2" right="0.2" top="0.5" bottom="0.75" header="0.3" footer="0.3"/>
  <pageSetup scale="49" firstPageNumber="14" orientation="landscape" useFirstPageNumber="1" r:id="rId2"/>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42">
    <pageSetUpPr fitToPage="1"/>
  </sheetPr>
  <dimension ref="A1:AL58"/>
  <sheetViews>
    <sheetView zoomScale="70" zoomScaleNormal="70" workbookViewId="0"/>
  </sheetViews>
  <sheetFormatPr defaultColWidth="9.6328125" defaultRowHeight="13.2"/>
  <cols>
    <col min="1" max="1" width="32.36328125" style="2595" customWidth="1"/>
    <col min="2" max="2" width="10.81640625" style="2595" customWidth="1"/>
    <col min="3" max="3" width="3.453125" style="2595" customWidth="1"/>
    <col min="4" max="4" width="12.08984375" style="2595" customWidth="1"/>
    <col min="5" max="5" width="1.6328125" style="2595" customWidth="1"/>
    <col min="6" max="6" width="17" style="2595" bestFit="1" customWidth="1"/>
    <col min="7" max="7" width="1.6328125" style="2595" customWidth="1"/>
    <col min="8" max="8" width="12.08984375" style="2595" customWidth="1"/>
    <col min="9" max="9" width="1.6328125" style="2595" customWidth="1"/>
    <col min="10" max="10" width="12.08984375" style="2595" customWidth="1"/>
    <col min="11" max="11" width="1.6328125" style="2595" customWidth="1"/>
    <col min="12" max="12" width="12.08984375" style="2595" customWidth="1"/>
    <col min="13" max="13" width="1.6328125" style="2595" customWidth="1"/>
    <col min="14" max="14" width="13" style="2595" customWidth="1"/>
    <col min="15" max="15" width="1.6328125" style="2595" customWidth="1"/>
    <col min="16" max="16" width="12.08984375" style="2595" customWidth="1"/>
    <col min="17" max="17" width="1.6328125" style="2595" customWidth="1"/>
    <col min="18" max="18" width="12.08984375" style="2595" customWidth="1"/>
    <col min="19" max="19" width="1.6328125" style="2595" customWidth="1"/>
    <col min="20" max="20" width="1" style="2595" customWidth="1"/>
    <col min="21" max="21" width="1.6328125" style="2595" customWidth="1"/>
    <col min="22" max="22" width="12.08984375" style="2595" customWidth="1"/>
    <col min="23" max="23" width="1.6328125" style="2595" customWidth="1"/>
    <col min="24" max="24" width="17" style="2595" bestFit="1" customWidth="1"/>
    <col min="25" max="25" width="1.6328125" style="2595" customWidth="1"/>
    <col min="26" max="26" width="1" style="2595" customWidth="1"/>
    <col min="27" max="27" width="1.6328125" style="2595" customWidth="1"/>
    <col min="28" max="28" width="12.08984375" style="2595" customWidth="1"/>
    <col min="29" max="29" width="1.6328125" style="2595" customWidth="1"/>
    <col min="30" max="30" width="16.1796875" style="2595" bestFit="1" customWidth="1"/>
    <col min="31" max="31" width="1.54296875" style="2595" customWidth="1"/>
    <col min="32" max="32" width="0.453125" style="2595" customWidth="1"/>
    <col min="33" max="33" width="1.54296875" style="2595" customWidth="1"/>
    <col min="34" max="34" width="14.54296875" style="2595" bestFit="1" customWidth="1"/>
    <col min="35" max="35" width="1.6328125" style="2595" customWidth="1"/>
    <col min="36" max="36" width="13.36328125" style="2595" customWidth="1"/>
    <col min="37" max="37" width="2.1796875" style="2595" customWidth="1"/>
    <col min="38" max="38" width="1.6328125" style="2595" customWidth="1"/>
    <col min="39" max="16384" width="9.6328125" style="2595"/>
  </cols>
  <sheetData>
    <row r="1" spans="1:38" s="2854" customFormat="1" ht="15">
      <c r="A1" s="1172" t="s">
        <v>1103</v>
      </c>
    </row>
    <row r="2" spans="1:38" s="2593" customFormat="1">
      <c r="A2" s="2858"/>
      <c r="B2" s="2859"/>
      <c r="C2" s="2859"/>
      <c r="D2" s="2859"/>
      <c r="E2" s="2859"/>
      <c r="F2" s="2859"/>
      <c r="G2" s="2859"/>
      <c r="H2" s="2859"/>
      <c r="I2" s="2859"/>
      <c r="J2" s="2859"/>
      <c r="K2" s="2859"/>
      <c r="L2" s="2859"/>
      <c r="M2" s="2859"/>
      <c r="N2" s="2859"/>
      <c r="O2" s="2859"/>
      <c r="P2" s="2859"/>
      <c r="Q2" s="2859"/>
      <c r="R2" s="2859"/>
      <c r="S2" s="2859"/>
      <c r="T2" s="2859"/>
      <c r="U2" s="2859"/>
      <c r="V2" s="2859"/>
      <c r="W2" s="2859"/>
      <c r="X2" s="2859"/>
      <c r="Y2" s="2859"/>
      <c r="Z2" s="2859"/>
      <c r="AA2" s="2859"/>
      <c r="AB2" s="2859"/>
      <c r="AC2" s="2859"/>
      <c r="AD2" s="2859"/>
      <c r="AE2" s="2859"/>
      <c r="AF2" s="2859"/>
      <c r="AG2" s="2859"/>
      <c r="AH2" s="2859"/>
    </row>
    <row r="3" spans="1:38" ht="17.399999999999999">
      <c r="A3" s="2860" t="s">
        <v>0</v>
      </c>
      <c r="B3" s="2861"/>
      <c r="C3" s="2861"/>
      <c r="D3" s="2861"/>
      <c r="E3" s="2861"/>
      <c r="F3" s="2861"/>
      <c r="G3" s="2861"/>
      <c r="H3" s="2861"/>
      <c r="I3" s="2861"/>
      <c r="J3" s="2861"/>
      <c r="K3" s="2861"/>
      <c r="L3" s="2862"/>
      <c r="M3" s="2862"/>
      <c r="N3" s="2862"/>
      <c r="O3" s="2862"/>
      <c r="P3" s="2861"/>
      <c r="Q3" s="2861"/>
      <c r="R3" s="2861"/>
      <c r="S3" s="2862"/>
      <c r="T3" s="2861"/>
      <c r="U3" s="2862"/>
      <c r="V3" s="2862"/>
      <c r="W3" s="2862"/>
      <c r="X3" s="2862"/>
      <c r="Y3" s="2862"/>
      <c r="Z3" s="2862"/>
      <c r="AA3" s="2862"/>
      <c r="AB3" s="2862"/>
      <c r="AC3" s="2862"/>
      <c r="AD3" s="2862"/>
      <c r="AE3" s="2862"/>
      <c r="AF3" s="2861"/>
      <c r="AG3" s="2861"/>
      <c r="AH3" s="2594"/>
      <c r="AI3" s="2594"/>
    </row>
    <row r="4" spans="1:38" ht="17.399999999999999">
      <c r="A4" s="2863" t="s">
        <v>1</v>
      </c>
      <c r="B4" s="2861"/>
      <c r="C4" s="2861"/>
      <c r="D4" s="2861"/>
      <c r="E4" s="2861"/>
      <c r="F4" s="2861"/>
      <c r="G4" s="2861"/>
      <c r="H4" s="2861"/>
      <c r="I4" s="2861"/>
      <c r="J4" s="2861"/>
      <c r="K4" s="2861"/>
      <c r="L4" s="2862"/>
      <c r="M4" s="2862"/>
      <c r="N4" s="2862"/>
      <c r="O4" s="2862"/>
      <c r="P4" s="2861"/>
      <c r="Q4" s="2861"/>
      <c r="R4" s="2861"/>
      <c r="S4" s="2862"/>
      <c r="T4" s="2861"/>
      <c r="U4" s="2862"/>
      <c r="V4" s="2862"/>
      <c r="W4" s="2862"/>
      <c r="X4" s="2862"/>
      <c r="Y4" s="2862"/>
      <c r="Z4" s="2862"/>
      <c r="AA4" s="2862"/>
      <c r="AB4" s="2862"/>
      <c r="AC4" s="2862"/>
      <c r="AD4" s="2862"/>
      <c r="AE4" s="2862"/>
      <c r="AF4" s="2861"/>
      <c r="AG4" s="2861"/>
      <c r="AH4" s="2594"/>
      <c r="AI4" s="2594"/>
    </row>
    <row r="5" spans="1:38" ht="17.399999999999999">
      <c r="A5" s="2860" t="s">
        <v>1433</v>
      </c>
      <c r="B5" s="2861"/>
      <c r="C5" s="2861"/>
      <c r="D5" s="2861"/>
      <c r="E5" s="2861"/>
      <c r="F5" s="2861"/>
      <c r="G5" s="2861"/>
      <c r="H5" s="2862"/>
      <c r="I5" s="2862"/>
      <c r="J5" s="2862"/>
      <c r="K5" s="2861"/>
      <c r="L5" s="2862"/>
      <c r="M5" s="2862"/>
      <c r="N5" s="2862"/>
      <c r="O5" s="2862"/>
      <c r="P5" s="2861"/>
      <c r="Q5" s="2861"/>
      <c r="R5" s="2861"/>
      <c r="S5" s="2862"/>
      <c r="T5" s="2861"/>
      <c r="U5" s="2862"/>
      <c r="V5" s="2862"/>
      <c r="W5" s="2862"/>
      <c r="X5" s="2862"/>
      <c r="Y5" s="2862"/>
      <c r="Z5" s="2862"/>
      <c r="AA5" s="2862"/>
      <c r="AB5" s="2862"/>
      <c r="AC5" s="2862"/>
      <c r="AD5" s="2862"/>
      <c r="AE5" s="2862"/>
      <c r="AF5" s="2861"/>
      <c r="AG5" s="2861"/>
      <c r="AH5" s="2594"/>
      <c r="AI5" s="2594"/>
    </row>
    <row r="6" spans="1:38" ht="14.1" customHeight="1">
      <c r="A6" s="2860" t="s">
        <v>991</v>
      </c>
      <c r="B6" s="2861"/>
      <c r="C6" s="2861"/>
      <c r="D6" s="2861"/>
      <c r="E6" s="2861"/>
      <c r="F6" s="2861"/>
      <c r="G6" s="2861"/>
      <c r="H6" s="2861"/>
      <c r="I6" s="2861"/>
      <c r="J6" s="2861"/>
      <c r="K6" s="2861"/>
      <c r="L6" s="2862"/>
      <c r="M6" s="2862"/>
      <c r="N6" s="2862"/>
      <c r="O6" s="2862"/>
      <c r="P6" s="2861"/>
      <c r="Q6" s="2861"/>
      <c r="R6" s="2861"/>
      <c r="S6" s="2862"/>
      <c r="T6" s="2861"/>
      <c r="U6" s="2862"/>
      <c r="V6" s="2862"/>
      <c r="W6" s="2862"/>
      <c r="X6" s="2862"/>
      <c r="Y6" s="2862"/>
      <c r="Z6" s="2862"/>
      <c r="AA6" s="2862"/>
      <c r="AB6" s="2862"/>
      <c r="AC6" s="2862"/>
      <c r="AD6" s="2862"/>
      <c r="AE6" s="2862"/>
      <c r="AF6" s="2861"/>
      <c r="AG6" s="2861"/>
      <c r="AH6" s="2594"/>
      <c r="AI6" s="2594"/>
    </row>
    <row r="7" spans="1:38" ht="17.399999999999999">
      <c r="A7" s="2861"/>
      <c r="B7" s="2861"/>
      <c r="C7" s="2861"/>
      <c r="D7" s="2861"/>
      <c r="E7" s="2861"/>
      <c r="F7" s="2861"/>
      <c r="G7" s="2861"/>
      <c r="H7" s="2861"/>
      <c r="I7" s="2861"/>
      <c r="J7" s="2861"/>
      <c r="K7" s="2861"/>
      <c r="L7" s="2862"/>
      <c r="M7" s="2862"/>
      <c r="N7" s="2862"/>
      <c r="O7" s="2862"/>
      <c r="P7" s="2862"/>
      <c r="Q7" s="2862"/>
      <c r="R7" s="2862"/>
      <c r="S7" s="2862"/>
      <c r="T7" s="2862"/>
      <c r="U7" s="2862"/>
      <c r="V7" s="2862"/>
      <c r="W7" s="2862"/>
      <c r="X7" s="2862"/>
      <c r="Y7" s="2862"/>
      <c r="Z7" s="2862"/>
      <c r="AA7" s="2862"/>
      <c r="AB7" s="2864"/>
      <c r="AC7" s="2864"/>
      <c r="AD7" s="2864"/>
      <c r="AE7" s="2864"/>
      <c r="AF7" s="2861"/>
      <c r="AG7" s="2861"/>
      <c r="AH7" s="2594"/>
      <c r="AI7" s="2594"/>
      <c r="AJ7" s="2865" t="s">
        <v>1021</v>
      </c>
    </row>
    <row r="8" spans="1:38" ht="15.6">
      <c r="A8" s="1256"/>
      <c r="B8" s="1256"/>
      <c r="C8" s="1256"/>
      <c r="D8" s="1256"/>
      <c r="E8" s="1256"/>
      <c r="F8" s="1256"/>
      <c r="G8" s="1256"/>
      <c r="H8" s="1256"/>
      <c r="I8" s="1256"/>
      <c r="J8" s="1256"/>
      <c r="K8" s="1256"/>
      <c r="L8" s="1257"/>
      <c r="M8" s="1257"/>
      <c r="N8" s="1257"/>
      <c r="O8" s="1257"/>
      <c r="P8" s="1257"/>
      <c r="Q8" s="1257"/>
      <c r="R8" s="1257"/>
      <c r="S8" s="1257"/>
      <c r="T8" s="1257"/>
      <c r="U8" s="1257"/>
      <c r="V8" s="1257"/>
      <c r="W8" s="1257"/>
      <c r="X8" s="1257"/>
      <c r="Y8" s="1257"/>
      <c r="Z8" s="1257"/>
      <c r="AA8" s="1257"/>
      <c r="AB8" s="1257"/>
      <c r="AC8" s="1257"/>
      <c r="AD8" s="1257"/>
      <c r="AE8" s="1257"/>
      <c r="AF8" s="1256"/>
      <c r="AG8" s="1256"/>
      <c r="AH8" s="2594"/>
      <c r="AI8" s="2594"/>
    </row>
    <row r="9" spans="1:38" ht="15.6">
      <c r="A9" s="1256"/>
      <c r="B9" s="1256"/>
      <c r="C9" s="1256"/>
      <c r="D9" s="1257"/>
      <c r="E9" s="1257"/>
      <c r="F9" s="1257"/>
      <c r="G9" s="1257"/>
      <c r="H9" s="1257"/>
      <c r="I9" s="1257"/>
      <c r="J9" s="1257"/>
      <c r="K9" s="1257"/>
      <c r="L9" s="1257"/>
      <c r="M9" s="1257"/>
      <c r="N9" s="1257"/>
      <c r="O9" s="1257"/>
      <c r="P9" s="1257"/>
      <c r="Q9" s="1257"/>
      <c r="R9" s="1257"/>
      <c r="S9" s="1257"/>
      <c r="T9" s="1257"/>
      <c r="U9" s="1257"/>
      <c r="V9" s="2866"/>
      <c r="W9" s="2866"/>
      <c r="X9" s="2866"/>
      <c r="Y9" s="2866"/>
      <c r="Z9" s="2866"/>
      <c r="AA9" s="2866"/>
      <c r="AB9" s="2866"/>
      <c r="AC9" s="2866"/>
      <c r="AD9" s="2866"/>
      <c r="AE9" s="2866"/>
      <c r="AF9" s="1257"/>
      <c r="AG9" s="1257"/>
      <c r="AH9" s="2867"/>
      <c r="AI9" s="2867"/>
    </row>
    <row r="10" spans="1:38" ht="3.9" customHeight="1">
      <c r="A10" s="1256"/>
      <c r="B10" s="1256"/>
      <c r="C10" s="1256"/>
      <c r="D10" s="1256"/>
      <c r="E10" s="1256"/>
      <c r="F10" s="1256"/>
      <c r="G10" s="1256"/>
      <c r="H10" s="1256"/>
      <c r="I10" s="1256"/>
      <c r="J10" s="1256"/>
      <c r="K10" s="1256"/>
      <c r="L10" s="1256"/>
      <c r="M10" s="1256"/>
      <c r="N10" s="1256"/>
      <c r="O10" s="1256"/>
      <c r="P10" s="1256"/>
      <c r="Q10" s="1256"/>
      <c r="R10" s="1256"/>
      <c r="S10" s="1256"/>
      <c r="T10" s="1113"/>
      <c r="U10" s="1113"/>
      <c r="V10" s="1256"/>
      <c r="W10" s="1256"/>
      <c r="X10" s="1256"/>
      <c r="Y10" s="1256"/>
      <c r="Z10" s="1256"/>
      <c r="AA10" s="1256"/>
      <c r="AB10" s="1256"/>
      <c r="AC10" s="1256"/>
      <c r="AD10" s="1256"/>
      <c r="AE10" s="1256"/>
      <c r="AF10" s="1256"/>
      <c r="AG10" s="1256"/>
      <c r="AH10" s="2594"/>
      <c r="AI10" s="2594"/>
    </row>
    <row r="11" spans="1:38" ht="15" customHeight="1">
      <c r="A11" s="1256"/>
      <c r="B11" s="1256"/>
      <c r="C11" s="1256"/>
      <c r="D11" s="2868" t="s">
        <v>3</v>
      </c>
      <c r="E11" s="2868"/>
      <c r="F11" s="2868"/>
      <c r="G11" s="1113"/>
      <c r="H11" s="2868" t="s">
        <v>59</v>
      </c>
      <c r="I11" s="2868"/>
      <c r="J11" s="2868"/>
      <c r="K11" s="1113"/>
      <c r="L11" s="2868" t="s">
        <v>5</v>
      </c>
      <c r="M11" s="2868"/>
      <c r="N11" s="2868"/>
      <c r="O11" s="1113"/>
      <c r="P11" s="2868" t="s">
        <v>125</v>
      </c>
      <c r="Q11" s="2868"/>
      <c r="R11" s="2868"/>
      <c r="S11" s="1256"/>
      <c r="T11" s="1113"/>
      <c r="U11" s="1113"/>
      <c r="V11" s="2869" t="s">
        <v>1022</v>
      </c>
      <c r="W11" s="2868"/>
      <c r="X11" s="2868"/>
      <c r="Y11" s="2868"/>
      <c r="Z11" s="2870"/>
      <c r="AA11" s="2870"/>
      <c r="AB11" s="2868"/>
      <c r="AC11" s="2868"/>
      <c r="AD11" s="2868"/>
      <c r="AE11" s="2871"/>
      <c r="AF11" s="2872"/>
      <c r="AG11" s="199"/>
      <c r="AH11" s="2869" t="s">
        <v>1023</v>
      </c>
      <c r="AI11" s="2868"/>
      <c r="AJ11" s="2868"/>
    </row>
    <row r="12" spans="1:38" ht="15.6">
      <c r="A12" s="1256"/>
      <c r="B12" s="1256"/>
      <c r="C12" s="1256"/>
      <c r="D12" s="2873" t="s">
        <v>7</v>
      </c>
      <c r="E12" s="2873"/>
      <c r="F12" s="2874" t="s">
        <v>1467</v>
      </c>
      <c r="G12" s="199"/>
      <c r="H12" s="2873" t="s">
        <v>7</v>
      </c>
      <c r="I12" s="2875"/>
      <c r="J12" s="2876" t="str">
        <f>F12</f>
        <v>1 MO. ENDED</v>
      </c>
      <c r="K12" s="199"/>
      <c r="L12" s="2873" t="s">
        <v>7</v>
      </c>
      <c r="M12" s="2877"/>
      <c r="N12" s="2876" t="str">
        <f>F12</f>
        <v>1 MO. ENDED</v>
      </c>
      <c r="O12" s="199"/>
      <c r="P12" s="2873" t="s">
        <v>7</v>
      </c>
      <c r="Q12" s="2875"/>
      <c r="R12" s="2876" t="str">
        <f>F12</f>
        <v>1 MO. ENDED</v>
      </c>
      <c r="S12" s="1257"/>
      <c r="T12" s="199"/>
      <c r="U12" s="199"/>
      <c r="V12" s="2873" t="s">
        <v>7</v>
      </c>
      <c r="W12" s="2873"/>
      <c r="X12" s="2873" t="str">
        <f>F12</f>
        <v>1 MO. ENDED</v>
      </c>
      <c r="Y12" s="2873"/>
      <c r="Z12" s="2878"/>
      <c r="AA12" s="2878"/>
      <c r="AB12" s="2873" t="s">
        <v>7</v>
      </c>
      <c r="AC12" s="2873"/>
      <c r="AD12" s="2876" t="str">
        <f>F12</f>
        <v>1 MO. ENDED</v>
      </c>
      <c r="AE12" s="2879"/>
      <c r="AF12" s="2878"/>
      <c r="AG12" s="2880"/>
      <c r="AH12" s="2881" t="s">
        <v>8</v>
      </c>
      <c r="AI12" s="2882"/>
      <c r="AJ12" s="2881" t="s">
        <v>9</v>
      </c>
      <c r="AK12" s="2596"/>
      <c r="AL12" s="2594"/>
    </row>
    <row r="13" spans="1:38" ht="15.6">
      <c r="A13" s="1256"/>
      <c r="B13" s="1256"/>
      <c r="C13" s="1256"/>
      <c r="D13" s="2883" t="s">
        <v>1466</v>
      </c>
      <c r="E13" s="2884"/>
      <c r="F13" s="2883" t="s">
        <v>1468</v>
      </c>
      <c r="G13" s="1257"/>
      <c r="H13" s="2885" t="str">
        <f>D13</f>
        <v>APR. 2016</v>
      </c>
      <c r="I13" s="2884"/>
      <c r="J13" s="2885" t="str">
        <f>F13</f>
        <v>APR. 30, 2016</v>
      </c>
      <c r="K13" s="1257"/>
      <c r="L13" s="2885" t="str">
        <f>D13</f>
        <v>APR. 2016</v>
      </c>
      <c r="M13" s="2884"/>
      <c r="N13" s="2885" t="str">
        <f>F13</f>
        <v>APR. 30, 2016</v>
      </c>
      <c r="O13" s="1257"/>
      <c r="P13" s="2885" t="str">
        <f>D13</f>
        <v>APR. 2016</v>
      </c>
      <c r="Q13" s="2884"/>
      <c r="R13" s="2885" t="str">
        <f>F13</f>
        <v>APR. 30, 2016</v>
      </c>
      <c r="S13" s="1257"/>
      <c r="T13" s="199"/>
      <c r="U13" s="199"/>
      <c r="V13" s="2886" t="str">
        <f>D13</f>
        <v>APR. 2016</v>
      </c>
      <c r="W13" s="2887"/>
      <c r="X13" s="2886" t="str">
        <f>F13</f>
        <v>APR. 30, 2016</v>
      </c>
      <c r="Y13" s="2887"/>
      <c r="Z13" s="2888"/>
      <c r="AA13" s="2888"/>
      <c r="AB13" s="2889" t="s">
        <v>1480</v>
      </c>
      <c r="AC13" s="2890"/>
      <c r="AD13" s="2889" t="s">
        <v>1481</v>
      </c>
      <c r="AE13" s="2890"/>
      <c r="AF13" s="2888"/>
      <c r="AG13" s="2887"/>
      <c r="AH13" s="2883" t="s">
        <v>13</v>
      </c>
      <c r="AI13" s="2884"/>
      <c r="AJ13" s="2883" t="s">
        <v>14</v>
      </c>
      <c r="AK13" s="2596"/>
      <c r="AL13" s="2597"/>
    </row>
    <row r="14" spans="1:38" ht="15">
      <c r="A14" s="1256"/>
      <c r="B14" s="1256"/>
      <c r="C14" s="1256"/>
      <c r="D14" s="1113"/>
      <c r="E14" s="1113"/>
      <c r="F14" s="1113"/>
      <c r="G14" s="1256"/>
      <c r="H14" s="1113"/>
      <c r="I14" s="1113"/>
      <c r="J14" s="1113"/>
      <c r="K14" s="1256"/>
      <c r="L14" s="1113"/>
      <c r="M14" s="1113"/>
      <c r="N14" s="1113"/>
      <c r="O14" s="1256"/>
      <c r="P14" s="1113"/>
      <c r="Q14" s="1113"/>
      <c r="R14" s="1113"/>
      <c r="S14" s="1256"/>
      <c r="T14" s="2891"/>
      <c r="U14" s="2891"/>
      <c r="V14" s="2892"/>
      <c r="W14" s="1113"/>
      <c r="X14" s="2892"/>
      <c r="Y14" s="1113"/>
      <c r="Z14" s="2893"/>
      <c r="AA14" s="1113"/>
      <c r="AB14" s="2892"/>
      <c r="AC14" s="1113"/>
      <c r="AD14" s="2892"/>
      <c r="AE14" s="1113"/>
      <c r="AF14" s="2894"/>
      <c r="AG14" s="1113"/>
      <c r="AH14" s="1174"/>
      <c r="AI14" s="1174"/>
      <c r="AJ14" s="2895"/>
      <c r="AK14" s="2594"/>
      <c r="AL14" s="2594"/>
    </row>
    <row r="15" spans="1:38" ht="18" customHeight="1">
      <c r="A15" s="2896" t="s">
        <v>1347</v>
      </c>
      <c r="B15" s="2897"/>
      <c r="C15" s="2897"/>
      <c r="D15" s="1256"/>
      <c r="E15" s="1256"/>
      <c r="F15" s="1256"/>
      <c r="G15" s="1256"/>
      <c r="H15" s="1256"/>
      <c r="I15" s="1256"/>
      <c r="J15" s="1256"/>
      <c r="K15" s="1256"/>
      <c r="L15" s="1256"/>
      <c r="M15" s="1256"/>
      <c r="N15" s="1256"/>
      <c r="O15" s="1256"/>
      <c r="P15" s="1256"/>
      <c r="Q15" s="1256"/>
      <c r="R15" s="1256"/>
      <c r="S15" s="1256"/>
      <c r="T15" s="2891"/>
      <c r="U15" s="2891"/>
      <c r="V15" s="1256"/>
      <c r="W15" s="1256"/>
      <c r="X15" s="1256"/>
      <c r="Y15" s="1256"/>
      <c r="Z15" s="2893"/>
      <c r="AA15" s="1113"/>
      <c r="AB15" s="1256"/>
      <c r="AC15" s="1256"/>
      <c r="AD15" s="1256"/>
      <c r="AE15" s="1256"/>
      <c r="AF15" s="2894"/>
      <c r="AG15" s="1256"/>
      <c r="AH15" s="1172"/>
      <c r="AI15" s="1172"/>
      <c r="AJ15" s="2895"/>
      <c r="AK15" s="2594"/>
      <c r="AL15" s="2594"/>
    </row>
    <row r="16" spans="1:38" ht="18" customHeight="1">
      <c r="A16" s="2897" t="s">
        <v>1024</v>
      </c>
      <c r="B16" s="2897"/>
      <c r="C16" s="1173"/>
      <c r="D16" s="2598">
        <v>2649.4</v>
      </c>
      <c r="E16" s="2898"/>
      <c r="F16" s="2598">
        <v>2649.4</v>
      </c>
      <c r="G16" s="2898"/>
      <c r="H16" s="1258">
        <v>0</v>
      </c>
      <c r="I16" s="2898"/>
      <c r="J16" s="1258">
        <v>0</v>
      </c>
      <c r="K16" s="2898"/>
      <c r="L16" s="1258">
        <v>0</v>
      </c>
      <c r="M16" s="2898"/>
      <c r="N16" s="1258">
        <v>0</v>
      </c>
      <c r="O16" s="2898"/>
      <c r="P16" s="1258">
        <v>0</v>
      </c>
      <c r="Q16" s="2898"/>
      <c r="R16" s="1258">
        <v>0</v>
      </c>
      <c r="S16" s="1259"/>
      <c r="T16" s="2899"/>
      <c r="U16" s="2900"/>
      <c r="V16" s="2901">
        <f>SUM(D16)+SUM(H16)+SUM(L16)+SUM(P16)</f>
        <v>2649.4</v>
      </c>
      <c r="W16" s="2898"/>
      <c r="X16" s="2901">
        <f>SUM(F16)+SUM(J16)+SUM(N16)+SUM(R16)</f>
        <v>2649.4</v>
      </c>
      <c r="Y16" s="2902"/>
      <c r="Z16" s="2903"/>
      <c r="AA16" s="2898"/>
      <c r="AB16" s="2904">
        <v>2961.1</v>
      </c>
      <c r="AC16" s="2898"/>
      <c r="AD16" s="2904">
        <v>2961.1</v>
      </c>
      <c r="AE16" s="2904"/>
      <c r="AF16" s="2905"/>
      <c r="AG16" s="2902"/>
      <c r="AH16" s="2906">
        <f>ROUND(SUM(X16)-SUM(AD16),1)</f>
        <v>-311.7</v>
      </c>
      <c r="AI16" s="1121"/>
      <c r="AJ16" s="2907">
        <f>ROUND(AH16/AD16,3)</f>
        <v>-0.105</v>
      </c>
      <c r="AK16" s="2599"/>
      <c r="AL16" s="2594"/>
    </row>
    <row r="17" spans="1:38" ht="18" customHeight="1">
      <c r="A17" s="2908" t="s">
        <v>1099</v>
      </c>
      <c r="B17" s="2897"/>
      <c r="C17" s="2600"/>
      <c r="D17" s="1126">
        <v>4784</v>
      </c>
      <c r="E17" s="1125"/>
      <c r="F17" s="1126">
        <v>4784</v>
      </c>
      <c r="G17" s="1125"/>
      <c r="H17" s="1130">
        <v>0</v>
      </c>
      <c r="I17" s="2909"/>
      <c r="J17" s="2601">
        <v>0</v>
      </c>
      <c r="K17" s="1125"/>
      <c r="L17" s="1130">
        <v>0</v>
      </c>
      <c r="M17" s="2909"/>
      <c r="N17" s="1131">
        <v>0</v>
      </c>
      <c r="O17" s="1125"/>
      <c r="P17" s="1130">
        <v>0</v>
      </c>
      <c r="Q17" s="2909"/>
      <c r="R17" s="1131">
        <v>0</v>
      </c>
      <c r="S17" s="1125"/>
      <c r="T17" s="2910"/>
      <c r="U17" s="2910"/>
      <c r="V17" s="2911">
        <f>SUM(D17)+SUM(H17)+SUM(L17)+SUM(P17)</f>
        <v>4784</v>
      </c>
      <c r="W17" s="1127"/>
      <c r="X17" s="2911">
        <f>SUM(F17)+SUM(J17)+SUM(N17)+SUM(R17)</f>
        <v>4784</v>
      </c>
      <c r="Y17" s="2912"/>
      <c r="Z17" s="2913"/>
      <c r="AA17" s="1107"/>
      <c r="AB17" s="2909">
        <v>5313.5</v>
      </c>
      <c r="AC17" s="1106"/>
      <c r="AD17" s="2909">
        <v>5313.5</v>
      </c>
      <c r="AE17" s="2909"/>
      <c r="AF17" s="2914"/>
      <c r="AG17" s="2912"/>
      <c r="AH17" s="2915">
        <f>ROUND(SUM(X17)-SUM(AD17),1)</f>
        <v>-529.5</v>
      </c>
      <c r="AI17" s="2916"/>
      <c r="AJ17" s="2917">
        <f>ROUND(AH17/AD17,3)</f>
        <v>-0.1</v>
      </c>
      <c r="AK17" s="2599"/>
      <c r="AL17" s="2594"/>
    </row>
    <row r="18" spans="1:38" ht="18" customHeight="1">
      <c r="A18" s="2897" t="s">
        <v>1025</v>
      </c>
      <c r="B18" s="2897" t="s">
        <v>16</v>
      </c>
      <c r="C18" s="2897"/>
      <c r="D18" s="1126">
        <v>1717.3</v>
      </c>
      <c r="E18" s="1125"/>
      <c r="F18" s="1126">
        <v>1717.3</v>
      </c>
      <c r="G18" s="1125"/>
      <c r="H18" s="1130">
        <v>0</v>
      </c>
      <c r="I18" s="2909"/>
      <c r="J18" s="2601">
        <v>0</v>
      </c>
      <c r="K18" s="1125"/>
      <c r="L18" s="1130">
        <v>0</v>
      </c>
      <c r="M18" s="2909"/>
      <c r="N18" s="1131">
        <v>0</v>
      </c>
      <c r="O18" s="1125"/>
      <c r="P18" s="1130">
        <v>0</v>
      </c>
      <c r="Q18" s="2909"/>
      <c r="R18" s="1131">
        <v>0</v>
      </c>
      <c r="S18" s="1125"/>
      <c r="T18" s="2910"/>
      <c r="U18" s="2910"/>
      <c r="V18" s="2911">
        <f>SUM(D18)+SUM(H18)+SUM(L18)+SUM(P18)</f>
        <v>1717.3</v>
      </c>
      <c r="W18" s="1127"/>
      <c r="X18" s="2911">
        <f>SUM(F18)+SUM(J18)+SUM(N18)+SUM(R18)</f>
        <v>1717.3</v>
      </c>
      <c r="Y18" s="2912"/>
      <c r="Z18" s="2913"/>
      <c r="AA18" s="1107"/>
      <c r="AB18" s="2909">
        <v>1687.1</v>
      </c>
      <c r="AC18" s="1106"/>
      <c r="AD18" s="2909">
        <v>1687.1</v>
      </c>
      <c r="AE18" s="2909"/>
      <c r="AF18" s="2914"/>
      <c r="AG18" s="2912"/>
      <c r="AH18" s="2915">
        <f>ROUND(SUM(X18)-SUM(AD18),1)</f>
        <v>30.2</v>
      </c>
      <c r="AI18" s="2916"/>
      <c r="AJ18" s="2917">
        <f>ROUND(AH18/AD18,3)</f>
        <v>1.7999999999999999E-2</v>
      </c>
      <c r="AK18" s="2599"/>
      <c r="AL18" s="2594"/>
    </row>
    <row r="19" spans="1:38" ht="18" customHeight="1">
      <c r="A19" s="2908" t="s">
        <v>1026</v>
      </c>
      <c r="B19" s="2897"/>
      <c r="C19" s="2897"/>
      <c r="D19" s="1126">
        <v>-184.9</v>
      </c>
      <c r="E19" s="1125"/>
      <c r="F19" s="1126">
        <v>-184.9</v>
      </c>
      <c r="G19" s="1125"/>
      <c r="H19" s="1130">
        <v>0</v>
      </c>
      <c r="I19" s="2909"/>
      <c r="J19" s="2601">
        <v>0</v>
      </c>
      <c r="K19" s="1125"/>
      <c r="L19" s="1130">
        <v>0</v>
      </c>
      <c r="M19" s="2909"/>
      <c r="N19" s="1131">
        <v>0</v>
      </c>
      <c r="O19" s="1125"/>
      <c r="P19" s="1130">
        <v>0</v>
      </c>
      <c r="Q19" s="2909"/>
      <c r="R19" s="1131">
        <v>0</v>
      </c>
      <c r="S19" s="1125"/>
      <c r="T19" s="2910"/>
      <c r="U19" s="2910"/>
      <c r="V19" s="2911">
        <f>SUM(D19)+SUM(H19)+SUM(L19)+SUM(P19)</f>
        <v>-184.9</v>
      </c>
      <c r="W19" s="1127"/>
      <c r="X19" s="2911">
        <f>SUM(F19)+SUM(J19)+SUM(N19)+SUM(R19)</f>
        <v>-184.9</v>
      </c>
      <c r="Y19" s="2912"/>
      <c r="Z19" s="2913"/>
      <c r="AA19" s="1107"/>
      <c r="AB19" s="2918">
        <v>-144.80000000000001</v>
      </c>
      <c r="AC19" s="1106"/>
      <c r="AD19" s="2909">
        <v>-144.80000000000001</v>
      </c>
      <c r="AE19" s="2909"/>
      <c r="AF19" s="2914"/>
      <c r="AG19" s="2912"/>
      <c r="AH19" s="2915">
        <f>-ROUND(SUM(X19)-SUM(AD19),1)</f>
        <v>40.1</v>
      </c>
      <c r="AI19" s="2916"/>
      <c r="AJ19" s="2917">
        <f>-ROUND(AH19/AD19,3)</f>
        <v>0.27700000000000002</v>
      </c>
      <c r="AK19" s="2599"/>
      <c r="AL19" s="2594"/>
    </row>
    <row r="20" spans="1:38" ht="18" customHeight="1">
      <c r="A20" s="2908" t="s">
        <v>1027</v>
      </c>
      <c r="B20" s="2897" t="s">
        <v>16</v>
      </c>
      <c r="C20" s="2897"/>
      <c r="D20" s="1126">
        <v>170.4</v>
      </c>
      <c r="E20" s="1125"/>
      <c r="F20" s="2919">
        <v>170.4</v>
      </c>
      <c r="G20" s="1125"/>
      <c r="H20" s="1130">
        <v>0</v>
      </c>
      <c r="I20" s="2909"/>
      <c r="J20" s="2601">
        <v>0</v>
      </c>
      <c r="K20" s="1125"/>
      <c r="L20" s="1130">
        <v>0</v>
      </c>
      <c r="M20" s="2909"/>
      <c r="N20" s="1131">
        <v>0</v>
      </c>
      <c r="O20" s="1125"/>
      <c r="P20" s="1130">
        <v>0</v>
      </c>
      <c r="Q20" s="2909"/>
      <c r="R20" s="1131">
        <v>0</v>
      </c>
      <c r="S20" s="1125"/>
      <c r="T20" s="2910"/>
      <c r="U20" s="2910"/>
      <c r="V20" s="2911">
        <f>SUM(D20)+SUM(H20)+SUM(L20)+SUM(P20)</f>
        <v>170.4</v>
      </c>
      <c r="W20" s="1127"/>
      <c r="X20" s="2911">
        <f>SUM(F20)+SUM(J20)+SUM(N20)+SUM(R20)</f>
        <v>170.4</v>
      </c>
      <c r="Y20" s="2912"/>
      <c r="Z20" s="2913"/>
      <c r="AA20" s="1107"/>
      <c r="AB20" s="2909">
        <v>143.69999999999999</v>
      </c>
      <c r="AC20" s="1106"/>
      <c r="AD20" s="2909">
        <v>143.69999999999999</v>
      </c>
      <c r="AE20" s="2909"/>
      <c r="AF20" s="2914"/>
      <c r="AG20" s="2912"/>
      <c r="AH20" s="2920">
        <f>ROUND(SUM(X20)-SUM(AD20),1)</f>
        <v>26.7</v>
      </c>
      <c r="AI20" s="2916"/>
      <c r="AJ20" s="2921">
        <f>ROUND(AH20/AD20,3)</f>
        <v>0.186</v>
      </c>
      <c r="AK20" s="2599"/>
      <c r="AL20" s="2594"/>
    </row>
    <row r="21" spans="1:38" s="2606" customFormat="1" ht="18" customHeight="1">
      <c r="A21" s="2896" t="s">
        <v>1028</v>
      </c>
      <c r="B21" s="2896"/>
      <c r="C21" s="2896"/>
      <c r="D21" s="2922">
        <f>ROUND(SUM(D16:D20),1)</f>
        <v>9136.2000000000007</v>
      </c>
      <c r="E21" s="186"/>
      <c r="F21" s="2922">
        <f>ROUND(SUM(F16:F20),1)</f>
        <v>9136.2000000000007</v>
      </c>
      <c r="G21" s="184"/>
      <c r="H21" s="2922">
        <f>ROUND(SUM(H16:H20),1)</f>
        <v>0</v>
      </c>
      <c r="I21" s="2923"/>
      <c r="J21" s="2922">
        <f>ROUND(SUM(J16:J20),1)</f>
        <v>0</v>
      </c>
      <c r="K21" s="184"/>
      <c r="L21" s="2922">
        <f>ROUND(SUM(L16:L20),1)</f>
        <v>0</v>
      </c>
      <c r="M21" s="2923"/>
      <c r="N21" s="2922">
        <f>ROUND(SUM(N16:N20),1)</f>
        <v>0</v>
      </c>
      <c r="O21" s="184"/>
      <c r="P21" s="2922">
        <f>ROUND(SUM(P16:P20),1)</f>
        <v>0</v>
      </c>
      <c r="Q21" s="2923"/>
      <c r="R21" s="2922">
        <f>ROUND(SUM(R16:R20),1)</f>
        <v>0</v>
      </c>
      <c r="S21" s="184"/>
      <c r="T21" s="2924"/>
      <c r="U21" s="2924"/>
      <c r="V21" s="2925">
        <f>ROUND(SUM(V16:V20),1)</f>
        <v>9136.2000000000007</v>
      </c>
      <c r="W21" s="186"/>
      <c r="X21" s="2925">
        <f>ROUND(SUM(X16:X20),1)</f>
        <v>9136.2000000000007</v>
      </c>
      <c r="Y21" s="2926"/>
      <c r="Z21" s="2927"/>
      <c r="AA21" s="186"/>
      <c r="AB21" s="2925">
        <f>ROUND(SUM(AB16:AB20),1)</f>
        <v>9960.6</v>
      </c>
      <c r="AC21" s="184"/>
      <c r="AD21" s="2925">
        <f>ROUND(SUM(AD16:AD20),1)</f>
        <v>9960.6</v>
      </c>
      <c r="AE21" s="2928"/>
      <c r="AF21" s="2929"/>
      <c r="AG21" s="2926"/>
      <c r="AH21" s="2930">
        <f>ROUND(SUM(X21)-SUM(AD21),1)</f>
        <v>-824.4</v>
      </c>
      <c r="AI21" s="28"/>
      <c r="AJ21" s="2931">
        <f>ROUND(AH21/AD21,3)</f>
        <v>-8.3000000000000004E-2</v>
      </c>
      <c r="AK21" s="2604"/>
      <c r="AL21" s="2605"/>
    </row>
    <row r="22" spans="1:38" ht="18" customHeight="1">
      <c r="A22" s="2908" t="s">
        <v>1029</v>
      </c>
      <c r="B22" s="2897"/>
      <c r="C22" s="2897"/>
      <c r="D22" s="2607">
        <v>-1.3</v>
      </c>
      <c r="E22" s="2909"/>
      <c r="F22" s="1126">
        <v>-1.3</v>
      </c>
      <c r="G22" s="1106"/>
      <c r="H22" s="1126">
        <v>1.3</v>
      </c>
      <c r="I22" s="2909"/>
      <c r="J22" s="2932">
        <v>1.3</v>
      </c>
      <c r="K22" s="1106"/>
      <c r="L22" s="2933">
        <v>0</v>
      </c>
      <c r="M22" s="2909"/>
      <c r="N22" s="2934">
        <v>0</v>
      </c>
      <c r="O22" s="1106"/>
      <c r="P22" s="2933">
        <v>0</v>
      </c>
      <c r="Q22" s="2909"/>
      <c r="R22" s="2934">
        <v>0</v>
      </c>
      <c r="S22" s="1106"/>
      <c r="T22" s="2935"/>
      <c r="U22" s="2935"/>
      <c r="V22" s="2933">
        <v>0</v>
      </c>
      <c r="W22" s="1107"/>
      <c r="X22" s="2933">
        <v>0</v>
      </c>
      <c r="Y22" s="2912"/>
      <c r="Z22" s="2913"/>
      <c r="AA22" s="1107"/>
      <c r="AB22" s="2936">
        <v>0</v>
      </c>
      <c r="AC22" s="1107"/>
      <c r="AD22" s="2936">
        <v>0</v>
      </c>
      <c r="AE22" s="1129"/>
      <c r="AF22" s="2914"/>
      <c r="AG22" s="2912"/>
      <c r="AH22" s="2601">
        <f>ROUND(SUM(X22)-SUM(AD22),1)</f>
        <v>0</v>
      </c>
      <c r="AI22" s="2916"/>
      <c r="AJ22" s="1816">
        <f>ROUND(IF(AD22=0,0,AH22/(AD22)),3)</f>
        <v>0</v>
      </c>
      <c r="AK22" s="2609"/>
      <c r="AL22" s="2594"/>
    </row>
    <row r="23" spans="1:38" ht="18" customHeight="1">
      <c r="A23" s="2908" t="s">
        <v>1030</v>
      </c>
      <c r="B23" s="2897"/>
      <c r="C23" s="2897"/>
      <c r="D23" s="1126">
        <v>-1595.9</v>
      </c>
      <c r="E23" s="1125"/>
      <c r="F23" s="1126">
        <v>-1595.9</v>
      </c>
      <c r="G23" s="1106"/>
      <c r="H23" s="1130">
        <v>0</v>
      </c>
      <c r="I23" s="2909"/>
      <c r="J23" s="2601">
        <v>0</v>
      </c>
      <c r="K23" s="1106"/>
      <c r="L23" s="2915">
        <v>1595.9</v>
      </c>
      <c r="M23" s="2909"/>
      <c r="N23" s="2915">
        <v>1595.9</v>
      </c>
      <c r="O23" s="1106"/>
      <c r="P23" s="1130">
        <v>0</v>
      </c>
      <c r="Q23" s="2909"/>
      <c r="R23" s="1131">
        <v>0</v>
      </c>
      <c r="S23" s="1106"/>
      <c r="T23" s="2935"/>
      <c r="U23" s="2935"/>
      <c r="V23" s="1130">
        <v>0</v>
      </c>
      <c r="W23" s="1107"/>
      <c r="X23" s="1130">
        <v>0</v>
      </c>
      <c r="Y23" s="2912"/>
      <c r="Z23" s="2913"/>
      <c r="AA23" s="1107"/>
      <c r="AB23" s="2607">
        <v>0</v>
      </c>
      <c r="AC23" s="1107"/>
      <c r="AD23" s="2607">
        <v>0</v>
      </c>
      <c r="AE23" s="1129"/>
      <c r="AF23" s="2914"/>
      <c r="AG23" s="2912"/>
      <c r="AH23" s="2601">
        <f>ROUND(SUM(X23)-SUM(AD23),1)</f>
        <v>0</v>
      </c>
      <c r="AI23" s="2916"/>
      <c r="AJ23" s="1816">
        <f>ROUND(IF(AD23=0,0,AH23/(AD23)),3)</f>
        <v>0</v>
      </c>
      <c r="AK23" s="2609"/>
      <c r="AL23" s="2594"/>
    </row>
    <row r="24" spans="1:38" ht="18" customHeight="1">
      <c r="A24" s="2897" t="s">
        <v>1031</v>
      </c>
      <c r="B24" s="2897"/>
      <c r="C24" s="2897"/>
      <c r="D24" s="1126">
        <v>-2752.5</v>
      </c>
      <c r="E24" s="1127"/>
      <c r="F24" s="1126">
        <v>-2752.5</v>
      </c>
      <c r="G24" s="1125"/>
      <c r="H24" s="1130">
        <v>0</v>
      </c>
      <c r="I24" s="2909"/>
      <c r="J24" s="2601">
        <v>0</v>
      </c>
      <c r="K24" s="1125"/>
      <c r="L24" s="1130">
        <v>0</v>
      </c>
      <c r="M24" s="2909"/>
      <c r="N24" s="1131">
        <v>0</v>
      </c>
      <c r="O24" s="1125"/>
      <c r="P24" s="1130">
        <v>0</v>
      </c>
      <c r="Q24" s="2909"/>
      <c r="R24" s="1131">
        <v>0</v>
      </c>
      <c r="S24" s="1125"/>
      <c r="T24" s="2910"/>
      <c r="U24" s="2910"/>
      <c r="V24" s="2911">
        <f>SUM(D24)+SUM(H24)+SUM(L24)+SUM(P24)</f>
        <v>-2752.5</v>
      </c>
      <c r="W24" s="1127"/>
      <c r="X24" s="2911">
        <f>SUM(F24)+SUM(J24)+SUM(N24)+SUM(R24)</f>
        <v>-2752.5</v>
      </c>
      <c r="Y24" s="2912"/>
      <c r="Z24" s="2913"/>
      <c r="AA24" s="1107"/>
      <c r="AB24" s="2918">
        <v>-3242.2</v>
      </c>
      <c r="AC24" s="1106"/>
      <c r="AD24" s="2918">
        <v>-3242.2</v>
      </c>
      <c r="AE24" s="2909"/>
      <c r="AF24" s="2914"/>
      <c r="AG24" s="2912"/>
      <c r="AH24" s="2915">
        <f>-ROUND(SUM(X24)-SUM(AD24),1)</f>
        <v>-489.7</v>
      </c>
      <c r="AI24" s="2916"/>
      <c r="AJ24" s="2937">
        <f>-ROUND(AH24/AD24,3)</f>
        <v>-0.151</v>
      </c>
      <c r="AK24" s="2599"/>
      <c r="AL24" s="2594"/>
    </row>
    <row r="25" spans="1:38" ht="18" customHeight="1">
      <c r="A25" s="2938" t="s">
        <v>1032</v>
      </c>
      <c r="B25" s="2897"/>
      <c r="C25" s="2897"/>
      <c r="D25" s="2939">
        <f>ROUND(SUM(D21:D24),1)</f>
        <v>4786.5</v>
      </c>
      <c r="E25" s="186"/>
      <c r="F25" s="2939">
        <f>ROUND(SUM(F21:F24),1)</f>
        <v>4786.5</v>
      </c>
      <c r="G25" s="184"/>
      <c r="H25" s="2939">
        <f>ROUND(SUM(H21:H24),1)</f>
        <v>1.3</v>
      </c>
      <c r="I25" s="2923"/>
      <c r="J25" s="2939">
        <f>ROUND(SUM(J21:J24),1)</f>
        <v>1.3</v>
      </c>
      <c r="K25" s="184"/>
      <c r="L25" s="2939">
        <f>ROUND(SUM(L21:L24),1)</f>
        <v>1595.9</v>
      </c>
      <c r="M25" s="2923"/>
      <c r="N25" s="2939">
        <f>ROUND(SUM(N21:N24),1)</f>
        <v>1595.9</v>
      </c>
      <c r="O25" s="184"/>
      <c r="P25" s="2939">
        <f>ROUND(SUM(P21:P24),1)</f>
        <v>0</v>
      </c>
      <c r="Q25" s="2923"/>
      <c r="R25" s="2939">
        <f>ROUND(SUM(R21:R24),1)</f>
        <v>0</v>
      </c>
      <c r="S25" s="184"/>
      <c r="T25" s="2924"/>
      <c r="U25" s="2924"/>
      <c r="V25" s="2925">
        <f>ROUND(SUM(V21:V24),1)</f>
        <v>6383.7</v>
      </c>
      <c r="W25" s="186"/>
      <c r="X25" s="2925">
        <f>ROUND(SUM(X21:X24),1)</f>
        <v>6383.7</v>
      </c>
      <c r="Y25" s="3041"/>
      <c r="Z25" s="2927"/>
      <c r="AA25" s="186"/>
      <c r="AB25" s="2925">
        <f>ROUND(SUM(AB21:AB24),1)</f>
        <v>6718.4</v>
      </c>
      <c r="AC25" s="184"/>
      <c r="AD25" s="2925">
        <f>ROUND(SUM(AD21:AD24),1)</f>
        <v>6718.4</v>
      </c>
      <c r="AE25" s="186" t="s">
        <v>16</v>
      </c>
      <c r="AF25" s="2929"/>
      <c r="AG25" s="2926"/>
      <c r="AH25" s="2940">
        <f>ROUND(SUM(X25)-SUM(AD25),1)</f>
        <v>-334.7</v>
      </c>
      <c r="AI25" s="28"/>
      <c r="AJ25" s="2941">
        <f>ROUND(AH25/AD25,3)</f>
        <v>-0.05</v>
      </c>
      <c r="AK25" s="2604"/>
      <c r="AL25" s="2605"/>
    </row>
    <row r="26" spans="1:38" ht="18" customHeight="1">
      <c r="A26" s="2897"/>
      <c r="B26" s="2897"/>
      <c r="C26" s="2897"/>
      <c r="D26" s="2942"/>
      <c r="E26" s="1107"/>
      <c r="F26" s="2943"/>
      <c r="G26" s="1106"/>
      <c r="H26" s="2942"/>
      <c r="I26" s="1127"/>
      <c r="J26" s="2944"/>
      <c r="K26" s="1106"/>
      <c r="L26" s="2942"/>
      <c r="M26" s="1127"/>
      <c r="N26" s="2944"/>
      <c r="O26" s="1106"/>
      <c r="P26" s="2942"/>
      <c r="Q26" s="1127"/>
      <c r="R26" s="2944"/>
      <c r="S26" s="1106"/>
      <c r="T26" s="2935"/>
      <c r="U26" s="2935"/>
      <c r="V26" s="2943"/>
      <c r="W26" s="1107"/>
      <c r="X26" s="2943"/>
      <c r="Y26" s="1107"/>
      <c r="Z26" s="2913"/>
      <c r="AA26" s="1107"/>
      <c r="AB26" s="2942"/>
      <c r="AC26" s="1106"/>
      <c r="AD26" s="2944"/>
      <c r="AE26" s="1127"/>
      <c r="AF26" s="2914"/>
      <c r="AG26" s="1107"/>
      <c r="AH26" s="1127"/>
      <c r="AI26" s="1121"/>
      <c r="AJ26" s="3042"/>
      <c r="AK26" s="2609"/>
      <c r="AL26" s="2594"/>
    </row>
    <row r="27" spans="1:38" ht="18" customHeight="1">
      <c r="A27" s="2938" t="s">
        <v>1348</v>
      </c>
      <c r="B27" s="2897"/>
      <c r="C27" s="2600"/>
      <c r="D27" s="1126"/>
      <c r="E27" s="1106"/>
      <c r="F27" s="1106"/>
      <c r="G27" s="1106"/>
      <c r="H27" s="1126"/>
      <c r="I27" s="1125"/>
      <c r="J27" s="1125"/>
      <c r="K27" s="1106"/>
      <c r="L27" s="1126"/>
      <c r="M27" s="1125"/>
      <c r="N27" s="1125"/>
      <c r="O27" s="1106"/>
      <c r="P27" s="1126"/>
      <c r="Q27" s="1125"/>
      <c r="R27" s="1125"/>
      <c r="S27" s="1106"/>
      <c r="T27" s="2935"/>
      <c r="U27" s="2935"/>
      <c r="V27" s="1107"/>
      <c r="W27" s="1107"/>
      <c r="X27" s="1106"/>
      <c r="Y27" s="1106"/>
      <c r="Z27" s="2913"/>
      <c r="AA27" s="1107"/>
      <c r="AB27" s="1126"/>
      <c r="AC27" s="1106"/>
      <c r="AD27" s="1125"/>
      <c r="AE27" s="1125"/>
      <c r="AF27" s="2914"/>
      <c r="AG27" s="1106"/>
      <c r="AH27" s="1125"/>
      <c r="AI27" s="1122"/>
      <c r="AJ27" s="3042"/>
      <c r="AK27" s="2609"/>
      <c r="AL27" s="2594"/>
    </row>
    <row r="28" spans="1:38" ht="18" customHeight="1">
      <c r="A28" s="2897" t="s">
        <v>1033</v>
      </c>
      <c r="B28" s="2897"/>
      <c r="C28" s="2897"/>
      <c r="D28" s="1126">
        <v>497.9</v>
      </c>
      <c r="E28" s="1125"/>
      <c r="F28" s="1126">
        <v>497.9</v>
      </c>
      <c r="G28" s="1106"/>
      <c r="H28" s="1126">
        <v>90.9</v>
      </c>
      <c r="I28" s="1125"/>
      <c r="J28" s="1126">
        <v>90.9</v>
      </c>
      <c r="K28" s="1106"/>
      <c r="L28" s="2915">
        <v>498.2</v>
      </c>
      <c r="M28" s="2909"/>
      <c r="N28" s="2915">
        <v>498.2</v>
      </c>
      <c r="O28" s="1125"/>
      <c r="P28" s="1130">
        <v>0</v>
      </c>
      <c r="Q28" s="2909"/>
      <c r="R28" s="1131">
        <v>0</v>
      </c>
      <c r="S28" s="1106"/>
      <c r="T28" s="2935"/>
      <c r="U28" s="2935"/>
      <c r="V28" s="2911">
        <f t="shared" ref="V28:V35" si="0">SUM(D28)+SUM(H28)+SUM(L28)+SUM(P28)</f>
        <v>1087</v>
      </c>
      <c r="W28" s="1107"/>
      <c r="X28" s="2911">
        <f t="shared" ref="X28:X35" si="1">SUM(F28)+SUM(J28)+SUM(N28)+SUM(R28)</f>
        <v>1087</v>
      </c>
      <c r="Y28" s="1106"/>
      <c r="Z28" s="2913"/>
      <c r="AA28" s="1107"/>
      <c r="AB28" s="2909">
        <v>1046.0999999999999</v>
      </c>
      <c r="AC28" s="1106"/>
      <c r="AD28" s="2909">
        <v>1046.0999999999999</v>
      </c>
      <c r="AE28" s="2909"/>
      <c r="AF28" s="2945"/>
      <c r="AG28" s="1106"/>
      <c r="AH28" s="1126">
        <f t="shared" ref="AH28:AH36" si="2">ROUND(SUM(X28)-SUM(AD28),1)</f>
        <v>40.9</v>
      </c>
      <c r="AI28" s="2916"/>
      <c r="AJ28" s="2917">
        <f t="shared" ref="AJ28:AJ36" si="3">ROUND(AH28/AD28,3)</f>
        <v>3.9E-2</v>
      </c>
      <c r="AK28" s="2599"/>
      <c r="AL28" s="2594"/>
    </row>
    <row r="29" spans="1:38" ht="18" customHeight="1">
      <c r="A29" s="2908" t="s">
        <v>1034</v>
      </c>
      <c r="B29" s="2897"/>
      <c r="C29" s="1261"/>
      <c r="D29" s="1130">
        <v>0</v>
      </c>
      <c r="E29" s="2911"/>
      <c r="F29" s="1131">
        <v>0</v>
      </c>
      <c r="G29" s="1106"/>
      <c r="H29" s="1126">
        <v>0.7</v>
      </c>
      <c r="I29" s="2909"/>
      <c r="J29" s="1126">
        <v>0.7</v>
      </c>
      <c r="K29" s="1106"/>
      <c r="L29" s="1130">
        <v>0</v>
      </c>
      <c r="M29" s="2909"/>
      <c r="N29" s="1131">
        <v>0</v>
      </c>
      <c r="O29" s="1125"/>
      <c r="P29" s="2607">
        <v>0.3</v>
      </c>
      <c r="Q29" s="1125"/>
      <c r="R29" s="2607">
        <v>0.3</v>
      </c>
      <c r="S29" s="1106"/>
      <c r="T29" s="2935"/>
      <c r="U29" s="2935"/>
      <c r="V29" s="2911">
        <f t="shared" si="0"/>
        <v>1</v>
      </c>
      <c r="W29" s="1107"/>
      <c r="X29" s="2911">
        <f t="shared" si="1"/>
        <v>1</v>
      </c>
      <c r="Y29" s="2912"/>
      <c r="Z29" s="2913"/>
      <c r="AA29" s="1107"/>
      <c r="AB29" s="2946">
        <v>4.5</v>
      </c>
      <c r="AC29" s="1106"/>
      <c r="AD29" s="2909">
        <v>4.5</v>
      </c>
      <c r="AE29" s="2909"/>
      <c r="AF29" s="2914"/>
      <c r="AG29" s="2912"/>
      <c r="AH29" s="2915">
        <f t="shared" si="2"/>
        <v>-3.5</v>
      </c>
      <c r="AI29" s="2947"/>
      <c r="AJ29" s="2917">
        <f t="shared" si="3"/>
        <v>-0.77800000000000002</v>
      </c>
      <c r="AK29" s="2599"/>
      <c r="AL29" s="2594"/>
    </row>
    <row r="30" spans="1:38" ht="18" customHeight="1">
      <c r="A30" s="2897" t="s">
        <v>1035</v>
      </c>
      <c r="B30" s="2897"/>
      <c r="C30" s="2897"/>
      <c r="D30" s="1126">
        <v>28.7</v>
      </c>
      <c r="E30" s="1125"/>
      <c r="F30" s="1126">
        <v>28.7</v>
      </c>
      <c r="G30" s="1106"/>
      <c r="H30" s="1126">
        <v>69.900000000000006</v>
      </c>
      <c r="I30" s="2909"/>
      <c r="J30" s="2932">
        <v>69.900000000000006</v>
      </c>
      <c r="K30" s="1106"/>
      <c r="L30" s="1130">
        <v>0</v>
      </c>
      <c r="M30" s="2909"/>
      <c r="N30" s="1131">
        <v>0</v>
      </c>
      <c r="O30" s="1125"/>
      <c r="P30" s="1130">
        <v>0</v>
      </c>
      <c r="Q30" s="2909"/>
      <c r="R30" s="1131">
        <v>0</v>
      </c>
      <c r="S30" s="1106"/>
      <c r="T30" s="2935"/>
      <c r="U30" s="2935"/>
      <c r="V30" s="2911">
        <f t="shared" si="0"/>
        <v>98.600000000000009</v>
      </c>
      <c r="W30" s="1107"/>
      <c r="X30" s="2911">
        <f t="shared" si="1"/>
        <v>98.600000000000009</v>
      </c>
      <c r="Y30" s="2912"/>
      <c r="Z30" s="2913"/>
      <c r="AA30" s="1107"/>
      <c r="AB30" s="2918">
        <v>95.100000000000009</v>
      </c>
      <c r="AC30" s="1106"/>
      <c r="AD30" s="2918">
        <v>95.100000000000009</v>
      </c>
      <c r="AE30" s="2918"/>
      <c r="AF30" s="2914"/>
      <c r="AG30" s="2912"/>
      <c r="AH30" s="2915">
        <f t="shared" si="2"/>
        <v>3.5</v>
      </c>
      <c r="AI30" s="2916"/>
      <c r="AJ30" s="2917">
        <f t="shared" si="3"/>
        <v>3.6999999999999998E-2</v>
      </c>
      <c r="AK30" s="2599"/>
      <c r="AL30" s="2594"/>
    </row>
    <row r="31" spans="1:38" ht="18" customHeight="1">
      <c r="A31" s="2897" t="s">
        <v>1453</v>
      </c>
      <c r="B31" s="2897"/>
      <c r="C31" s="2897"/>
      <c r="D31" s="1126">
        <v>0</v>
      </c>
      <c r="E31" s="1125"/>
      <c r="F31" s="1126">
        <v>0</v>
      </c>
      <c r="G31" s="1106"/>
      <c r="H31" s="1126">
        <v>0</v>
      </c>
      <c r="I31" s="2909"/>
      <c r="J31" s="2932">
        <v>0</v>
      </c>
      <c r="K31" s="1106"/>
      <c r="L31" s="1130">
        <v>0</v>
      </c>
      <c r="M31" s="2909"/>
      <c r="N31" s="1131">
        <v>0</v>
      </c>
      <c r="O31" s="1125"/>
      <c r="P31" s="1130">
        <v>0</v>
      </c>
      <c r="Q31" s="2909"/>
      <c r="R31" s="1131">
        <v>0</v>
      </c>
      <c r="S31" s="1106"/>
      <c r="T31" s="2935"/>
      <c r="U31" s="2935"/>
      <c r="V31" s="2911">
        <f t="shared" ref="V31" si="4">SUM(D31)+SUM(H31)+SUM(L31)+SUM(P31)</f>
        <v>0</v>
      </c>
      <c r="W31" s="1107"/>
      <c r="X31" s="2911">
        <f t="shared" ref="X31" si="5">SUM(F31)+SUM(J31)+SUM(N31)+SUM(R31)</f>
        <v>0</v>
      </c>
      <c r="Y31" s="2912"/>
      <c r="Z31" s="2913"/>
      <c r="AA31" s="1107"/>
      <c r="AB31" s="2918">
        <v>0</v>
      </c>
      <c r="AC31" s="1106"/>
      <c r="AD31" s="2918">
        <v>0</v>
      </c>
      <c r="AE31" s="2918"/>
      <c r="AF31" s="2914"/>
      <c r="AG31" s="2912"/>
      <c r="AH31" s="2915">
        <f t="shared" ref="AH31" si="6">ROUND(SUM(X31)-SUM(AD31),1)</f>
        <v>0</v>
      </c>
      <c r="AI31" s="2916"/>
      <c r="AJ31" s="1816">
        <f>ROUND(IF(AD31=0,0,AH31/(AD31)),3)</f>
        <v>0</v>
      </c>
      <c r="AK31" s="2599"/>
      <c r="AL31" s="2594"/>
    </row>
    <row r="32" spans="1:38" ht="18" customHeight="1">
      <c r="A32" s="2897" t="s">
        <v>1036</v>
      </c>
      <c r="B32" s="2897"/>
      <c r="C32" s="2897"/>
      <c r="D32" s="1130">
        <v>0</v>
      </c>
      <c r="E32" s="2911"/>
      <c r="F32" s="1131">
        <v>0</v>
      </c>
      <c r="G32" s="1106"/>
      <c r="H32" s="1126">
        <v>8.1999999999999993</v>
      </c>
      <c r="I32" s="2909"/>
      <c r="J32" s="2915">
        <v>8.1999999999999993</v>
      </c>
      <c r="K32" s="1106"/>
      <c r="L32" s="1130">
        <v>0</v>
      </c>
      <c r="M32" s="2909"/>
      <c r="N32" s="1131">
        <v>0</v>
      </c>
      <c r="O32" s="1125"/>
      <c r="P32" s="1126">
        <v>30.8</v>
      </c>
      <c r="Q32" s="2909"/>
      <c r="R32" s="2915">
        <v>30.8</v>
      </c>
      <c r="S32" s="1106"/>
      <c r="T32" s="2935"/>
      <c r="U32" s="2935"/>
      <c r="V32" s="2911">
        <f t="shared" si="0"/>
        <v>39</v>
      </c>
      <c r="W32" s="1107"/>
      <c r="X32" s="2911">
        <f t="shared" si="1"/>
        <v>39</v>
      </c>
      <c r="Y32" s="1106"/>
      <c r="Z32" s="2913"/>
      <c r="AA32" s="1107"/>
      <c r="AB32" s="2918">
        <v>41.3</v>
      </c>
      <c r="AC32" s="1106"/>
      <c r="AD32" s="2918">
        <v>41.3</v>
      </c>
      <c r="AE32" s="2909"/>
      <c r="AF32" s="2914"/>
      <c r="AG32" s="1106"/>
      <c r="AH32" s="2915">
        <f t="shared" si="2"/>
        <v>-2.2999999999999998</v>
      </c>
      <c r="AI32" s="1122"/>
      <c r="AJ32" s="2917">
        <f t="shared" si="3"/>
        <v>-5.6000000000000001E-2</v>
      </c>
      <c r="AK32" s="2599"/>
      <c r="AL32" s="2594"/>
    </row>
    <row r="33" spans="1:38" ht="18" customHeight="1">
      <c r="A33" s="2897" t="s">
        <v>1037</v>
      </c>
      <c r="B33" s="2897"/>
      <c r="C33" s="2897"/>
      <c r="D33" s="1126">
        <v>20.399999999999999</v>
      </c>
      <c r="E33" s="1125"/>
      <c r="F33" s="1126">
        <v>20.399999999999999</v>
      </c>
      <c r="G33" s="1106"/>
      <c r="H33" s="1130">
        <v>0</v>
      </c>
      <c r="I33" s="2909"/>
      <c r="J33" s="2601">
        <v>0</v>
      </c>
      <c r="K33" s="1106"/>
      <c r="L33" s="1130">
        <v>0</v>
      </c>
      <c r="M33" s="2909"/>
      <c r="N33" s="1131">
        <v>0</v>
      </c>
      <c r="O33" s="1125"/>
      <c r="P33" s="1130">
        <v>0</v>
      </c>
      <c r="Q33" s="2909"/>
      <c r="R33" s="1131">
        <v>0</v>
      </c>
      <c r="S33" s="1106"/>
      <c r="T33" s="2935"/>
      <c r="U33" s="2935"/>
      <c r="V33" s="2911">
        <f t="shared" si="0"/>
        <v>20.399999999999999</v>
      </c>
      <c r="W33" s="1107"/>
      <c r="X33" s="2911">
        <f t="shared" si="1"/>
        <v>20.399999999999999</v>
      </c>
      <c r="Y33" s="2912"/>
      <c r="Z33" s="2913"/>
      <c r="AA33" s="1107"/>
      <c r="AB33" s="2918">
        <v>19.899999999999999</v>
      </c>
      <c r="AC33" s="1106"/>
      <c r="AD33" s="2918">
        <v>19.899999999999999</v>
      </c>
      <c r="AE33" s="2909"/>
      <c r="AF33" s="2914"/>
      <c r="AG33" s="2912"/>
      <c r="AH33" s="2915">
        <f t="shared" si="2"/>
        <v>0.5</v>
      </c>
      <c r="AI33" s="2916"/>
      <c r="AJ33" s="2917">
        <f t="shared" si="3"/>
        <v>2.5000000000000001E-2</v>
      </c>
      <c r="AK33" s="2599"/>
      <c r="AL33" s="2594"/>
    </row>
    <row r="34" spans="1:38" ht="18" customHeight="1">
      <c r="A34" s="2897" t="s">
        <v>1038</v>
      </c>
      <c r="B34" s="2897"/>
      <c r="C34" s="2897"/>
      <c r="D34" s="1130">
        <v>0</v>
      </c>
      <c r="E34" s="2911"/>
      <c r="F34" s="1131">
        <v>0</v>
      </c>
      <c r="G34" s="1106"/>
      <c r="H34" s="1130">
        <v>0</v>
      </c>
      <c r="I34" s="2909"/>
      <c r="J34" s="2601">
        <v>0</v>
      </c>
      <c r="K34" s="1106"/>
      <c r="L34" s="1130">
        <v>0</v>
      </c>
      <c r="M34" s="2909"/>
      <c r="N34" s="1131">
        <v>0</v>
      </c>
      <c r="O34" s="1106"/>
      <c r="P34" s="1126">
        <v>12.6</v>
      </c>
      <c r="Q34" s="2909"/>
      <c r="R34" s="2915">
        <v>12.6</v>
      </c>
      <c r="S34" s="1106"/>
      <c r="T34" s="2935"/>
      <c r="U34" s="2935"/>
      <c r="V34" s="2911">
        <f t="shared" si="0"/>
        <v>12.6</v>
      </c>
      <c r="W34" s="1107"/>
      <c r="X34" s="2911">
        <f t="shared" si="1"/>
        <v>12.6</v>
      </c>
      <c r="Y34" s="2912"/>
      <c r="Z34" s="2913"/>
      <c r="AA34" s="1107"/>
      <c r="AB34" s="2918">
        <v>13.4</v>
      </c>
      <c r="AC34" s="1106"/>
      <c r="AD34" s="2918">
        <v>13.4</v>
      </c>
      <c r="AE34" s="2918"/>
      <c r="AF34" s="2914"/>
      <c r="AG34" s="2912"/>
      <c r="AH34" s="2601">
        <f t="shared" si="2"/>
        <v>-0.8</v>
      </c>
      <c r="AI34" s="2947"/>
      <c r="AJ34" s="2917">
        <f t="shared" si="3"/>
        <v>-0.06</v>
      </c>
      <c r="AK34" s="2599"/>
      <c r="AL34" s="2594"/>
    </row>
    <row r="35" spans="1:38" ht="18" customHeight="1">
      <c r="A35" s="2908" t="s">
        <v>1039</v>
      </c>
      <c r="B35" s="2897"/>
      <c r="C35" s="2897"/>
      <c r="D35" s="1130">
        <v>0</v>
      </c>
      <c r="E35" s="1127"/>
      <c r="F35" s="1130">
        <v>0</v>
      </c>
      <c r="G35" s="1106"/>
      <c r="H35" s="2610">
        <v>15.7</v>
      </c>
      <c r="I35" s="2909"/>
      <c r="J35" s="2915">
        <v>15.7</v>
      </c>
      <c r="K35" s="1106"/>
      <c r="L35" s="1130">
        <v>0</v>
      </c>
      <c r="M35" s="2909"/>
      <c r="N35" s="1131">
        <v>0</v>
      </c>
      <c r="O35" s="1106"/>
      <c r="P35" s="1130">
        <v>0</v>
      </c>
      <c r="Q35" s="1127"/>
      <c r="R35" s="1131">
        <v>0</v>
      </c>
      <c r="S35" s="1106"/>
      <c r="T35" s="2935"/>
      <c r="U35" s="2935"/>
      <c r="V35" s="2911">
        <f t="shared" si="0"/>
        <v>15.7</v>
      </c>
      <c r="W35" s="1107"/>
      <c r="X35" s="2911">
        <f t="shared" si="1"/>
        <v>15.7</v>
      </c>
      <c r="Y35" s="3043"/>
      <c r="Z35" s="2913"/>
      <c r="AA35" s="1107"/>
      <c r="AB35" s="2918">
        <v>19.2</v>
      </c>
      <c r="AC35" s="1106"/>
      <c r="AD35" s="2918">
        <v>19.2</v>
      </c>
      <c r="AE35" s="2918"/>
      <c r="AF35" s="2945"/>
      <c r="AG35" s="2912"/>
      <c r="AH35" s="2920">
        <f t="shared" si="2"/>
        <v>-3.5</v>
      </c>
      <c r="AI35" s="2916"/>
      <c r="AJ35" s="2937">
        <f t="shared" si="3"/>
        <v>-0.182</v>
      </c>
      <c r="AK35" s="2599"/>
      <c r="AL35" s="2594"/>
    </row>
    <row r="36" spans="1:38" ht="18" customHeight="1">
      <c r="A36" s="2896" t="s">
        <v>1040</v>
      </c>
      <c r="B36" s="2897"/>
      <c r="C36" s="2897"/>
      <c r="D36" s="2939">
        <f>ROUND(SUM(D28:D35),1)</f>
        <v>547</v>
      </c>
      <c r="E36" s="186"/>
      <c r="F36" s="3175">
        <f>ROUND(SUM(F28:F35),1)</f>
        <v>547</v>
      </c>
      <c r="G36" s="184"/>
      <c r="H36" s="2939">
        <f>ROUND(SUM(H28:H35),1)</f>
        <v>185.4</v>
      </c>
      <c r="I36" s="67"/>
      <c r="J36" s="2939">
        <f>ROUND(SUM(J28:J35),1)</f>
        <v>185.4</v>
      </c>
      <c r="K36" s="184"/>
      <c r="L36" s="2939">
        <f>ROUND(SUM(L28:L35),1)</f>
        <v>498.2</v>
      </c>
      <c r="M36" s="67"/>
      <c r="N36" s="2939">
        <f>ROUND(SUM(N28:N35),1)</f>
        <v>498.2</v>
      </c>
      <c r="O36" s="184"/>
      <c r="P36" s="2939">
        <f>ROUND(SUM(P28:P35),1)</f>
        <v>43.7</v>
      </c>
      <c r="Q36" s="67"/>
      <c r="R36" s="3175">
        <f>ROUND(SUM(R28:R35),1)</f>
        <v>43.7</v>
      </c>
      <c r="S36" s="184"/>
      <c r="T36" s="2924"/>
      <c r="U36" s="2924"/>
      <c r="V36" s="2948">
        <f>ROUND(SUM(V28:V35),1)</f>
        <v>1274.3</v>
      </c>
      <c r="W36" s="186"/>
      <c r="X36" s="2948">
        <f>ROUND(SUM(X28:X35),1)</f>
        <v>1274.3</v>
      </c>
      <c r="Y36" s="3044"/>
      <c r="Z36" s="2927"/>
      <c r="AA36" s="186"/>
      <c r="AB36" s="2948">
        <f>ROUND(SUM(AB28:AB35),1)</f>
        <v>1239.5</v>
      </c>
      <c r="AC36" s="184"/>
      <c r="AD36" s="2948">
        <f>ROUND(SUM(AD28:AD35),1)</f>
        <v>1239.5</v>
      </c>
      <c r="AE36" s="67"/>
      <c r="AF36" s="2929"/>
      <c r="AG36" s="186"/>
      <c r="AH36" s="2940">
        <f t="shared" si="2"/>
        <v>34.799999999999997</v>
      </c>
      <c r="AI36" s="18"/>
      <c r="AJ36" s="2941">
        <f t="shared" si="3"/>
        <v>2.8000000000000001E-2</v>
      </c>
      <c r="AK36" s="2604"/>
      <c r="AL36" s="2605"/>
    </row>
    <row r="37" spans="1:38" ht="18" customHeight="1">
      <c r="A37" s="2897"/>
      <c r="B37" s="2897"/>
      <c r="C37" s="2897"/>
      <c r="D37" s="2942"/>
      <c r="E37" s="1107"/>
      <c r="F37" s="2943"/>
      <c r="G37" s="1106"/>
      <c r="H37" s="2942"/>
      <c r="I37" s="1127"/>
      <c r="J37" s="2944"/>
      <c r="K37" s="1106"/>
      <c r="L37" s="2942"/>
      <c r="M37" s="1127"/>
      <c r="N37" s="2944"/>
      <c r="O37" s="1106"/>
      <c r="P37" s="2942"/>
      <c r="Q37" s="1127"/>
      <c r="R37" s="2944"/>
      <c r="S37" s="1106"/>
      <c r="T37" s="2935"/>
      <c r="U37" s="2935"/>
      <c r="V37" s="2943"/>
      <c r="W37" s="1107"/>
      <c r="X37" s="2943"/>
      <c r="Y37" s="1107"/>
      <c r="Z37" s="2913"/>
      <c r="AA37" s="1107"/>
      <c r="AB37" s="2942"/>
      <c r="AC37" s="1106"/>
      <c r="AD37" s="2944"/>
      <c r="AE37" s="1127"/>
      <c r="AF37" s="2914"/>
      <c r="AG37" s="1107"/>
      <c r="AH37" s="1127"/>
      <c r="AI37" s="1121"/>
      <c r="AJ37" s="3042"/>
      <c r="AK37" s="2609"/>
      <c r="AL37" s="2594"/>
    </row>
    <row r="38" spans="1:38" ht="18" customHeight="1">
      <c r="A38" s="2896" t="s">
        <v>1349</v>
      </c>
      <c r="B38" s="2897"/>
      <c r="C38" s="2897"/>
      <c r="D38" s="1126"/>
      <c r="E38" s="1106"/>
      <c r="F38" s="1106"/>
      <c r="G38" s="1106"/>
      <c r="H38" s="1126"/>
      <c r="I38" s="1125"/>
      <c r="J38" s="1125"/>
      <c r="K38" s="1106"/>
      <c r="L38" s="1126"/>
      <c r="M38" s="1125"/>
      <c r="N38" s="1125"/>
      <c r="O38" s="1106"/>
      <c r="P38" s="1126"/>
      <c r="Q38" s="1125"/>
      <c r="R38" s="1125"/>
      <c r="S38" s="1106"/>
      <c r="T38" s="2935"/>
      <c r="U38" s="2935"/>
      <c r="V38" s="1107"/>
      <c r="W38" s="1107"/>
      <c r="X38" s="1106"/>
      <c r="Y38" s="1106"/>
      <c r="Z38" s="2913"/>
      <c r="AA38" s="1107"/>
      <c r="AB38" s="2992"/>
      <c r="AC38" s="1106"/>
      <c r="AD38" s="2992"/>
      <c r="AE38" s="1125"/>
      <c r="AF38" s="2914"/>
      <c r="AG38" s="1106"/>
      <c r="AH38" s="1126"/>
      <c r="AI38" s="1122"/>
      <c r="AJ38" s="2917"/>
      <c r="AK38" s="2609"/>
      <c r="AL38" s="2594"/>
    </row>
    <row r="39" spans="1:38" ht="18" customHeight="1">
      <c r="A39" s="2897" t="s">
        <v>1041</v>
      </c>
      <c r="B39" s="2897"/>
      <c r="C39" s="2897"/>
      <c r="D39" s="1126">
        <v>123.8</v>
      </c>
      <c r="E39" s="1125"/>
      <c r="F39" s="1126">
        <v>123.8</v>
      </c>
      <c r="G39" s="1106"/>
      <c r="H39" s="1126">
        <v>31.9</v>
      </c>
      <c r="I39" s="1125"/>
      <c r="J39" s="1126">
        <v>31.9</v>
      </c>
      <c r="K39" s="1125"/>
      <c r="L39" s="1130">
        <v>0</v>
      </c>
      <c r="M39" s="2909"/>
      <c r="N39" s="1131">
        <v>0</v>
      </c>
      <c r="O39" s="1125"/>
      <c r="P39" s="1130">
        <v>0</v>
      </c>
      <c r="Q39" s="2909"/>
      <c r="R39" s="1131">
        <v>0</v>
      </c>
      <c r="S39" s="1106"/>
      <c r="T39" s="2935"/>
      <c r="U39" s="2935"/>
      <c r="V39" s="2911">
        <f>SUM(D39)+SUM(H39)+SUM(L39)+SUM(P39)</f>
        <v>155.69999999999999</v>
      </c>
      <c r="W39" s="1107"/>
      <c r="X39" s="2911">
        <f>SUM(F39)+SUM(J39)+SUM(N39)+SUM(R39)</f>
        <v>155.69999999999999</v>
      </c>
      <c r="Y39" s="1106"/>
      <c r="Z39" s="2913"/>
      <c r="AA39" s="1107"/>
      <c r="AB39" s="2918">
        <v>181.7</v>
      </c>
      <c r="AC39" s="1106"/>
      <c r="AD39" s="2918">
        <v>181.7</v>
      </c>
      <c r="AE39" s="2909"/>
      <c r="AF39" s="2945"/>
      <c r="AG39" s="1106"/>
      <c r="AH39" s="2915">
        <f t="shared" ref="AH39:AH44" si="7">ROUND(SUM(X39)-SUM(AD39),1)</f>
        <v>-26</v>
      </c>
      <c r="AI39" s="2916"/>
      <c r="AJ39" s="2917">
        <f t="shared" ref="AJ39:AJ44" si="8">ROUND(AH39/AD39,3)</f>
        <v>-0.14299999999999999</v>
      </c>
      <c r="AK39" s="2599"/>
      <c r="AL39" s="2594"/>
    </row>
    <row r="40" spans="1:38" ht="18" customHeight="1">
      <c r="A40" s="2897" t="s">
        <v>1042</v>
      </c>
      <c r="B40" s="2897"/>
      <c r="C40" s="2897"/>
      <c r="D40" s="2610">
        <v>8.1</v>
      </c>
      <c r="E40" s="1125"/>
      <c r="F40" s="1126">
        <v>8.1</v>
      </c>
      <c r="G40" s="1106"/>
      <c r="H40" s="2610">
        <v>2.2999999999999998</v>
      </c>
      <c r="I40" s="1125"/>
      <c r="J40" s="1126">
        <v>2.2999999999999998</v>
      </c>
      <c r="K40" s="1125"/>
      <c r="L40" s="1130">
        <v>0</v>
      </c>
      <c r="M40" s="2909"/>
      <c r="N40" s="1131">
        <v>0</v>
      </c>
      <c r="O40" s="1125"/>
      <c r="P40" s="1126">
        <v>0.8</v>
      </c>
      <c r="Q40" s="2909"/>
      <c r="R40" s="2915">
        <v>0.8</v>
      </c>
      <c r="S40" s="1106"/>
      <c r="T40" s="2935"/>
      <c r="U40" s="2935"/>
      <c r="V40" s="2911">
        <f>SUM(D40)+SUM(H40)+SUM(L40)+SUM(P40)</f>
        <v>11.2</v>
      </c>
      <c r="W40" s="1107"/>
      <c r="X40" s="2911">
        <f>SUM(F40)+SUM(J40)+SUM(N40)+SUM(R40)</f>
        <v>11.2</v>
      </c>
      <c r="Y40" s="1106"/>
      <c r="Z40" s="2913"/>
      <c r="AA40" s="1107"/>
      <c r="AB40" s="2918">
        <v>5</v>
      </c>
      <c r="AC40" s="1106"/>
      <c r="AD40" s="2918">
        <v>5</v>
      </c>
      <c r="AE40" s="2909"/>
      <c r="AF40" s="2945"/>
      <c r="AG40" s="1106"/>
      <c r="AH40" s="2915">
        <f t="shared" si="7"/>
        <v>6.2</v>
      </c>
      <c r="AI40" s="2916"/>
      <c r="AJ40" s="2917">
        <f t="shared" si="8"/>
        <v>1.24</v>
      </c>
      <c r="AK40" s="2599"/>
      <c r="AL40" s="2594"/>
    </row>
    <row r="41" spans="1:38" ht="18" customHeight="1">
      <c r="A41" s="2897" t="s">
        <v>1043</v>
      </c>
      <c r="B41" s="2897"/>
      <c r="C41" s="2897"/>
      <c r="D41" s="1126">
        <v>18.2</v>
      </c>
      <c r="E41" s="1125"/>
      <c r="F41" s="1126">
        <v>18.2</v>
      </c>
      <c r="G41" s="1106"/>
      <c r="H41" s="1126">
        <v>1.5</v>
      </c>
      <c r="I41" s="1125"/>
      <c r="J41" s="1126">
        <v>1.5</v>
      </c>
      <c r="K41" s="1125"/>
      <c r="L41" s="1130">
        <v>0</v>
      </c>
      <c r="M41" s="2909"/>
      <c r="N41" s="1131">
        <v>0</v>
      </c>
      <c r="O41" s="1125"/>
      <c r="P41" s="1130">
        <v>0</v>
      </c>
      <c r="Q41" s="2909"/>
      <c r="R41" s="1131">
        <v>0</v>
      </c>
      <c r="S41" s="1106"/>
      <c r="T41" s="2935"/>
      <c r="U41" s="2935"/>
      <c r="V41" s="2911">
        <f>SUM(D41)+SUM(H41)+SUM(L41)+SUM(P41)</f>
        <v>19.7</v>
      </c>
      <c r="W41" s="1107"/>
      <c r="X41" s="2911">
        <f>SUM(F41)+SUM(J41)+SUM(N41)+SUM(R41)</f>
        <v>19.7</v>
      </c>
      <c r="Y41" s="1106"/>
      <c r="Z41" s="2913"/>
      <c r="AA41" s="1107"/>
      <c r="AB41" s="2918">
        <v>6.2</v>
      </c>
      <c r="AC41" s="1106"/>
      <c r="AD41" s="2918">
        <v>6.2</v>
      </c>
      <c r="AE41" s="2909"/>
      <c r="AF41" s="2945"/>
      <c r="AG41" s="1106"/>
      <c r="AH41" s="2915">
        <f t="shared" si="7"/>
        <v>13.5</v>
      </c>
      <c r="AI41" s="2916"/>
      <c r="AJ41" s="2917">
        <f t="shared" si="8"/>
        <v>2.177</v>
      </c>
      <c r="AK41" s="2599"/>
      <c r="AL41" s="2594"/>
    </row>
    <row r="42" spans="1:38" ht="18" customHeight="1">
      <c r="A42" s="2897" t="s">
        <v>1044</v>
      </c>
      <c r="B42" s="2897"/>
      <c r="C42" s="2897"/>
      <c r="D42" s="1126">
        <v>7.9</v>
      </c>
      <c r="E42" s="1125"/>
      <c r="F42" s="1126">
        <v>7.9</v>
      </c>
      <c r="G42" s="1106"/>
      <c r="H42" s="1126">
        <v>-1.7</v>
      </c>
      <c r="I42" s="1125"/>
      <c r="J42" s="1126">
        <v>-1.7</v>
      </c>
      <c r="K42" s="1125"/>
      <c r="L42" s="1130">
        <v>0</v>
      </c>
      <c r="M42" s="2909"/>
      <c r="N42" s="1131">
        <v>0</v>
      </c>
      <c r="O42" s="1125"/>
      <c r="P42" s="1130">
        <v>0</v>
      </c>
      <c r="Q42" s="2909"/>
      <c r="R42" s="1131">
        <v>0</v>
      </c>
      <c r="S42" s="1106"/>
      <c r="T42" s="2935"/>
      <c r="U42" s="2935"/>
      <c r="V42" s="2911">
        <f>SUM(D42)+SUM(H42)+SUM(L42)+SUM(P42)</f>
        <v>6.2</v>
      </c>
      <c r="W42" s="1107"/>
      <c r="X42" s="2911">
        <f>SUM(F42)+SUM(J42)+SUM(N42)+SUM(R42)</f>
        <v>6.2</v>
      </c>
      <c r="Y42" s="1106"/>
      <c r="Z42" s="2913"/>
      <c r="AA42" s="1107"/>
      <c r="AB42" s="2909">
        <v>30.4</v>
      </c>
      <c r="AC42" s="1106"/>
      <c r="AD42" s="2909">
        <v>30.4</v>
      </c>
      <c r="AE42" s="2909"/>
      <c r="AF42" s="2945"/>
      <c r="AG42" s="1106"/>
      <c r="AH42" s="2915">
        <f t="shared" si="7"/>
        <v>-24.2</v>
      </c>
      <c r="AI42" s="2916"/>
      <c r="AJ42" s="2917">
        <f t="shared" si="8"/>
        <v>-0.79600000000000004</v>
      </c>
      <c r="AK42" s="2599"/>
      <c r="AL42" s="2594"/>
    </row>
    <row r="43" spans="1:38" ht="18" customHeight="1">
      <c r="A43" s="2897" t="s">
        <v>1045</v>
      </c>
      <c r="B43" s="2897"/>
      <c r="C43" s="2897"/>
      <c r="D43" s="1130">
        <v>0</v>
      </c>
      <c r="E43" s="2911"/>
      <c r="F43" s="2601">
        <v>0</v>
      </c>
      <c r="G43" s="1106"/>
      <c r="H43" s="1126">
        <v>39.299999999999997</v>
      </c>
      <c r="I43" s="2909"/>
      <c r="J43" s="2915">
        <v>39.299999999999997</v>
      </c>
      <c r="K43" s="1125"/>
      <c r="L43" s="1130">
        <v>0</v>
      </c>
      <c r="M43" s="2909"/>
      <c r="N43" s="1131">
        <v>0</v>
      </c>
      <c r="O43" s="1125"/>
      <c r="P43" s="1126">
        <v>48.2</v>
      </c>
      <c r="Q43" s="2909"/>
      <c r="R43" s="2915">
        <v>48.2</v>
      </c>
      <c r="S43" s="1106"/>
      <c r="T43" s="2935"/>
      <c r="U43" s="2935"/>
      <c r="V43" s="2911">
        <f>SUM(D43)+SUM(H43)+SUM(L43)+SUM(P43)</f>
        <v>87.5</v>
      </c>
      <c r="W43" s="1107"/>
      <c r="X43" s="2911">
        <f>SUM(F43)+SUM(J43)+SUM(N43)+SUM(R43)</f>
        <v>87.5</v>
      </c>
      <c r="Y43" s="1106"/>
      <c r="Z43" s="2913"/>
      <c r="AA43" s="1107"/>
      <c r="AB43" s="2909">
        <v>91.4</v>
      </c>
      <c r="AC43" s="1106"/>
      <c r="AD43" s="2909">
        <v>91.4</v>
      </c>
      <c r="AE43" s="2909"/>
      <c r="AF43" s="2945"/>
      <c r="AG43" s="1106"/>
      <c r="AH43" s="2915">
        <f t="shared" si="7"/>
        <v>-3.9</v>
      </c>
      <c r="AI43" s="2947"/>
      <c r="AJ43" s="2917">
        <f t="shared" si="8"/>
        <v>-4.2999999999999997E-2</v>
      </c>
      <c r="AK43" s="2599"/>
      <c r="AL43" s="2594"/>
    </row>
    <row r="44" spans="1:38" ht="18" customHeight="1">
      <c r="A44" s="2896" t="s">
        <v>1040</v>
      </c>
      <c r="B44" s="2897"/>
      <c r="C44" s="2897"/>
      <c r="D44" s="2939">
        <f>ROUND(SUM(D39:D43),1)</f>
        <v>158</v>
      </c>
      <c r="E44" s="186"/>
      <c r="F44" s="3175">
        <f>ROUND(SUM(F39:F43),1)</f>
        <v>158</v>
      </c>
      <c r="G44" s="184"/>
      <c r="H44" s="2939">
        <f>ROUND(SUM(H39:H43),1)</f>
        <v>73.3</v>
      </c>
      <c r="I44" s="67"/>
      <c r="J44" s="3175">
        <f>ROUND(SUM(J39:J43),1)</f>
        <v>73.3</v>
      </c>
      <c r="K44" s="184"/>
      <c r="L44" s="2949">
        <f>ROUND(SUM(L39:L43),1)</f>
        <v>0</v>
      </c>
      <c r="M44" s="2923"/>
      <c r="N44" s="3176">
        <f>ROUND(SUM(N39:N43),1)</f>
        <v>0</v>
      </c>
      <c r="O44" s="184"/>
      <c r="P44" s="2939">
        <f>ROUND(SUM(P39:P43),1)</f>
        <v>49</v>
      </c>
      <c r="Q44" s="67"/>
      <c r="R44" s="3175">
        <f>ROUND(SUM(R39:R43),1)</f>
        <v>49</v>
      </c>
      <c r="S44" s="184"/>
      <c r="T44" s="2924"/>
      <c r="U44" s="2924"/>
      <c r="V44" s="2948">
        <f>ROUND(SUM(V39:V43),1)</f>
        <v>280.3</v>
      </c>
      <c r="W44" s="186"/>
      <c r="X44" s="2948">
        <f>ROUND(SUM(X39:X43),1)</f>
        <v>280.3</v>
      </c>
      <c r="Y44" s="3044"/>
      <c r="Z44" s="2927"/>
      <c r="AA44" s="186"/>
      <c r="AB44" s="2948">
        <f>ROUND(SUM(AB39:AB43),1)</f>
        <v>314.7</v>
      </c>
      <c r="AC44" s="184"/>
      <c r="AD44" s="2948">
        <f>ROUND(SUM(AD39:AD43),1)</f>
        <v>314.7</v>
      </c>
      <c r="AE44" s="67"/>
      <c r="AF44" s="2929"/>
      <c r="AG44" s="186"/>
      <c r="AH44" s="2950">
        <f t="shared" si="7"/>
        <v>-34.4</v>
      </c>
      <c r="AI44" s="18"/>
      <c r="AJ44" s="2941">
        <f t="shared" si="8"/>
        <v>-0.109</v>
      </c>
      <c r="AK44" s="2604"/>
      <c r="AL44" s="2605"/>
    </row>
    <row r="45" spans="1:38" ht="18" customHeight="1">
      <c r="A45" s="2897"/>
      <c r="B45" s="2897"/>
      <c r="C45" s="2897"/>
      <c r="D45" s="2942"/>
      <c r="E45" s="1107"/>
      <c r="F45" s="2943"/>
      <c r="G45" s="1106"/>
      <c r="H45" s="2942"/>
      <c r="I45" s="1127"/>
      <c r="J45" s="2944"/>
      <c r="K45" s="1106"/>
      <c r="L45" s="2942"/>
      <c r="M45" s="1127"/>
      <c r="N45" s="2944"/>
      <c r="O45" s="1106"/>
      <c r="P45" s="2942"/>
      <c r="Q45" s="1127"/>
      <c r="R45" s="2944"/>
      <c r="S45" s="1106"/>
      <c r="T45" s="2935"/>
      <c r="U45" s="2935"/>
      <c r="V45" s="2943"/>
      <c r="W45" s="1107"/>
      <c r="X45" s="2943"/>
      <c r="Y45" s="1107"/>
      <c r="Z45" s="2913"/>
      <c r="AA45" s="1107"/>
      <c r="AB45" s="2942"/>
      <c r="AC45" s="1106"/>
      <c r="AD45" s="2944"/>
      <c r="AE45" s="1127"/>
      <c r="AF45" s="2914"/>
      <c r="AG45" s="1107"/>
      <c r="AH45" s="1127"/>
      <c r="AI45" s="1121"/>
      <c r="AJ45" s="3042"/>
      <c r="AK45" s="2609"/>
      <c r="AL45" s="2594"/>
    </row>
    <row r="46" spans="1:38" ht="18" customHeight="1">
      <c r="A46" s="2938" t="s">
        <v>1350</v>
      </c>
      <c r="B46" s="2897"/>
      <c r="C46" s="2897"/>
      <c r="D46" s="1126"/>
      <c r="E46" s="1106"/>
      <c r="F46" s="1106"/>
      <c r="G46" s="1106"/>
      <c r="H46" s="1126"/>
      <c r="I46" s="1125"/>
      <c r="J46" s="1125"/>
      <c r="K46" s="1106"/>
      <c r="L46" s="1126"/>
      <c r="M46" s="1125"/>
      <c r="N46" s="1125"/>
      <c r="O46" s="1106"/>
      <c r="P46" s="1126"/>
      <c r="Q46" s="1125"/>
      <c r="R46" s="1125"/>
      <c r="S46" s="1106"/>
      <c r="T46" s="2935"/>
      <c r="U46" s="2935"/>
      <c r="V46" s="1107"/>
      <c r="W46" s="1107"/>
      <c r="X46" s="1106"/>
      <c r="Y46" s="1106"/>
      <c r="Z46" s="2913"/>
      <c r="AA46" s="1107"/>
      <c r="AB46" s="1128"/>
      <c r="AC46" s="1106"/>
      <c r="AD46" s="1125"/>
      <c r="AE46" s="1125"/>
      <c r="AF46" s="2914"/>
      <c r="AG46" s="1106"/>
      <c r="AH46" s="1126"/>
      <c r="AI46" s="1122"/>
      <c r="AJ46" s="2917"/>
      <c r="AK46" s="2609"/>
      <c r="AL46" s="2594"/>
    </row>
    <row r="47" spans="1:38" ht="18" customHeight="1">
      <c r="A47" s="2897" t="s">
        <v>1046</v>
      </c>
      <c r="B47" s="2897"/>
      <c r="C47" s="2897"/>
      <c r="D47" s="1130">
        <v>0</v>
      </c>
      <c r="E47" s="1125"/>
      <c r="F47" s="1126">
        <v>0</v>
      </c>
      <c r="G47" s="1106"/>
      <c r="H47" s="1130">
        <v>0</v>
      </c>
      <c r="I47" s="2909"/>
      <c r="J47" s="2601">
        <v>0</v>
      </c>
      <c r="K47" s="1125"/>
      <c r="L47" s="1130">
        <v>0</v>
      </c>
      <c r="M47" s="2909"/>
      <c r="N47" s="1131">
        <v>0</v>
      </c>
      <c r="O47" s="1125"/>
      <c r="P47" s="1130">
        <v>0</v>
      </c>
      <c r="Q47" s="2909"/>
      <c r="R47" s="1131">
        <v>0</v>
      </c>
      <c r="S47" s="1106"/>
      <c r="T47" s="2935"/>
      <c r="U47" s="2935"/>
      <c r="V47" s="2951">
        <f t="shared" ref="V47:V52" si="9">SUM(D47)+SUM(H47)+SUM(L47)+SUM(P47)</f>
        <v>0</v>
      </c>
      <c r="W47" s="1107"/>
      <c r="X47" s="2911">
        <f t="shared" ref="X47:X52" si="10">SUM(F47)+SUM(J47)+SUM(N47)+SUM(R47)</f>
        <v>0</v>
      </c>
      <c r="Y47" s="2912"/>
      <c r="Z47" s="2913"/>
      <c r="AA47" s="1107"/>
      <c r="AB47" s="2946">
        <v>0</v>
      </c>
      <c r="AC47" s="1106"/>
      <c r="AD47" s="2951">
        <v>0</v>
      </c>
      <c r="AE47" s="2909"/>
      <c r="AF47" s="2945"/>
      <c r="AG47" s="2912"/>
      <c r="AH47" s="2915">
        <f t="shared" ref="AH47:AH53" si="11">ROUND(SUM(X47)-SUM(AD47),1)</f>
        <v>0</v>
      </c>
      <c r="AI47" s="2916"/>
      <c r="AJ47" s="1816">
        <f>ROUND(IF(AD47=0,0,-AH47/(AD47)),3)</f>
        <v>0</v>
      </c>
      <c r="AK47" s="2599"/>
      <c r="AL47" s="2594"/>
    </row>
    <row r="48" spans="1:38" ht="18" customHeight="1">
      <c r="A48" s="2897" t="s">
        <v>1047</v>
      </c>
      <c r="B48" s="2897"/>
      <c r="C48" s="2897"/>
      <c r="D48" s="1126">
        <v>74.900000000000006</v>
      </c>
      <c r="E48" s="1125"/>
      <c r="F48" s="1126">
        <v>74.900000000000006</v>
      </c>
      <c r="G48" s="1106"/>
      <c r="H48" s="1130">
        <v>0</v>
      </c>
      <c r="I48" s="2909"/>
      <c r="J48" s="2601">
        <v>0</v>
      </c>
      <c r="K48" s="1125"/>
      <c r="L48" s="1130">
        <v>0</v>
      </c>
      <c r="M48" s="2909"/>
      <c r="N48" s="1131">
        <v>0</v>
      </c>
      <c r="O48" s="1125"/>
      <c r="P48" s="1130">
        <v>0</v>
      </c>
      <c r="Q48" s="2909"/>
      <c r="R48" s="1131">
        <v>0</v>
      </c>
      <c r="S48" s="1106"/>
      <c r="T48" s="2935"/>
      <c r="U48" s="2935"/>
      <c r="V48" s="2911">
        <f t="shared" si="9"/>
        <v>74.900000000000006</v>
      </c>
      <c r="W48" s="1107"/>
      <c r="X48" s="2911">
        <f t="shared" si="10"/>
        <v>74.900000000000006</v>
      </c>
      <c r="Y48" s="2912"/>
      <c r="Z48" s="2913"/>
      <c r="AA48" s="1107"/>
      <c r="AB48" s="2918">
        <v>148.9</v>
      </c>
      <c r="AC48" s="1106"/>
      <c r="AD48" s="2918">
        <v>148.9</v>
      </c>
      <c r="AE48" s="2918"/>
      <c r="AF48" s="2945"/>
      <c r="AG48" s="2912"/>
      <c r="AH48" s="2915">
        <f t="shared" si="11"/>
        <v>-74</v>
      </c>
      <c r="AI48" s="2916"/>
      <c r="AJ48" s="2917">
        <f>ROUND(AH48/AD48,3)</f>
        <v>-0.497</v>
      </c>
      <c r="AK48" s="2599"/>
      <c r="AL48" s="2594"/>
    </row>
    <row r="49" spans="1:38" ht="18" customHeight="1">
      <c r="A49" s="2897" t="s">
        <v>1048</v>
      </c>
      <c r="B49" s="2897"/>
      <c r="C49" s="2897"/>
      <c r="D49" s="1126">
        <v>0.7</v>
      </c>
      <c r="E49" s="1125"/>
      <c r="F49" s="1126">
        <v>0.7</v>
      </c>
      <c r="G49" s="1106"/>
      <c r="H49" s="1130">
        <v>0</v>
      </c>
      <c r="I49" s="2909"/>
      <c r="J49" s="2601">
        <v>0</v>
      </c>
      <c r="K49" s="1125"/>
      <c r="L49" s="1130">
        <v>0</v>
      </c>
      <c r="M49" s="2909"/>
      <c r="N49" s="1131">
        <v>0</v>
      </c>
      <c r="O49" s="1125"/>
      <c r="P49" s="1130">
        <v>0</v>
      </c>
      <c r="Q49" s="2909"/>
      <c r="R49" s="1131">
        <v>0</v>
      </c>
      <c r="S49" s="1106"/>
      <c r="T49" s="2935"/>
      <c r="U49" s="2935"/>
      <c r="V49" s="2911">
        <f t="shared" si="9"/>
        <v>0.7</v>
      </c>
      <c r="W49" s="1107"/>
      <c r="X49" s="2911">
        <f t="shared" si="10"/>
        <v>0.7</v>
      </c>
      <c r="Y49" s="2912"/>
      <c r="Z49" s="2913"/>
      <c r="AA49" s="1107"/>
      <c r="AB49" s="2918">
        <v>0.9</v>
      </c>
      <c r="AC49" s="1106"/>
      <c r="AD49" s="2918">
        <v>0.9</v>
      </c>
      <c r="AE49" s="2918"/>
      <c r="AF49" s="2945"/>
      <c r="AG49" s="2912"/>
      <c r="AH49" s="2915">
        <f t="shared" si="11"/>
        <v>-0.2</v>
      </c>
      <c r="AI49" s="2916"/>
      <c r="AJ49" s="2917">
        <f>ROUND(AH49/AD49,3)</f>
        <v>-0.222</v>
      </c>
      <c r="AK49" s="2599"/>
      <c r="AL49" s="2594"/>
    </row>
    <row r="50" spans="1:38" ht="18" customHeight="1">
      <c r="A50" s="2897" t="s">
        <v>1049</v>
      </c>
      <c r="B50" s="2897"/>
      <c r="C50" s="2897"/>
      <c r="D50" s="1130">
        <v>0</v>
      </c>
      <c r="E50" s="2911"/>
      <c r="F50" s="1131">
        <v>0</v>
      </c>
      <c r="G50" s="1106"/>
      <c r="H50" s="1130">
        <v>0</v>
      </c>
      <c r="I50" s="2909"/>
      <c r="J50" s="2601">
        <v>0</v>
      </c>
      <c r="K50" s="1125"/>
      <c r="L50" s="2915">
        <v>90.4</v>
      </c>
      <c r="M50" s="2909"/>
      <c r="N50" s="2915">
        <v>90.4</v>
      </c>
      <c r="O50" s="1125"/>
      <c r="P50" s="2607">
        <v>0</v>
      </c>
      <c r="Q50" s="2909"/>
      <c r="R50" s="2932">
        <v>0</v>
      </c>
      <c r="S50" s="1106"/>
      <c r="T50" s="2935"/>
      <c r="U50" s="2935"/>
      <c r="V50" s="2911">
        <f t="shared" si="9"/>
        <v>90.4</v>
      </c>
      <c r="W50" s="1107"/>
      <c r="X50" s="2911">
        <f t="shared" si="10"/>
        <v>90.4</v>
      </c>
      <c r="Y50" s="2912"/>
      <c r="Z50" s="2913"/>
      <c r="AA50" s="1107"/>
      <c r="AB50" s="2918">
        <v>86.3</v>
      </c>
      <c r="AC50" s="1106"/>
      <c r="AD50" s="2918">
        <v>86.3</v>
      </c>
      <c r="AE50" s="2909"/>
      <c r="AF50" s="2945"/>
      <c r="AG50" s="2912"/>
      <c r="AH50" s="2915">
        <f t="shared" si="11"/>
        <v>4.0999999999999996</v>
      </c>
      <c r="AI50" s="2952"/>
      <c r="AJ50" s="2917">
        <f>ROUND(AH50/AD50,3)</f>
        <v>4.8000000000000001E-2</v>
      </c>
      <c r="AK50" s="2599"/>
      <c r="AL50" s="2594"/>
    </row>
    <row r="51" spans="1:38" ht="18" customHeight="1">
      <c r="A51" s="2897" t="s">
        <v>1050</v>
      </c>
      <c r="B51" s="2897"/>
      <c r="C51" s="2897"/>
      <c r="D51" s="1126">
        <v>0</v>
      </c>
      <c r="E51" s="1127"/>
      <c r="F51" s="2932">
        <v>0</v>
      </c>
      <c r="G51" s="1106"/>
      <c r="H51" s="1130">
        <v>0</v>
      </c>
      <c r="I51" s="2909"/>
      <c r="J51" s="2601">
        <v>0</v>
      </c>
      <c r="K51" s="1125"/>
      <c r="L51" s="1130">
        <v>0</v>
      </c>
      <c r="M51" s="2909"/>
      <c r="N51" s="1131">
        <v>0</v>
      </c>
      <c r="O51" s="1125"/>
      <c r="P51" s="1130">
        <v>0</v>
      </c>
      <c r="Q51" s="2909"/>
      <c r="R51" s="1131">
        <v>0</v>
      </c>
      <c r="S51" s="1106"/>
      <c r="T51" s="2935"/>
      <c r="U51" s="2935"/>
      <c r="V51" s="2911">
        <f t="shared" si="9"/>
        <v>0</v>
      </c>
      <c r="W51" s="1107"/>
      <c r="X51" s="2911">
        <f t="shared" si="10"/>
        <v>0</v>
      </c>
      <c r="Y51" s="2912"/>
      <c r="Z51" s="2913"/>
      <c r="AA51" s="1107"/>
      <c r="AB51" s="2918">
        <v>0</v>
      </c>
      <c r="AC51" s="1106"/>
      <c r="AD51" s="2946">
        <v>0</v>
      </c>
      <c r="AE51" s="2909"/>
      <c r="AF51" s="2945"/>
      <c r="AG51" s="2912"/>
      <c r="AH51" s="2915">
        <f t="shared" si="11"/>
        <v>0</v>
      </c>
      <c r="AI51" s="2952"/>
      <c r="AJ51" s="1816">
        <f>ROUND(IF(AD51=0,0,AH51/(AD51)),3)</f>
        <v>0</v>
      </c>
      <c r="AK51" s="2599"/>
      <c r="AL51" s="2594"/>
    </row>
    <row r="52" spans="1:38" ht="18" customHeight="1">
      <c r="A52" s="2908" t="s">
        <v>1051</v>
      </c>
      <c r="B52" s="2897"/>
      <c r="C52" s="2897"/>
      <c r="D52" s="1130">
        <v>0</v>
      </c>
      <c r="E52" s="1127"/>
      <c r="F52" s="1130">
        <v>0</v>
      </c>
      <c r="G52" s="1106"/>
      <c r="H52" s="1126">
        <v>116.6</v>
      </c>
      <c r="I52" s="2909"/>
      <c r="J52" s="2915">
        <v>116.6</v>
      </c>
      <c r="K52" s="1125"/>
      <c r="L52" s="1130">
        <v>0</v>
      </c>
      <c r="M52" s="2909"/>
      <c r="N52" s="1131">
        <v>0</v>
      </c>
      <c r="O52" s="1125"/>
      <c r="P52" s="1130">
        <v>0</v>
      </c>
      <c r="Q52" s="2909"/>
      <c r="R52" s="1131">
        <v>0</v>
      </c>
      <c r="S52" s="1106"/>
      <c r="T52" s="2935"/>
      <c r="U52" s="2935"/>
      <c r="V52" s="2911">
        <f t="shared" si="9"/>
        <v>116.6</v>
      </c>
      <c r="W52" s="1107"/>
      <c r="X52" s="2911">
        <f t="shared" si="10"/>
        <v>116.6</v>
      </c>
      <c r="Y52" s="2912"/>
      <c r="Z52" s="2913"/>
      <c r="AA52" s="1107"/>
      <c r="AB52" s="2918">
        <v>132.6</v>
      </c>
      <c r="AC52" s="1106"/>
      <c r="AD52" s="2918">
        <v>132.6</v>
      </c>
      <c r="AE52" s="2909"/>
      <c r="AF52" s="2945"/>
      <c r="AG52" s="2912"/>
      <c r="AH52" s="2601">
        <f t="shared" si="11"/>
        <v>-16</v>
      </c>
      <c r="AI52" s="2952"/>
      <c r="AJ52" s="2953">
        <f>ROUND(AH52/AD52,3)</f>
        <v>-0.121</v>
      </c>
      <c r="AK52" s="2599"/>
      <c r="AL52" s="2594"/>
    </row>
    <row r="53" spans="1:38" ht="18" customHeight="1">
      <c r="A53" s="2896" t="s">
        <v>1040</v>
      </c>
      <c r="B53" s="2897"/>
      <c r="C53" s="2897"/>
      <c r="D53" s="2939">
        <f>ROUND(SUM(D47:D52),1)</f>
        <v>75.599999999999994</v>
      </c>
      <c r="E53" s="186"/>
      <c r="F53" s="2948">
        <f>ROUND(SUM(F47:F52),1)</f>
        <v>75.599999999999994</v>
      </c>
      <c r="G53" s="184"/>
      <c r="H53" s="2954">
        <f>ROUND(SUM(H47:H52),1)</f>
        <v>116.6</v>
      </c>
      <c r="I53" s="2923"/>
      <c r="J53" s="2954">
        <f>ROUND(SUM(J47:J52),1)</f>
        <v>116.6</v>
      </c>
      <c r="K53" s="184"/>
      <c r="L53" s="2939">
        <f>ROUND(SUM(L47:L52),1)</f>
        <v>90.4</v>
      </c>
      <c r="M53" s="67"/>
      <c r="N53" s="2939">
        <f>ROUND(SUM(N47:N52),1)</f>
        <v>90.4</v>
      </c>
      <c r="O53" s="184" t="s">
        <v>16</v>
      </c>
      <c r="P53" s="2939">
        <f>ROUND(SUM(P47:P52),1)</f>
        <v>0</v>
      </c>
      <c r="Q53" s="67"/>
      <c r="R53" s="2939">
        <f>ROUND(SUM(R47:R52),1)</f>
        <v>0</v>
      </c>
      <c r="S53" s="184"/>
      <c r="T53" s="2924"/>
      <c r="U53" s="2924"/>
      <c r="V53" s="2925">
        <f>ROUND(SUM(V47:V52),1)</f>
        <v>282.60000000000002</v>
      </c>
      <c r="W53" s="186"/>
      <c r="X53" s="2925">
        <f>ROUND(SUM(X47:X52),1)</f>
        <v>282.60000000000002</v>
      </c>
      <c r="Y53" s="3041"/>
      <c r="Z53" s="2927"/>
      <c r="AA53" s="186"/>
      <c r="AB53" s="2925">
        <f>ROUND(SUM(AB47:AB52),1)</f>
        <v>368.7</v>
      </c>
      <c r="AC53" s="184"/>
      <c r="AD53" s="2925">
        <f>ROUND(SUM(AD47:AD52),1)</f>
        <v>368.7</v>
      </c>
      <c r="AE53" s="2928"/>
      <c r="AF53" s="2929"/>
      <c r="AG53" s="2926"/>
      <c r="AH53" s="2940">
        <f t="shared" si="11"/>
        <v>-86.1</v>
      </c>
      <c r="AI53" s="18"/>
      <c r="AJ53" s="2941">
        <f>ROUND(AH53/AD53,3)</f>
        <v>-0.23400000000000001</v>
      </c>
      <c r="AK53" s="2604"/>
      <c r="AL53" s="2605"/>
    </row>
    <row r="54" spans="1:38" ht="18" customHeight="1">
      <c r="A54" s="2897"/>
      <c r="B54" s="2897"/>
      <c r="C54" s="2897"/>
      <c r="D54" s="2955"/>
      <c r="E54" s="160"/>
      <c r="F54" s="2956"/>
      <c r="G54" s="1257"/>
      <c r="H54" s="2955"/>
      <c r="I54" s="18"/>
      <c r="J54" s="2957"/>
      <c r="K54" s="1257"/>
      <c r="L54" s="2955"/>
      <c r="M54" s="18"/>
      <c r="N54" s="2957"/>
      <c r="O54" s="1257"/>
      <c r="P54" s="2955"/>
      <c r="Q54" s="18"/>
      <c r="R54" s="2957"/>
      <c r="S54" s="1257"/>
      <c r="T54" s="2958"/>
      <c r="U54" s="2958"/>
      <c r="V54" s="2956"/>
      <c r="W54" s="199"/>
      <c r="X54" s="2956"/>
      <c r="Y54" s="160"/>
      <c r="Z54" s="2959"/>
      <c r="AA54" s="199"/>
      <c r="AB54" s="2955"/>
      <c r="AC54" s="1257"/>
      <c r="AD54" s="2957"/>
      <c r="AE54" s="18"/>
      <c r="AF54" s="2960"/>
      <c r="AG54" s="160"/>
      <c r="AH54" s="2961"/>
      <c r="AI54" s="18"/>
      <c r="AJ54" s="2962"/>
      <c r="AK54" s="2605"/>
      <c r="AL54" s="2605"/>
    </row>
    <row r="55" spans="1:38" ht="18" customHeight="1" thickBot="1">
      <c r="A55" s="2896" t="s">
        <v>1052</v>
      </c>
      <c r="B55" s="2897"/>
      <c r="C55" s="2897"/>
      <c r="D55" s="2963">
        <f>ROUND(SUM(D25)+SUM(D36)+SUM(D44)+SUM(D53),1)</f>
        <v>5567.1</v>
      </c>
      <c r="E55" s="2964"/>
      <c r="F55" s="3177">
        <f>ROUND(SUM(F25)+SUM(F36)+SUM(F44)+SUM(F53),1)</f>
        <v>5567.1</v>
      </c>
      <c r="G55" s="3178"/>
      <c r="H55" s="2963">
        <f>ROUND(SUM(H25)+SUM(H36)+SUM(H44)+SUM(H53),1)</f>
        <v>376.6</v>
      </c>
      <c r="I55" s="2964"/>
      <c r="J55" s="3177">
        <f>ROUND(SUM(J25)+SUM(J36)+SUM(J44)+SUM(J53),1)</f>
        <v>376.6</v>
      </c>
      <c r="K55" s="2964"/>
      <c r="L55" s="2963">
        <f>ROUND(SUM(L25)+SUM(L36)+SUM(L44)+SUM(L53),1)</f>
        <v>2184.5</v>
      </c>
      <c r="M55" s="2964"/>
      <c r="N55" s="2963">
        <f>ROUND(SUM(N25)+SUM(N36)+SUM(N44)+SUM(N53),1)</f>
        <v>2184.5</v>
      </c>
      <c r="O55" s="2964"/>
      <c r="P55" s="2963">
        <f>ROUND(SUM(P25)+SUM(P36)+SUM(P44)+SUM(P53),1)</f>
        <v>92.7</v>
      </c>
      <c r="Q55" s="2964"/>
      <c r="R55" s="3177">
        <f>ROUND(SUM(R25)+SUM(R36)+SUM(R44)+SUM(R53),1)</f>
        <v>92.7</v>
      </c>
      <c r="S55" s="2965"/>
      <c r="T55" s="2966"/>
      <c r="U55" s="2964"/>
      <c r="V55" s="2967">
        <f>ROUND(SUM(V25)+SUM(V36)+SUM(V44)+SUM(V53),1)</f>
        <v>8220.9</v>
      </c>
      <c r="W55" s="2964"/>
      <c r="X55" s="2967">
        <f>ROUND(SUM(X25)+SUM(X36)+SUM(X44)+SUM(X53),1)</f>
        <v>8220.9</v>
      </c>
      <c r="Y55" s="3045"/>
      <c r="Z55" s="2968"/>
      <c r="AA55" s="2964"/>
      <c r="AB55" s="2967">
        <f>ROUND(SUM(AB25)+SUM(AB36)+SUM(AB44)+SUM(AB53),1)</f>
        <v>8641.2999999999993</v>
      </c>
      <c r="AC55" s="2964"/>
      <c r="AD55" s="2967">
        <f>ROUND(SUM(AD25)+SUM(AD36)+SUM(AD44)+SUM(AD53),1)</f>
        <v>8641.2999999999993</v>
      </c>
      <c r="AE55" s="2969"/>
      <c r="AF55" s="2970"/>
      <c r="AG55" s="2969"/>
      <c r="AH55" s="2971">
        <f>ROUND(SUM(X55)-SUM(AD55),1)</f>
        <v>-420.4</v>
      </c>
      <c r="AI55" s="18"/>
      <c r="AJ55" s="2972">
        <f>ROUND(AH55/AD55,3)</f>
        <v>-4.9000000000000002E-2</v>
      </c>
      <c r="AK55" s="2604"/>
      <c r="AL55" s="2605"/>
    </row>
    <row r="56" spans="1:38" ht="15" customHeight="1" thickTop="1"/>
    <row r="57" spans="1:38" ht="15" customHeight="1"/>
    <row r="58" spans="1:38" ht="15" customHeight="1"/>
  </sheetData>
  <customSheetViews>
    <customSheetView guid="{8EE6466D-211E-4E05-9F84-CC0A1C6F79F4}" scale="60" showGridLines="0" outlineSymbols="0" fitToPage="1" topLeftCell="A19">
      <selection activeCell="A25" sqref="A25"/>
      <pageMargins left="0.4" right="0.25" top="0.75" bottom="0.40277777777777801" header="0" footer="0.25"/>
      <pageSetup scale="42" orientation="landscape" r:id="rId1"/>
      <headerFooter scaleWithDoc="0" alignWithMargins="0">
        <oddFooter>&amp;C&amp;8 15</oddFooter>
      </headerFooter>
    </customSheetView>
  </customSheetViews>
  <pageMargins left="0.4" right="0.25" top="0.75" bottom="0.40277777777777801" header="0" footer="0.25"/>
  <pageSetup scale="41" firstPageNumber="15" orientation="landscape" useFirstPageNumber="1" r:id="rId2"/>
  <headerFooter scaleWithDoc="0" alignWithMargins="0">
    <oddFooter>&amp;C&amp;8&amp;P</oddFooter>
  </headerFooter>
  <ignoredErrors>
    <ignoredError sqref="F36 R36 F44 J44 N44 R44 F55 J55 R55 AJ47 AJ22:AJ23" unlockedFormula="1"/>
    <ignoredError sqref="AH24 AJ19 AH19 V31" formula="1"/>
    <ignoredError sqref="AJ31 AJ51" formula="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1:BG158"/>
  <sheetViews>
    <sheetView zoomScale="70" zoomScaleNormal="70" workbookViewId="0"/>
  </sheetViews>
  <sheetFormatPr defaultColWidth="8.90625" defaultRowHeight="16.5" customHeight="1"/>
  <cols>
    <col min="1" max="1" width="43.6328125" style="418" customWidth="1"/>
    <col min="2" max="2" width="1.6328125" style="418" customWidth="1"/>
    <col min="3" max="3" width="13.453125" style="418" customWidth="1"/>
    <col min="4" max="4" width="1.6328125" style="418" customWidth="1"/>
    <col min="5" max="5" width="13.1796875" style="418" bestFit="1" customWidth="1"/>
    <col min="6" max="6" width="1.6328125" style="418" customWidth="1"/>
    <col min="7" max="7" width="12.90625" style="418" bestFit="1" customWidth="1"/>
    <col min="8" max="8" width="1.6328125" style="418" customWidth="1"/>
    <col min="9" max="9" width="14.453125" style="418" customWidth="1"/>
    <col min="10" max="10" width="1.6328125" style="418" customWidth="1"/>
    <col min="11" max="11" width="13.1796875" style="418" bestFit="1" customWidth="1"/>
    <col min="12" max="12" width="1.6328125" style="418" customWidth="1"/>
    <col min="13" max="13" width="13.36328125" style="418" customWidth="1"/>
    <col min="14" max="14" width="1.6328125" style="418" customWidth="1"/>
    <col min="15" max="15" width="13.1796875" style="418" bestFit="1" customWidth="1"/>
    <col min="16" max="16" width="1.6328125" style="418" customWidth="1"/>
    <col min="17" max="17" width="13.453125" style="418" bestFit="1" customWidth="1"/>
    <col min="18" max="18" width="1.6328125" style="418" customWidth="1"/>
    <col min="19" max="19" width="13.36328125" style="418" customWidth="1"/>
    <col min="20" max="20" width="1.6328125" style="418" customWidth="1"/>
    <col min="21" max="21" width="13" style="418" customWidth="1"/>
    <col min="22" max="22" width="1.6328125" style="418" customWidth="1"/>
    <col min="23" max="23" width="12.36328125" style="418" customWidth="1"/>
    <col min="24" max="24" width="1.6328125" style="418" customWidth="1"/>
    <col min="25" max="25" width="12.90625" style="418" bestFit="1" customWidth="1"/>
    <col min="26" max="27" width="1.6328125" style="418" customWidth="1"/>
    <col min="28" max="28" width="15.1796875" style="418" customWidth="1"/>
    <col min="29" max="30" width="1.6328125" style="418" customWidth="1"/>
    <col min="31" max="31" width="13.54296875" style="418" bestFit="1" customWidth="1"/>
    <col min="32" max="33" width="1.6328125" style="418" customWidth="1"/>
    <col min="34" max="34" width="12.90625" style="418" bestFit="1" customWidth="1"/>
    <col min="35" max="35" width="1.36328125" style="418" customWidth="1"/>
    <col min="36" max="36" width="11.81640625" style="418" customWidth="1"/>
    <col min="37" max="16384" width="8.90625" style="418"/>
  </cols>
  <sheetData>
    <row r="1" spans="1:37" ht="16.5" customHeight="1">
      <c r="A1" s="1172" t="s">
        <v>1103</v>
      </c>
    </row>
    <row r="2" spans="1:37" ht="16.5" customHeight="1">
      <c r="A2" s="1685"/>
    </row>
    <row r="3" spans="1:37" ht="20.25" customHeight="1">
      <c r="A3" s="426" t="s">
        <v>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I3" s="429"/>
    </row>
    <row r="4" spans="1:37" ht="20.25" customHeight="1">
      <c r="A4" s="426" t="s">
        <v>127</v>
      </c>
      <c r="B4" s="429"/>
      <c r="C4" s="429"/>
      <c r="D4" s="429"/>
      <c r="E4" s="429"/>
      <c r="F4" s="429"/>
      <c r="G4" s="429"/>
      <c r="H4" s="429"/>
      <c r="I4" s="429" t="s">
        <v>16</v>
      </c>
      <c r="J4" s="429"/>
      <c r="K4" s="429"/>
      <c r="L4" s="429"/>
      <c r="M4" s="429"/>
      <c r="N4" s="429"/>
      <c r="O4" s="429"/>
      <c r="P4" s="429"/>
      <c r="Q4" s="429"/>
      <c r="R4" s="429"/>
      <c r="S4" s="429"/>
      <c r="T4" s="429"/>
      <c r="U4" s="429"/>
      <c r="V4" s="429"/>
      <c r="W4" s="429"/>
      <c r="X4" s="429"/>
      <c r="Y4" s="429" t="s">
        <v>16</v>
      </c>
      <c r="Z4" s="429"/>
      <c r="AA4" s="429"/>
      <c r="AB4" s="429"/>
      <c r="AC4" s="429"/>
      <c r="AD4" s="429"/>
      <c r="AE4" s="429"/>
      <c r="AF4" s="429"/>
      <c r="AG4" s="429"/>
      <c r="AI4" s="429"/>
    </row>
    <row r="5" spans="1:37" ht="20.25" customHeight="1">
      <c r="A5" s="428" t="s">
        <v>128</v>
      </c>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C5" s="3400"/>
      <c r="AD5" s="3401"/>
      <c r="AE5" s="3401"/>
      <c r="AF5" s="3401"/>
      <c r="AG5" s="3401"/>
      <c r="AH5" s="3401"/>
      <c r="AI5" s="3401"/>
      <c r="AJ5" s="3401"/>
    </row>
    <row r="6" spans="1:37" ht="20.25" customHeight="1">
      <c r="A6" s="428" t="s">
        <v>1472</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I6" s="429"/>
    </row>
    <row r="7" spans="1:37" ht="20.25" customHeight="1">
      <c r="A7" s="426" t="s">
        <v>991</v>
      </c>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I7" s="429"/>
    </row>
    <row r="8" spans="1:37" ht="16.5" customHeight="1">
      <c r="A8" s="429"/>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I8" s="429"/>
    </row>
    <row r="9" spans="1:37" ht="16.5" customHeight="1">
      <c r="A9" s="429"/>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I9" s="429"/>
    </row>
    <row r="10" spans="1:37" ht="16.5" customHeight="1">
      <c r="A10" s="429"/>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I10" s="429"/>
    </row>
    <row r="11" spans="1:37" ht="16.5" customHeight="1">
      <c r="A11" s="429"/>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C11" s="429"/>
      <c r="AD11" s="429"/>
      <c r="AE11" s="429"/>
      <c r="AF11" s="429"/>
      <c r="AG11" s="429"/>
      <c r="AI11" s="429"/>
    </row>
    <row r="12" spans="1:37" ht="16.5" customHeight="1">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Z12" s="429"/>
      <c r="AA12" s="979"/>
      <c r="AB12" s="3402" t="s">
        <v>1471</v>
      </c>
      <c r="AC12" s="3402"/>
      <c r="AD12" s="3402"/>
      <c r="AE12" s="3402"/>
      <c r="AF12" s="3402"/>
      <c r="AG12" s="3402"/>
      <c r="AH12" s="3402"/>
      <c r="AI12" s="3402"/>
      <c r="AJ12" s="3402"/>
    </row>
    <row r="13" spans="1:37" ht="16.5" customHeight="1">
      <c r="A13" s="429"/>
      <c r="B13" s="429"/>
      <c r="C13" s="3114">
        <v>2016</v>
      </c>
      <c r="D13" s="977"/>
      <c r="E13" s="977"/>
      <c r="F13" s="977"/>
      <c r="G13" s="977"/>
      <c r="H13" s="977"/>
      <c r="I13" s="977"/>
      <c r="J13" s="977"/>
      <c r="K13" s="977"/>
      <c r="L13" s="977"/>
      <c r="M13" s="977"/>
      <c r="N13" s="977"/>
      <c r="O13" s="977"/>
      <c r="P13" s="977"/>
      <c r="Q13" s="977"/>
      <c r="R13" s="977"/>
      <c r="S13" s="977"/>
      <c r="T13" s="977"/>
      <c r="U13" s="3114">
        <v>2017</v>
      </c>
      <c r="V13" s="977"/>
      <c r="W13" s="977"/>
      <c r="X13" s="977"/>
      <c r="Y13" s="977"/>
      <c r="Z13" s="977"/>
      <c r="AA13" s="977"/>
      <c r="AB13" s="977"/>
      <c r="AC13" s="1472"/>
      <c r="AD13" s="1472"/>
      <c r="AE13" s="1472"/>
      <c r="AF13" s="977"/>
      <c r="AG13" s="977"/>
      <c r="AH13" s="1473" t="s">
        <v>8</v>
      </c>
      <c r="AI13" s="1471"/>
      <c r="AJ13" s="1473" t="s">
        <v>9</v>
      </c>
    </row>
    <row r="14" spans="1:37" ht="16.5" customHeight="1">
      <c r="A14" s="429"/>
      <c r="B14" s="429"/>
      <c r="C14" s="1473" t="s">
        <v>129</v>
      </c>
      <c r="D14" s="977"/>
      <c r="E14" s="1473" t="s">
        <v>130</v>
      </c>
      <c r="F14" s="977"/>
      <c r="G14" s="1473" t="s">
        <v>131</v>
      </c>
      <c r="H14" s="977"/>
      <c r="I14" s="1473" t="s">
        <v>132</v>
      </c>
      <c r="J14" s="977"/>
      <c r="K14" s="1473" t="s">
        <v>133</v>
      </c>
      <c r="L14" s="977"/>
      <c r="M14" s="1473" t="s">
        <v>134</v>
      </c>
      <c r="N14" s="977"/>
      <c r="O14" s="1473" t="s">
        <v>135</v>
      </c>
      <c r="P14" s="977"/>
      <c r="Q14" s="1473" t="s">
        <v>136</v>
      </c>
      <c r="R14" s="977"/>
      <c r="S14" s="1473" t="s">
        <v>137</v>
      </c>
      <c r="T14" s="977"/>
      <c r="U14" s="1473" t="s">
        <v>138</v>
      </c>
      <c r="V14" s="977"/>
      <c r="W14" s="1473" t="s">
        <v>139</v>
      </c>
      <c r="X14" s="977"/>
      <c r="Y14" s="1473" t="s">
        <v>140</v>
      </c>
      <c r="Z14" s="977"/>
      <c r="AA14" s="977"/>
      <c r="AB14" s="1474">
        <v>2016</v>
      </c>
      <c r="AC14" s="977"/>
      <c r="AD14" s="977"/>
      <c r="AE14" s="1474">
        <v>2015</v>
      </c>
      <c r="AF14" s="977"/>
      <c r="AG14" s="977"/>
      <c r="AH14" s="1475" t="s">
        <v>13</v>
      </c>
      <c r="AI14" s="1471"/>
      <c r="AJ14" s="1475" t="s">
        <v>14</v>
      </c>
    </row>
    <row r="15" spans="1:37" ht="6" customHeight="1">
      <c r="A15" s="429"/>
      <c r="B15" s="429"/>
      <c r="C15" s="980"/>
      <c r="D15" s="429"/>
      <c r="E15" s="980"/>
      <c r="F15" s="429"/>
      <c r="G15" s="980"/>
      <c r="H15" s="429"/>
      <c r="I15" s="980"/>
      <c r="J15" s="429"/>
      <c r="K15" s="980"/>
      <c r="L15" s="429"/>
      <c r="M15" s="980"/>
      <c r="N15" s="429"/>
      <c r="O15" s="980" t="s">
        <v>16</v>
      </c>
      <c r="P15" s="429"/>
      <c r="Q15" s="980"/>
      <c r="R15" s="429"/>
      <c r="S15" s="980"/>
      <c r="T15" s="429"/>
      <c r="U15" s="980" t="s">
        <v>16</v>
      </c>
      <c r="V15" s="429"/>
      <c r="W15" s="980"/>
      <c r="X15" s="429"/>
      <c r="Y15" s="980"/>
      <c r="Z15" s="429"/>
      <c r="AA15" s="429"/>
      <c r="AB15" s="980"/>
      <c r="AC15" s="429"/>
      <c r="AD15" s="429"/>
      <c r="AE15" s="980"/>
      <c r="AF15" s="429"/>
      <c r="AG15" s="429"/>
      <c r="AI15" s="429"/>
    </row>
    <row r="16" spans="1:37" ht="16.5" customHeight="1">
      <c r="A16" s="978" t="s">
        <v>141</v>
      </c>
      <c r="B16" s="429"/>
      <c r="C16" s="1314">
        <v>11810.1</v>
      </c>
      <c r="D16" s="981"/>
      <c r="E16" s="981"/>
      <c r="F16" s="981"/>
      <c r="G16" s="981"/>
      <c r="H16" s="981"/>
      <c r="I16" s="981"/>
      <c r="J16" s="981"/>
      <c r="K16" s="981"/>
      <c r="L16" s="981"/>
      <c r="M16" s="981"/>
      <c r="N16" s="981"/>
      <c r="O16" s="981"/>
      <c r="P16" s="981"/>
      <c r="Q16" s="981"/>
      <c r="R16" s="981"/>
      <c r="S16" s="981"/>
      <c r="T16" s="981"/>
      <c r="U16" s="981"/>
      <c r="V16" s="981"/>
      <c r="W16" s="981"/>
      <c r="X16" s="981"/>
      <c r="Y16" s="981"/>
      <c r="Z16" s="981"/>
      <c r="AA16" s="982"/>
      <c r="AB16" s="981">
        <f>C16</f>
        <v>11810.1</v>
      </c>
      <c r="AC16" s="981"/>
      <c r="AD16" s="983"/>
      <c r="AE16" s="981">
        <v>9355.6</v>
      </c>
      <c r="AF16" s="981"/>
      <c r="AG16" s="981"/>
      <c r="AH16" s="981">
        <f>ROUND(SUM(AB16-AE16),1)</f>
        <v>2454.5</v>
      </c>
      <c r="AI16" s="977"/>
      <c r="AJ16" s="512">
        <f>ROUND(SUM(AH16/AE16),3)</f>
        <v>0.26200000000000001</v>
      </c>
      <c r="AK16" s="793"/>
    </row>
    <row r="17" spans="1:36" ht="16.5" customHeight="1">
      <c r="A17" s="429"/>
      <c r="B17" s="429"/>
      <c r="C17" s="429" t="s">
        <v>16</v>
      </c>
      <c r="D17" s="429"/>
      <c r="E17" s="984"/>
      <c r="F17" s="429"/>
      <c r="G17" s="984"/>
      <c r="H17" s="429"/>
      <c r="I17" s="984"/>
      <c r="J17" s="429"/>
      <c r="K17" s="984"/>
      <c r="L17" s="429"/>
      <c r="M17" s="984"/>
      <c r="N17" s="429"/>
      <c r="O17" s="984"/>
      <c r="P17" s="429"/>
      <c r="Q17" s="984"/>
      <c r="R17" s="429"/>
      <c r="S17" s="984"/>
      <c r="T17" s="429"/>
      <c r="U17" s="984"/>
      <c r="V17" s="429"/>
      <c r="W17" s="984"/>
      <c r="X17" s="429"/>
      <c r="Y17" s="984"/>
      <c r="Z17" s="429"/>
      <c r="AA17" s="985"/>
      <c r="AB17" s="429" t="s">
        <v>16</v>
      </c>
      <c r="AC17" s="429"/>
      <c r="AD17" s="986"/>
      <c r="AE17" s="429" t="s">
        <v>16</v>
      </c>
      <c r="AF17" s="429"/>
      <c r="AG17" s="429"/>
      <c r="AH17" s="1668"/>
      <c r="AI17" s="429"/>
      <c r="AJ17" s="1668"/>
    </row>
    <row r="18" spans="1:36" ht="16.5" customHeight="1">
      <c r="A18" s="409" t="s">
        <v>15</v>
      </c>
      <c r="B18" s="429"/>
      <c r="C18" s="429"/>
      <c r="D18" s="429"/>
      <c r="E18" s="984"/>
      <c r="F18" s="429"/>
      <c r="G18" s="984"/>
      <c r="H18" s="429"/>
      <c r="I18" s="984"/>
      <c r="J18" s="429"/>
      <c r="K18" s="984"/>
      <c r="L18" s="429"/>
      <c r="M18" s="984"/>
      <c r="N18" s="429"/>
      <c r="O18" s="984"/>
      <c r="P18" s="429"/>
      <c r="Q18" s="984"/>
      <c r="R18" s="429"/>
      <c r="S18" s="984"/>
      <c r="T18" s="429"/>
      <c r="U18" s="984"/>
      <c r="V18" s="429"/>
      <c r="W18" s="984"/>
      <c r="X18" s="429"/>
      <c r="Y18" s="984"/>
      <c r="Z18" s="429"/>
      <c r="AA18" s="985"/>
      <c r="AB18" s="429"/>
      <c r="AC18" s="429"/>
      <c r="AD18" s="986"/>
      <c r="AE18" s="429"/>
      <c r="AF18" s="429"/>
      <c r="AG18" s="429"/>
      <c r="AH18" s="1668"/>
      <c r="AI18" s="429"/>
      <c r="AJ18" s="1668"/>
    </row>
    <row r="19" spans="1:36" ht="16.5" customHeight="1">
      <c r="A19" s="489" t="s">
        <v>1238</v>
      </c>
      <c r="B19" s="429"/>
      <c r="C19" s="429"/>
      <c r="D19" s="429"/>
      <c r="E19" s="984"/>
      <c r="F19" s="429"/>
      <c r="G19" s="984"/>
      <c r="H19" s="429"/>
      <c r="I19" s="984"/>
      <c r="J19" s="429"/>
      <c r="K19" s="984"/>
      <c r="L19" s="429"/>
      <c r="M19" s="984"/>
      <c r="N19" s="429"/>
      <c r="O19" s="984"/>
      <c r="P19" s="429"/>
      <c r="Q19" s="984"/>
      <c r="R19" s="429"/>
      <c r="S19" s="984"/>
      <c r="T19" s="429"/>
      <c r="U19" s="984"/>
      <c r="V19" s="429"/>
      <c r="W19" s="984"/>
      <c r="X19" s="429"/>
      <c r="Y19" s="984"/>
      <c r="Z19" s="429"/>
      <c r="AA19" s="985"/>
      <c r="AB19" s="429"/>
      <c r="AC19" s="429"/>
      <c r="AD19" s="986"/>
      <c r="AE19" s="429"/>
      <c r="AF19" s="429"/>
      <c r="AG19" s="429"/>
      <c r="AH19" s="1668"/>
      <c r="AI19" s="429"/>
      <c r="AJ19" s="1668"/>
    </row>
    <row r="20" spans="1:36" ht="16.5" customHeight="1">
      <c r="A20" s="2027" t="s">
        <v>1308</v>
      </c>
      <c r="B20" s="1256"/>
      <c r="C20" s="1122"/>
      <c r="D20" s="1122"/>
      <c r="E20" s="1122"/>
      <c r="F20" s="1122"/>
      <c r="G20" s="1122"/>
      <c r="H20" s="429"/>
      <c r="I20" s="984"/>
      <c r="J20" s="429"/>
      <c r="K20" s="984"/>
      <c r="L20" s="429"/>
      <c r="M20" s="984"/>
      <c r="N20" s="429"/>
      <c r="O20" s="984"/>
      <c r="P20" s="429"/>
      <c r="Q20" s="984"/>
      <c r="R20" s="429"/>
      <c r="S20" s="984"/>
      <c r="T20" s="429"/>
      <c r="U20" s="984"/>
      <c r="V20" s="429"/>
      <c r="W20" s="984"/>
      <c r="X20" s="429"/>
      <c r="Y20" s="984"/>
      <c r="Z20" s="429"/>
      <c r="AA20" s="1882"/>
      <c r="AB20" s="429"/>
      <c r="AC20" s="429"/>
      <c r="AD20" s="986"/>
      <c r="AE20" s="429"/>
      <c r="AF20" s="429"/>
      <c r="AG20" s="429"/>
      <c r="AH20" s="1668"/>
      <c r="AI20" s="429"/>
      <c r="AJ20" s="1668"/>
    </row>
    <row r="21" spans="1:36" ht="16.5" customHeight="1">
      <c r="A21" s="1256" t="s">
        <v>1246</v>
      </c>
      <c r="B21" s="1256"/>
      <c r="C21" s="694">
        <f>+'Exhibit F'!D19</f>
        <v>2649.4</v>
      </c>
      <c r="D21" s="1125"/>
      <c r="E21" s="694"/>
      <c r="F21" s="1125"/>
      <c r="G21" s="694"/>
      <c r="H21" s="987"/>
      <c r="I21" s="694"/>
      <c r="J21" s="987"/>
      <c r="K21" s="694"/>
      <c r="L21" s="429"/>
      <c r="M21" s="694"/>
      <c r="N21" s="429"/>
      <c r="O21" s="694"/>
      <c r="P21" s="429"/>
      <c r="Q21" s="694"/>
      <c r="R21" s="429"/>
      <c r="S21" s="694"/>
      <c r="T21" s="429"/>
      <c r="U21" s="694"/>
      <c r="V21" s="429"/>
      <c r="W21" s="694"/>
      <c r="X21" s="429"/>
      <c r="Y21" s="694"/>
      <c r="Z21" s="429"/>
      <c r="AA21" s="1882"/>
      <c r="AB21" s="987">
        <f t="shared" ref="AB21:AB30" si="0">ROUND(SUM(C21:Y21),1)</f>
        <v>2649.4</v>
      </c>
      <c r="AC21" s="429"/>
      <c r="AD21" s="986"/>
      <c r="AE21" s="694">
        <f>+'Exhibit F'!AF19</f>
        <v>2961.1</v>
      </c>
      <c r="AF21" s="429"/>
      <c r="AG21" s="429"/>
      <c r="AH21" s="1159">
        <f>ROUND(SUM(+AB21-AE21),1)</f>
        <v>-311.7</v>
      </c>
      <c r="AI21" s="2042"/>
      <c r="AJ21" s="1816">
        <f>ROUND(IF(AE21=0,0,AH21/ABS(AE21)),3)</f>
        <v>-0.105</v>
      </c>
    </row>
    <row r="22" spans="1:36" ht="16.5" customHeight="1">
      <c r="A22" s="1256" t="s">
        <v>1247</v>
      </c>
      <c r="B22" s="1261"/>
      <c r="C22" s="694">
        <f>+'Exhibit F'!D20</f>
        <v>4784</v>
      </c>
      <c r="D22" s="1125"/>
      <c r="E22" s="694"/>
      <c r="F22" s="1125"/>
      <c r="G22" s="694"/>
      <c r="H22" s="987"/>
      <c r="I22" s="694"/>
      <c r="J22" s="987"/>
      <c r="K22" s="694"/>
      <c r="L22" s="429"/>
      <c r="M22" s="694"/>
      <c r="N22" s="429"/>
      <c r="O22" s="694"/>
      <c r="P22" s="429"/>
      <c r="Q22" s="694"/>
      <c r="R22" s="429"/>
      <c r="S22" s="694"/>
      <c r="T22" s="429"/>
      <c r="U22" s="694"/>
      <c r="V22" s="429"/>
      <c r="W22" s="694"/>
      <c r="X22" s="429"/>
      <c r="Y22" s="694"/>
      <c r="Z22" s="429"/>
      <c r="AA22" s="1882"/>
      <c r="AB22" s="987">
        <f t="shared" si="0"/>
        <v>4784</v>
      </c>
      <c r="AC22" s="429"/>
      <c r="AD22" s="986"/>
      <c r="AE22" s="694">
        <f>+'Exhibit F'!AF20</f>
        <v>5313.5</v>
      </c>
      <c r="AF22" s="429"/>
      <c r="AG22" s="429"/>
      <c r="AH22" s="1159">
        <f>ROUND(SUM(+AB22-AE22),1)</f>
        <v>-529.5</v>
      </c>
      <c r="AI22" s="2042"/>
      <c r="AJ22" s="1816">
        <f>ROUND(IF(AE22=0,0,AH22/ABS(AE22)),3)</f>
        <v>-0.1</v>
      </c>
    </row>
    <row r="23" spans="1:36" ht="16.5" customHeight="1">
      <c r="A23" s="1256" t="s">
        <v>1248</v>
      </c>
      <c r="B23" s="1256"/>
      <c r="C23" s="694">
        <f>+'Exhibit F'!D21</f>
        <v>1717.3</v>
      </c>
      <c r="D23" s="1125"/>
      <c r="E23" s="694"/>
      <c r="F23" s="1125"/>
      <c r="G23" s="694"/>
      <c r="H23" s="987"/>
      <c r="I23" s="694"/>
      <c r="J23" s="987"/>
      <c r="K23" s="694"/>
      <c r="L23" s="429"/>
      <c r="M23" s="694"/>
      <c r="N23" s="429"/>
      <c r="O23" s="694"/>
      <c r="P23" s="429"/>
      <c r="Q23" s="694"/>
      <c r="R23" s="429"/>
      <c r="S23" s="694"/>
      <c r="T23" s="429"/>
      <c r="U23" s="694"/>
      <c r="V23" s="429"/>
      <c r="W23" s="694"/>
      <c r="X23" s="429"/>
      <c r="Y23" s="694"/>
      <c r="Z23" s="429"/>
      <c r="AA23" s="1882"/>
      <c r="AB23" s="987">
        <f t="shared" si="0"/>
        <v>1717.3</v>
      </c>
      <c r="AC23" s="429"/>
      <c r="AD23" s="986"/>
      <c r="AE23" s="694">
        <f>+'Exhibit F'!AF21</f>
        <v>1687.1</v>
      </c>
      <c r="AF23" s="429"/>
      <c r="AG23" s="429"/>
      <c r="AH23" s="1159">
        <f>ROUND(SUM(+AB23-AE23),1)</f>
        <v>30.2</v>
      </c>
      <c r="AI23" s="2042"/>
      <c r="AJ23" s="1816">
        <f>ROUND(IF(AE23=0,0,AH23/ABS(AE23)),3)</f>
        <v>1.7999999999999999E-2</v>
      </c>
    </row>
    <row r="24" spans="1:36" ht="16.5" customHeight="1">
      <c r="A24" s="2065" t="s">
        <v>1249</v>
      </c>
      <c r="B24" s="1256"/>
      <c r="C24" s="694">
        <f>+'Exhibit F'!D22</f>
        <v>-184.9</v>
      </c>
      <c r="D24" s="1125"/>
      <c r="E24" s="694"/>
      <c r="F24" s="1125"/>
      <c r="G24" s="694"/>
      <c r="H24" s="987"/>
      <c r="I24" s="694"/>
      <c r="J24" s="987"/>
      <c r="K24" s="694"/>
      <c r="L24" s="429"/>
      <c r="M24" s="694"/>
      <c r="N24" s="429"/>
      <c r="O24" s="694"/>
      <c r="P24" s="429"/>
      <c r="Q24" s="694"/>
      <c r="R24" s="429"/>
      <c r="S24" s="694"/>
      <c r="T24" s="429"/>
      <c r="U24" s="694"/>
      <c r="V24" s="429"/>
      <c r="W24" s="694"/>
      <c r="X24" s="429"/>
      <c r="Y24" s="694"/>
      <c r="Z24" s="429"/>
      <c r="AA24" s="1882"/>
      <c r="AB24" s="987">
        <f t="shared" si="0"/>
        <v>-184.9</v>
      </c>
      <c r="AC24" s="429"/>
      <c r="AD24" s="986"/>
      <c r="AE24" s="694">
        <f>+'Exhibit F'!AF22</f>
        <v>-144.80000000000001</v>
      </c>
      <c r="AF24" s="429"/>
      <c r="AG24" s="429"/>
      <c r="AH24" s="1159">
        <f>-ROUND(SUM(+AB24-AE24),1)</f>
        <v>40.1</v>
      </c>
      <c r="AI24" s="2042"/>
      <c r="AJ24" s="2741">
        <f>ROUND(IF(AE24=0,0,AH24/ABS(AE24)),3)</f>
        <v>0.27700000000000002</v>
      </c>
    </row>
    <row r="25" spans="1:36" ht="16.5" customHeight="1">
      <c r="A25" s="2065" t="s">
        <v>1250</v>
      </c>
      <c r="B25" s="1256"/>
      <c r="C25" s="694">
        <f>+'Exhibit F'!D23</f>
        <v>170.4</v>
      </c>
      <c r="D25" s="1125"/>
      <c r="E25" s="694"/>
      <c r="F25" s="1125"/>
      <c r="G25" s="694"/>
      <c r="H25" s="987"/>
      <c r="I25" s="694"/>
      <c r="J25" s="987"/>
      <c r="K25" s="694"/>
      <c r="L25" s="429"/>
      <c r="M25" s="694"/>
      <c r="N25" s="429"/>
      <c r="O25" s="694"/>
      <c r="P25" s="429"/>
      <c r="Q25" s="694"/>
      <c r="R25" s="429"/>
      <c r="S25" s="694"/>
      <c r="T25" s="429"/>
      <c r="U25" s="694"/>
      <c r="V25" s="429"/>
      <c r="W25" s="694"/>
      <c r="X25" s="429"/>
      <c r="Y25" s="694"/>
      <c r="Z25" s="429"/>
      <c r="AA25" s="1882"/>
      <c r="AB25" s="987">
        <f t="shared" si="0"/>
        <v>170.4</v>
      </c>
      <c r="AC25" s="429"/>
      <c r="AD25" s="986"/>
      <c r="AE25" s="694">
        <f>+'Exhibit F'!AF23</f>
        <v>143.69999999999999</v>
      </c>
      <c r="AF25" s="429"/>
      <c r="AG25" s="429"/>
      <c r="AH25" s="1159">
        <f>ROUND(SUM(+AB25-AE25),1)</f>
        <v>26.7</v>
      </c>
      <c r="AI25" s="2042"/>
      <c r="AJ25" s="2744">
        <f t="shared" ref="AJ25:AJ30" si="1">ROUND(IF(AE25=0,0,AH25/ABS(AE25)),3)</f>
        <v>0.186</v>
      </c>
    </row>
    <row r="26" spans="1:36" ht="16.5" customHeight="1">
      <c r="A26" s="1257" t="s">
        <v>1251</v>
      </c>
      <c r="B26" s="1257"/>
      <c r="C26" s="1260">
        <f>ROUND(SUM(C21:C25),1)</f>
        <v>9136.2000000000007</v>
      </c>
      <c r="D26" s="184"/>
      <c r="E26" s="1260">
        <f>ROUND(SUM(E21:E25),1)</f>
        <v>0</v>
      </c>
      <c r="F26" s="184"/>
      <c r="G26" s="1778">
        <f>ROUND(SUM(G21:G25),1)</f>
        <v>0</v>
      </c>
      <c r="H26" s="429"/>
      <c r="I26" s="1778">
        <f>ROUND(SUM(I21:I25),1)</f>
        <v>0</v>
      </c>
      <c r="J26" s="429"/>
      <c r="K26" s="1778">
        <f>ROUND(SUM(K21:K25),1)</f>
        <v>0</v>
      </c>
      <c r="L26" s="429"/>
      <c r="M26" s="1778">
        <f>ROUND(SUM(M21:M25),1)</f>
        <v>0</v>
      </c>
      <c r="N26" s="429"/>
      <c r="O26" s="1778">
        <f>ROUND(SUM(O21:O25),1)</f>
        <v>0</v>
      </c>
      <c r="P26" s="429"/>
      <c r="Q26" s="1778">
        <f>ROUND(SUM(Q21:Q25),1)</f>
        <v>0</v>
      </c>
      <c r="R26" s="429"/>
      <c r="S26" s="1778">
        <f>ROUND(SUM(S21:S25),1)</f>
        <v>0</v>
      </c>
      <c r="T26" s="429"/>
      <c r="U26" s="1778">
        <f>ROUND(SUM(U21:U25),1)</f>
        <v>0</v>
      </c>
      <c r="V26" s="429"/>
      <c r="W26" s="1778">
        <f>ROUND(SUM(W21:W25),1)</f>
        <v>0</v>
      </c>
      <c r="X26" s="429"/>
      <c r="Y26" s="1778">
        <f>ROUND(SUM(Y21:Y25),1)</f>
        <v>0</v>
      </c>
      <c r="Z26" s="429"/>
      <c r="AA26" s="1882"/>
      <c r="AB26" s="1004">
        <f t="shared" si="0"/>
        <v>9136.2000000000007</v>
      </c>
      <c r="AC26" s="429"/>
      <c r="AD26" s="986"/>
      <c r="AE26" s="1778">
        <f>ROUND(SUM(AE21:AE25),1)</f>
        <v>9960.6</v>
      </c>
      <c r="AF26" s="429"/>
      <c r="AG26" s="429"/>
      <c r="AH26" s="483">
        <f>ROUND(SUM(AB26-AE26),1)</f>
        <v>-824.4</v>
      </c>
      <c r="AI26" s="2042"/>
      <c r="AJ26" s="2745">
        <f t="shared" si="1"/>
        <v>-8.3000000000000004E-2</v>
      </c>
    </row>
    <row r="27" spans="1:36" ht="16.5" customHeight="1">
      <c r="A27" s="2065" t="s">
        <v>1253</v>
      </c>
      <c r="B27" s="1256"/>
      <c r="C27" s="2608">
        <f>+'Exhibit F'!D25+'Exhibit G'!D18</f>
        <v>0</v>
      </c>
      <c r="D27" s="1126"/>
      <c r="E27" s="2608"/>
      <c r="F27" s="1126"/>
      <c r="G27" s="2608"/>
      <c r="H27" s="2742"/>
      <c r="I27" s="2608"/>
      <c r="J27" s="2742"/>
      <c r="K27" s="2608"/>
      <c r="L27" s="2743"/>
      <c r="M27" s="2608"/>
      <c r="N27" s="2743"/>
      <c r="O27" s="2608"/>
      <c r="P27" s="429"/>
      <c r="Q27" s="2608"/>
      <c r="R27" s="429"/>
      <c r="S27" s="2608"/>
      <c r="T27" s="429"/>
      <c r="U27" s="2608"/>
      <c r="V27" s="429"/>
      <c r="W27" s="2608"/>
      <c r="X27" s="429"/>
      <c r="Y27" s="2818"/>
      <c r="Z27" s="429"/>
      <c r="AA27" s="1882"/>
      <c r="AB27" s="987">
        <f t="shared" si="0"/>
        <v>0</v>
      </c>
      <c r="AC27" s="429"/>
      <c r="AD27" s="986"/>
      <c r="AE27" s="2608">
        <f>+'Exhibit F'!AF25+'Exhibit G'!AF18</f>
        <v>0</v>
      </c>
      <c r="AF27" s="429"/>
      <c r="AG27" s="429"/>
      <c r="AH27" s="1159">
        <f>ROUND(SUM(+AB27-AE27),1)</f>
        <v>0</v>
      </c>
      <c r="AI27" s="2042"/>
      <c r="AJ27" s="2741">
        <f t="shared" si="1"/>
        <v>0</v>
      </c>
    </row>
    <row r="28" spans="1:36" ht="16.5" customHeight="1">
      <c r="A28" s="2065" t="s">
        <v>1254</v>
      </c>
      <c r="B28" s="1256"/>
      <c r="C28" s="1130">
        <f>+'Exhibit F'!D26+'Exhibit H'!B16</f>
        <v>0</v>
      </c>
      <c r="D28" s="1126"/>
      <c r="E28" s="1130"/>
      <c r="F28" s="1126"/>
      <c r="G28" s="1130"/>
      <c r="H28" s="2742"/>
      <c r="I28" s="1130"/>
      <c r="J28" s="2742"/>
      <c r="K28" s="1130"/>
      <c r="L28" s="2743"/>
      <c r="M28" s="1130"/>
      <c r="N28" s="2743"/>
      <c r="O28" s="1130"/>
      <c r="P28" s="429"/>
      <c r="Q28" s="1130"/>
      <c r="R28" s="429"/>
      <c r="S28" s="1130"/>
      <c r="T28" s="429"/>
      <c r="U28" s="1130"/>
      <c r="V28" s="429"/>
      <c r="W28" s="1130"/>
      <c r="X28" s="429"/>
      <c r="Y28" s="2819"/>
      <c r="Z28" s="429"/>
      <c r="AA28" s="1882"/>
      <c r="AB28" s="987">
        <f t="shared" si="0"/>
        <v>0</v>
      </c>
      <c r="AC28" s="429"/>
      <c r="AD28" s="986"/>
      <c r="AE28" s="1130">
        <f>+'Exhibit F'!AF26+'Exhibit H'!AD16</f>
        <v>0</v>
      </c>
      <c r="AF28" s="429"/>
      <c r="AG28" s="429"/>
      <c r="AH28" s="1159">
        <f>ROUND(SUM(+AB28-AE28),1)</f>
        <v>0</v>
      </c>
      <c r="AI28" s="2042"/>
      <c r="AJ28" s="2741">
        <f t="shared" si="1"/>
        <v>0</v>
      </c>
    </row>
    <row r="29" spans="1:36" ht="16.5" customHeight="1">
      <c r="A29" s="1256" t="s">
        <v>1255</v>
      </c>
      <c r="B29" s="1256"/>
      <c r="C29" s="694">
        <f>+'Exhibit F'!D27</f>
        <v>-2752.5</v>
      </c>
      <c r="D29" s="1125"/>
      <c r="E29" s="694"/>
      <c r="F29" s="1125"/>
      <c r="G29" s="694"/>
      <c r="H29" s="987"/>
      <c r="I29" s="694"/>
      <c r="J29" s="987"/>
      <c r="K29" s="694"/>
      <c r="L29" s="429"/>
      <c r="M29" s="694"/>
      <c r="N29" s="429"/>
      <c r="O29" s="694"/>
      <c r="P29" s="429"/>
      <c r="Q29" s="694"/>
      <c r="R29" s="429"/>
      <c r="S29" s="694"/>
      <c r="T29" s="429"/>
      <c r="U29" s="694"/>
      <c r="V29" s="429"/>
      <c r="W29" s="694"/>
      <c r="X29" s="429"/>
      <c r="Y29" s="694"/>
      <c r="Z29" s="429"/>
      <c r="AA29" s="1882"/>
      <c r="AB29" s="987">
        <f t="shared" si="0"/>
        <v>-2752.5</v>
      </c>
      <c r="AC29" s="429"/>
      <c r="AD29" s="986"/>
      <c r="AE29" s="694">
        <f>+'Exhibit F'!AF27</f>
        <v>-3242.2</v>
      </c>
      <c r="AF29" s="429"/>
      <c r="AG29" s="429"/>
      <c r="AH29" s="1159">
        <f>-ROUND(SUM(+AB29-AE29),1)</f>
        <v>-489.7</v>
      </c>
      <c r="AI29" s="2042"/>
      <c r="AJ29" s="2741">
        <f t="shared" si="1"/>
        <v>-0.151</v>
      </c>
    </row>
    <row r="30" spans="1:36" ht="16.5" customHeight="1">
      <c r="A30" s="588" t="s">
        <v>1252</v>
      </c>
      <c r="B30" s="1256"/>
      <c r="C30" s="1778">
        <f>ROUND(SUM(C26)+SUM(C27)+SUM(C28)+SUM(C29),1)</f>
        <v>6383.7</v>
      </c>
      <c r="D30" s="184"/>
      <c r="E30" s="1778">
        <f>ROUND(SUM(E26)+SUM(E27)+SUM(E28)+SUM(E29),1)</f>
        <v>0</v>
      </c>
      <c r="F30" s="184"/>
      <c r="G30" s="1778">
        <f>ROUND(SUM(G26)+SUM(G27)+SUM(G28)+SUM(G29),1)</f>
        <v>0</v>
      </c>
      <c r="H30" s="429"/>
      <c r="I30" s="1778">
        <f>ROUND(SUM(I26)+SUM(I27)+SUM(I28)+SUM(I29),1)</f>
        <v>0</v>
      </c>
      <c r="J30" s="429"/>
      <c r="K30" s="1778">
        <f>ROUND(SUM(K26)+SUM(K27)+SUM(K28)+SUM(K29),1)</f>
        <v>0</v>
      </c>
      <c r="L30" s="429"/>
      <c r="M30" s="1778">
        <f>ROUND(SUM(M26)+SUM(M27)+SUM(M28)+SUM(M29),1)</f>
        <v>0</v>
      </c>
      <c r="N30" s="429"/>
      <c r="O30" s="1778">
        <f>ROUND(SUM(O26)+SUM(O27)+SUM(O28)+SUM(O29),1)</f>
        <v>0</v>
      </c>
      <c r="P30" s="429"/>
      <c r="Q30" s="1778">
        <f>ROUND(SUM(Q26)+SUM(Q27)+SUM(Q28)+SUM(Q29),1)</f>
        <v>0</v>
      </c>
      <c r="R30" s="429"/>
      <c r="S30" s="1778">
        <f>ROUND(SUM(S26)+SUM(S27)+SUM(S28)+SUM(S29),1)</f>
        <v>0</v>
      </c>
      <c r="T30" s="429"/>
      <c r="U30" s="1778">
        <f>ROUND(SUM(U26)+SUM(U27)+SUM(U28)+SUM(U29),1)</f>
        <v>0</v>
      </c>
      <c r="V30" s="429"/>
      <c r="W30" s="1778">
        <f>ROUND(SUM(W26)+SUM(W27)+SUM(W28)+SUM(W29),1)</f>
        <v>0</v>
      </c>
      <c r="X30" s="429"/>
      <c r="Y30" s="1778">
        <f>ROUND(SUM(Y26)+SUM(Y27)+SUM(Y28)+SUM(Y29),1)</f>
        <v>0</v>
      </c>
      <c r="Z30" s="429"/>
      <c r="AA30" s="1882"/>
      <c r="AB30" s="1004">
        <f t="shared" si="0"/>
        <v>6383.7</v>
      </c>
      <c r="AC30" s="429"/>
      <c r="AD30" s="986"/>
      <c r="AE30" s="1778">
        <f>ROUND(SUM(AE26)+SUM(AE27)+SUM(AE28)+SUM(AE29),1)</f>
        <v>6718.4</v>
      </c>
      <c r="AF30" s="429"/>
      <c r="AG30" s="429"/>
      <c r="AH30" s="483">
        <f>ROUND(SUM(AH26+AH27+AH28-AH29),1)</f>
        <v>-334.7</v>
      </c>
      <c r="AI30" s="1860"/>
      <c r="AJ30" s="2745">
        <f t="shared" si="1"/>
        <v>-0.05</v>
      </c>
    </row>
    <row r="31" spans="1:36" ht="16.5" customHeight="1">
      <c r="A31" s="2027" t="s">
        <v>1309</v>
      </c>
      <c r="B31" s="1261"/>
      <c r="C31" s="1106"/>
      <c r="D31" s="1106"/>
      <c r="E31" s="1106"/>
      <c r="F31" s="1106"/>
      <c r="G31" s="1106"/>
      <c r="H31" s="429"/>
      <c r="I31" s="984"/>
      <c r="J31" s="429"/>
      <c r="K31" s="984"/>
      <c r="L31" s="429"/>
      <c r="M31" s="984"/>
      <c r="N31" s="429"/>
      <c r="O31" s="984"/>
      <c r="P31" s="429"/>
      <c r="Q31" s="984"/>
      <c r="R31" s="429"/>
      <c r="S31" s="984"/>
      <c r="T31" s="429"/>
      <c r="U31" s="984"/>
      <c r="V31" s="429"/>
      <c r="W31" s="984"/>
      <c r="X31" s="429"/>
      <c r="Y31" s="984"/>
      <c r="Z31" s="429"/>
      <c r="AA31" s="1882"/>
      <c r="AB31" s="429"/>
      <c r="AC31" s="429"/>
      <c r="AD31" s="986"/>
      <c r="AE31" s="984"/>
      <c r="AF31" s="429"/>
      <c r="AG31" s="429"/>
      <c r="AH31" s="273"/>
      <c r="AI31" s="1860"/>
      <c r="AJ31" s="2025"/>
    </row>
    <row r="32" spans="1:36" ht="16.5" customHeight="1">
      <c r="A32" s="1256" t="s">
        <v>1258</v>
      </c>
      <c r="B32" s="1261"/>
      <c r="C32" s="694">
        <f>+'Exhibit F'!D30+'Exhibit G'!D21+'Exhibit H'!B19</f>
        <v>1087</v>
      </c>
      <c r="D32" s="1125"/>
      <c r="E32" s="694"/>
      <c r="F32" s="1125"/>
      <c r="G32" s="694"/>
      <c r="H32" s="987"/>
      <c r="I32" s="694"/>
      <c r="J32" s="987"/>
      <c r="K32" s="694"/>
      <c r="L32" s="429"/>
      <c r="M32" s="694"/>
      <c r="N32" s="429"/>
      <c r="O32" s="694"/>
      <c r="P32" s="429"/>
      <c r="Q32" s="694"/>
      <c r="R32" s="429"/>
      <c r="S32" s="694"/>
      <c r="T32" s="429"/>
      <c r="U32" s="694"/>
      <c r="V32" s="429"/>
      <c r="W32" s="694"/>
      <c r="X32" s="429"/>
      <c r="Y32" s="694"/>
      <c r="Z32" s="429"/>
      <c r="AA32" s="1882"/>
      <c r="AB32" s="987">
        <f t="shared" ref="AB32:AB39" si="2">ROUND(SUM(C32:Y32),1)</f>
        <v>1087</v>
      </c>
      <c r="AC32" s="429"/>
      <c r="AD32" s="986"/>
      <c r="AE32" s="694">
        <f>+'Exhibit F'!AF30+'Exhibit G'!AF21+'Exhibit H'!AD19</f>
        <v>1046.0999999999999</v>
      </c>
      <c r="AF32" s="429"/>
      <c r="AG32" s="429"/>
      <c r="AH32" s="1159">
        <f t="shared" ref="AH32:AH39" si="3">ROUND(SUM(+AB32-AE32),1)</f>
        <v>40.9</v>
      </c>
      <c r="AI32" s="1860"/>
      <c r="AJ32" s="1816">
        <f t="shared" ref="AJ32:AJ40" si="4">ROUND(IF(AE32=0,0,AH32/ABS(AE32)),3)</f>
        <v>3.9E-2</v>
      </c>
    </row>
    <row r="33" spans="1:36" ht="16.5" customHeight="1">
      <c r="A33" s="1256" t="s">
        <v>1259</v>
      </c>
      <c r="B33" s="1261"/>
      <c r="C33" s="694">
        <f>+'Exhibit F'!D31+'Exhibit G'!D22+' Exhbit I '!E20</f>
        <v>1</v>
      </c>
      <c r="D33" s="1125"/>
      <c r="E33" s="694"/>
      <c r="F33" s="1125"/>
      <c r="G33" s="694"/>
      <c r="H33" s="987"/>
      <c r="I33" s="694"/>
      <c r="J33" s="987"/>
      <c r="K33" s="694"/>
      <c r="L33" s="429"/>
      <c r="M33" s="694"/>
      <c r="N33" s="429"/>
      <c r="O33" s="694"/>
      <c r="P33" s="429"/>
      <c r="Q33" s="694"/>
      <c r="R33" s="429"/>
      <c r="S33" s="694"/>
      <c r="T33" s="429"/>
      <c r="U33" s="694"/>
      <c r="V33" s="429"/>
      <c r="W33" s="694"/>
      <c r="X33" s="429"/>
      <c r="Y33" s="694"/>
      <c r="Z33" s="429"/>
      <c r="AA33" s="1882"/>
      <c r="AB33" s="987">
        <f t="shared" si="2"/>
        <v>1</v>
      </c>
      <c r="AC33" s="429"/>
      <c r="AD33" s="986"/>
      <c r="AE33" s="694">
        <f>+'Exhibit F'!AF31+'Exhibit G'!AF22+' Exhbit I '!AG20</f>
        <v>4.5</v>
      </c>
      <c r="AF33" s="429"/>
      <c r="AG33" s="429"/>
      <c r="AH33" s="1159">
        <f t="shared" si="3"/>
        <v>-3.5</v>
      </c>
      <c r="AI33" s="1860"/>
      <c r="AJ33" s="1816">
        <f t="shared" si="4"/>
        <v>-0.77800000000000002</v>
      </c>
    </row>
    <row r="34" spans="1:36" ht="16.5" customHeight="1">
      <c r="A34" s="1256" t="s">
        <v>1260</v>
      </c>
      <c r="B34" s="1256"/>
      <c r="C34" s="694">
        <f>+'Exhibit F'!D32+'Exhibit G'!D23</f>
        <v>98.600000000000009</v>
      </c>
      <c r="D34" s="1125"/>
      <c r="E34" s="694"/>
      <c r="F34" s="1125"/>
      <c r="G34" s="694"/>
      <c r="H34" s="987"/>
      <c r="I34" s="694"/>
      <c r="J34" s="987"/>
      <c r="K34" s="694"/>
      <c r="L34" s="429"/>
      <c r="M34" s="694"/>
      <c r="N34" s="429"/>
      <c r="O34" s="694"/>
      <c r="P34" s="429"/>
      <c r="Q34" s="694"/>
      <c r="R34" s="429"/>
      <c r="S34" s="694"/>
      <c r="T34" s="429"/>
      <c r="U34" s="694"/>
      <c r="V34" s="429"/>
      <c r="W34" s="694"/>
      <c r="X34" s="429"/>
      <c r="Y34" s="694"/>
      <c r="Z34" s="429"/>
      <c r="AA34" s="1882"/>
      <c r="AB34" s="987">
        <f t="shared" si="2"/>
        <v>98.6</v>
      </c>
      <c r="AC34" s="429"/>
      <c r="AD34" s="986"/>
      <c r="AE34" s="694">
        <f>+'Exhibit F'!AF32+'Exhibit G'!AF23</f>
        <v>95.100000000000009</v>
      </c>
      <c r="AF34" s="429"/>
      <c r="AG34" s="429"/>
      <c r="AH34" s="1159">
        <f t="shared" si="3"/>
        <v>3.5</v>
      </c>
      <c r="AI34" s="1860"/>
      <c r="AJ34" s="1816">
        <f t="shared" si="4"/>
        <v>3.6999999999999998E-2</v>
      </c>
    </row>
    <row r="35" spans="1:36" ht="16.5" customHeight="1">
      <c r="A35" s="1256" t="s">
        <v>1454</v>
      </c>
      <c r="B35" s="1256"/>
      <c r="C35" s="694">
        <f>'Exhibit G'!D24</f>
        <v>0</v>
      </c>
      <c r="D35" s="1125"/>
      <c r="E35" s="694"/>
      <c r="F35" s="1125"/>
      <c r="G35" s="694"/>
      <c r="H35" s="987"/>
      <c r="I35" s="694"/>
      <c r="J35" s="987"/>
      <c r="K35" s="694"/>
      <c r="L35" s="2995"/>
      <c r="M35" s="694"/>
      <c r="N35" s="2995"/>
      <c r="O35" s="694"/>
      <c r="P35" s="2995"/>
      <c r="Q35" s="694"/>
      <c r="R35" s="2995"/>
      <c r="S35" s="694"/>
      <c r="T35" s="2995"/>
      <c r="U35" s="694"/>
      <c r="V35" s="2995"/>
      <c r="W35" s="694"/>
      <c r="X35" s="2995"/>
      <c r="Y35" s="694"/>
      <c r="Z35" s="2995"/>
      <c r="AA35" s="1882"/>
      <c r="AB35" s="987">
        <f t="shared" si="2"/>
        <v>0</v>
      </c>
      <c r="AC35" s="2995"/>
      <c r="AD35" s="986"/>
      <c r="AE35" s="694">
        <v>0</v>
      </c>
      <c r="AF35" s="2995"/>
      <c r="AG35" s="2995"/>
      <c r="AH35" s="2993">
        <f t="shared" ref="AH35" si="5">ROUND(SUM(+AB35-AE35),1)</f>
        <v>0</v>
      </c>
      <c r="AI35" s="1860"/>
      <c r="AJ35" s="1816">
        <f t="shared" ref="AJ35" si="6">ROUND(IF(AE35=0,0,AH35/ABS(AE35)),3)</f>
        <v>0</v>
      </c>
    </row>
    <row r="36" spans="1:36" ht="16.5" customHeight="1">
      <c r="A36" s="1256" t="s">
        <v>1261</v>
      </c>
      <c r="B36" s="1256"/>
      <c r="C36" s="694">
        <f>+'Exhibit F'!D33+'Exhibit G'!D25+' Exhbit I '!E21</f>
        <v>39</v>
      </c>
      <c r="D36" s="1125"/>
      <c r="E36" s="694"/>
      <c r="F36" s="1125"/>
      <c r="G36" s="694"/>
      <c r="H36" s="987"/>
      <c r="I36" s="694"/>
      <c r="J36" s="987"/>
      <c r="K36" s="694"/>
      <c r="L36" s="429"/>
      <c r="M36" s="694"/>
      <c r="N36" s="429"/>
      <c r="O36" s="694"/>
      <c r="P36" s="429"/>
      <c r="Q36" s="694"/>
      <c r="R36" s="429"/>
      <c r="S36" s="694"/>
      <c r="T36" s="429"/>
      <c r="U36" s="694"/>
      <c r="V36" s="429"/>
      <c r="W36" s="694"/>
      <c r="X36" s="429"/>
      <c r="Y36" s="694"/>
      <c r="Z36" s="429"/>
      <c r="AA36" s="1882"/>
      <c r="AB36" s="987">
        <f t="shared" si="2"/>
        <v>39</v>
      </c>
      <c r="AC36" s="429"/>
      <c r="AD36" s="986"/>
      <c r="AE36" s="694">
        <f>+'Exhibit F'!AF33+'Exhibit G'!AF25+' Exhbit I '!AG21</f>
        <v>41.3</v>
      </c>
      <c r="AF36" s="429"/>
      <c r="AG36" s="429"/>
      <c r="AH36" s="1159">
        <f t="shared" si="3"/>
        <v>-2.2999999999999998</v>
      </c>
      <c r="AI36" s="1860"/>
      <c r="AJ36" s="1816">
        <f t="shared" si="4"/>
        <v>-5.6000000000000001E-2</v>
      </c>
    </row>
    <row r="37" spans="1:36" ht="16.5" customHeight="1">
      <c r="A37" s="1256" t="s">
        <v>1262</v>
      </c>
      <c r="B37" s="1256"/>
      <c r="C37" s="694">
        <f>+'Exhibit F'!D34+'Exhibit G'!D26</f>
        <v>20.399999999999999</v>
      </c>
      <c r="D37" s="1125"/>
      <c r="E37" s="694"/>
      <c r="F37" s="1125"/>
      <c r="G37" s="694"/>
      <c r="H37" s="987"/>
      <c r="I37" s="694"/>
      <c r="J37" s="987"/>
      <c r="K37" s="694"/>
      <c r="L37" s="429"/>
      <c r="M37" s="694"/>
      <c r="N37" s="429"/>
      <c r="O37" s="694"/>
      <c r="P37" s="429"/>
      <c r="Q37" s="694"/>
      <c r="R37" s="429"/>
      <c r="S37" s="694"/>
      <c r="T37" s="429"/>
      <c r="U37" s="694"/>
      <c r="V37" s="429"/>
      <c r="W37" s="694"/>
      <c r="X37" s="429"/>
      <c r="Y37" s="694"/>
      <c r="Z37" s="429"/>
      <c r="AA37" s="1882"/>
      <c r="AB37" s="987">
        <f t="shared" si="2"/>
        <v>20.399999999999999</v>
      </c>
      <c r="AC37" s="429"/>
      <c r="AD37" s="986"/>
      <c r="AE37" s="694">
        <f>+'Exhibit F'!AF34+'Exhibit G'!AF26</f>
        <v>19.899999999999999</v>
      </c>
      <c r="AF37" s="429"/>
      <c r="AG37" s="429"/>
      <c r="AH37" s="1159">
        <f t="shared" si="3"/>
        <v>0.5</v>
      </c>
      <c r="AI37" s="1860"/>
      <c r="AJ37" s="1816">
        <f t="shared" si="4"/>
        <v>2.5000000000000001E-2</v>
      </c>
    </row>
    <row r="38" spans="1:36" ht="16.5" customHeight="1">
      <c r="A38" s="1256" t="s">
        <v>1263</v>
      </c>
      <c r="B38" s="1256"/>
      <c r="C38" s="694">
        <f>+'Exhibit F'!D35+'Exhibit G'!D27+' Exhbit I '!E22</f>
        <v>12.6</v>
      </c>
      <c r="D38" s="1125"/>
      <c r="E38" s="694"/>
      <c r="F38" s="1125"/>
      <c r="G38" s="694"/>
      <c r="H38" s="987"/>
      <c r="I38" s="694"/>
      <c r="J38" s="987"/>
      <c r="K38" s="694"/>
      <c r="L38" s="429"/>
      <c r="M38" s="694"/>
      <c r="N38" s="429"/>
      <c r="O38" s="694"/>
      <c r="P38" s="429"/>
      <c r="Q38" s="694"/>
      <c r="R38" s="429"/>
      <c r="S38" s="694"/>
      <c r="T38" s="429"/>
      <c r="U38" s="694"/>
      <c r="V38" s="429"/>
      <c r="W38" s="694"/>
      <c r="X38" s="429"/>
      <c r="Y38" s="694"/>
      <c r="Z38" s="429"/>
      <c r="AA38" s="1882"/>
      <c r="AB38" s="987">
        <f t="shared" si="2"/>
        <v>12.6</v>
      </c>
      <c r="AC38" s="429"/>
      <c r="AD38" s="986"/>
      <c r="AE38" s="694">
        <f>+'Exhibit F'!AF35+'Exhibit G'!AF27+' Exhbit I '!AG22</f>
        <v>13.4</v>
      </c>
      <c r="AF38" s="429"/>
      <c r="AG38" s="429"/>
      <c r="AH38" s="1159">
        <f t="shared" si="3"/>
        <v>-0.8</v>
      </c>
      <c r="AI38" s="1860"/>
      <c r="AJ38" s="1816">
        <f t="shared" si="4"/>
        <v>-0.06</v>
      </c>
    </row>
    <row r="39" spans="1:36" ht="16.5" customHeight="1">
      <c r="A39" s="2066" t="s">
        <v>1264</v>
      </c>
      <c r="B39" s="1256"/>
      <c r="C39" s="694">
        <f>+'Exhibit F'!D36+'Exhibit G'!D28</f>
        <v>15.7</v>
      </c>
      <c r="D39" s="1125"/>
      <c r="E39" s="694"/>
      <c r="F39" s="1125"/>
      <c r="G39" s="694"/>
      <c r="H39" s="987"/>
      <c r="I39" s="694"/>
      <c r="J39" s="987"/>
      <c r="K39" s="694"/>
      <c r="L39" s="429"/>
      <c r="M39" s="694"/>
      <c r="N39" s="429"/>
      <c r="O39" s="694"/>
      <c r="P39" s="429"/>
      <c r="Q39" s="694"/>
      <c r="R39" s="429"/>
      <c r="S39" s="694"/>
      <c r="T39" s="429"/>
      <c r="U39" s="694"/>
      <c r="V39" s="429"/>
      <c r="W39" s="694"/>
      <c r="X39" s="429"/>
      <c r="Y39" s="694"/>
      <c r="Z39" s="429"/>
      <c r="AA39" s="1882"/>
      <c r="AB39" s="987">
        <f t="shared" si="2"/>
        <v>15.7</v>
      </c>
      <c r="AC39" s="429"/>
      <c r="AD39" s="986"/>
      <c r="AE39" s="694">
        <f>+'Exhibit F'!AF36+'Exhibit G'!AF28</f>
        <v>19.2</v>
      </c>
      <c r="AF39" s="429"/>
      <c r="AG39" s="429"/>
      <c r="AH39" s="1159">
        <f t="shared" si="3"/>
        <v>-3.5</v>
      </c>
      <c r="AI39" s="1860"/>
      <c r="AJ39" s="1816">
        <f t="shared" si="4"/>
        <v>-0.182</v>
      </c>
    </row>
    <row r="40" spans="1:36" ht="16.5" customHeight="1">
      <c r="A40" s="588" t="s">
        <v>1257</v>
      </c>
      <c r="B40" s="1256"/>
      <c r="C40" s="1778">
        <f>ROUND(SUM(C32:C39),1)</f>
        <v>1274.3</v>
      </c>
      <c r="D40" s="184"/>
      <c r="E40" s="1778">
        <f>ROUND(SUM(E32:E39),1)</f>
        <v>0</v>
      </c>
      <c r="F40" s="184"/>
      <c r="G40" s="1778">
        <f>ROUND(SUM(G32:G39),1)</f>
        <v>0</v>
      </c>
      <c r="H40" s="429"/>
      <c r="I40" s="1778">
        <f>ROUND(SUM(I32:I39),1)</f>
        <v>0</v>
      </c>
      <c r="J40" s="429"/>
      <c r="K40" s="1778">
        <f>ROUND(SUM(K32:K39),1)</f>
        <v>0</v>
      </c>
      <c r="L40" s="429"/>
      <c r="M40" s="1778">
        <f>ROUND(SUM(M32:M39),1)</f>
        <v>0</v>
      </c>
      <c r="N40" s="429"/>
      <c r="O40" s="1778">
        <f>ROUND(SUM(O32:O39),1)</f>
        <v>0</v>
      </c>
      <c r="P40" s="429"/>
      <c r="Q40" s="1778">
        <f>ROUND(SUM(Q32:Q39),1)</f>
        <v>0</v>
      </c>
      <c r="R40" s="429"/>
      <c r="S40" s="1778">
        <f>ROUND(SUM(S32:S39),1)</f>
        <v>0</v>
      </c>
      <c r="T40" s="429"/>
      <c r="U40" s="1778">
        <f>ROUND(SUM(U32:U39),1)</f>
        <v>0</v>
      </c>
      <c r="V40" s="429"/>
      <c r="W40" s="1778">
        <f>ROUND(SUM(W32:W39),1)</f>
        <v>0</v>
      </c>
      <c r="X40" s="429"/>
      <c r="Y40" s="1778">
        <f>ROUND(SUM(Y32:Y39),1)</f>
        <v>0</v>
      </c>
      <c r="Z40" s="429"/>
      <c r="AA40" s="1882"/>
      <c r="AB40" s="1778">
        <f>ROUND(SUM(AB32:AB39),1)</f>
        <v>1274.3</v>
      </c>
      <c r="AC40" s="429"/>
      <c r="AD40" s="986"/>
      <c r="AE40" s="1778">
        <f>ROUND(SUM(AE32:AE39),1)</f>
        <v>1239.5</v>
      </c>
      <c r="AF40" s="429"/>
      <c r="AG40" s="429"/>
      <c r="AH40" s="483">
        <f>ROUND(SUM(AH32:AH39),1)</f>
        <v>34.799999999999997</v>
      </c>
      <c r="AI40" s="273"/>
      <c r="AJ40" s="72">
        <f t="shared" si="4"/>
        <v>2.8000000000000001E-2</v>
      </c>
    </row>
    <row r="41" spans="1:36" ht="16.5" customHeight="1">
      <c r="A41" s="2027" t="s">
        <v>1310</v>
      </c>
      <c r="B41" s="1256"/>
      <c r="C41" s="1106"/>
      <c r="D41" s="1106"/>
      <c r="E41" s="1106"/>
      <c r="F41" s="1106"/>
      <c r="G41" s="1106"/>
      <c r="H41" s="429"/>
      <c r="I41" s="984"/>
      <c r="J41" s="429"/>
      <c r="K41" s="984"/>
      <c r="L41" s="429"/>
      <c r="M41" s="984"/>
      <c r="N41" s="429"/>
      <c r="O41" s="984"/>
      <c r="P41" s="429"/>
      <c r="Q41" s="984"/>
      <c r="R41" s="429"/>
      <c r="S41" s="984"/>
      <c r="T41" s="429"/>
      <c r="U41" s="984"/>
      <c r="V41" s="429"/>
      <c r="W41" s="984"/>
      <c r="X41" s="429"/>
      <c r="Y41" s="984"/>
      <c r="Z41" s="429"/>
      <c r="AA41" s="1882"/>
      <c r="AB41" s="429"/>
      <c r="AC41" s="429"/>
      <c r="AD41" s="986"/>
      <c r="AE41" s="984"/>
      <c r="AF41" s="429"/>
      <c r="AG41" s="429"/>
      <c r="AH41" s="273"/>
      <c r="AI41" s="273"/>
      <c r="AJ41" s="2025"/>
    </row>
    <row r="42" spans="1:36" ht="16.5" customHeight="1">
      <c r="A42" s="1256" t="s">
        <v>1266</v>
      </c>
      <c r="B42" s="1256"/>
      <c r="C42" s="694">
        <f>+'Exhibit F'!D39+'Exhibit G'!D31+' Exhbit I '!E25</f>
        <v>155.69999999999999</v>
      </c>
      <c r="D42" s="1125"/>
      <c r="E42" s="694"/>
      <c r="F42" s="1125"/>
      <c r="G42" s="694"/>
      <c r="H42" s="987"/>
      <c r="I42" s="694"/>
      <c r="J42" s="987"/>
      <c r="K42" s="694"/>
      <c r="L42" s="429"/>
      <c r="M42" s="694"/>
      <c r="N42" s="429"/>
      <c r="O42" s="694"/>
      <c r="P42" s="429"/>
      <c r="Q42" s="694"/>
      <c r="R42" s="429"/>
      <c r="S42" s="694"/>
      <c r="T42" s="429"/>
      <c r="U42" s="694"/>
      <c r="V42" s="429"/>
      <c r="W42" s="694"/>
      <c r="X42" s="429"/>
      <c r="Y42" s="694"/>
      <c r="Z42" s="429"/>
      <c r="AA42" s="1882"/>
      <c r="AB42" s="987">
        <f>ROUND(SUM(C42:Y42),1)</f>
        <v>155.69999999999999</v>
      </c>
      <c r="AC42" s="429"/>
      <c r="AD42" s="986"/>
      <c r="AE42" s="694">
        <f>+'Exhibit F'!AF39+'Exhibit G'!AF31+' Exhbit I '!AG25</f>
        <v>181.7</v>
      </c>
      <c r="AF42" s="429"/>
      <c r="AG42" s="429"/>
      <c r="AH42" s="1159">
        <f>ROUND(SUM(+AB42-AE42),1)</f>
        <v>-26</v>
      </c>
      <c r="AI42" s="273"/>
      <c r="AJ42" s="1816">
        <f t="shared" ref="AJ42:AJ47" si="7">ROUND(IF(AE42=0,0,AH42/ABS(AE42)),3)</f>
        <v>-0.14299999999999999</v>
      </c>
    </row>
    <row r="43" spans="1:36" ht="16.5" customHeight="1">
      <c r="A43" s="1256" t="s">
        <v>1267</v>
      </c>
      <c r="B43" s="1256"/>
      <c r="C43" s="694">
        <f>+'Exhibit F'!D40+'Exhibit G'!D32+' Exhbit I '!E26</f>
        <v>11.2</v>
      </c>
      <c r="D43" s="1125"/>
      <c r="E43" s="694"/>
      <c r="F43" s="1125"/>
      <c r="G43" s="694"/>
      <c r="H43" s="987"/>
      <c r="I43" s="694"/>
      <c r="J43" s="987"/>
      <c r="K43" s="694"/>
      <c r="L43" s="429"/>
      <c r="M43" s="694"/>
      <c r="N43" s="429"/>
      <c r="O43" s="694"/>
      <c r="P43" s="429"/>
      <c r="Q43" s="694"/>
      <c r="R43" s="429"/>
      <c r="S43" s="694"/>
      <c r="T43" s="429"/>
      <c r="U43" s="694"/>
      <c r="V43" s="429"/>
      <c r="W43" s="694"/>
      <c r="X43" s="429"/>
      <c r="Y43" s="694"/>
      <c r="Z43" s="429"/>
      <c r="AA43" s="1882"/>
      <c r="AB43" s="987">
        <f>ROUND(SUM(C43:Y43),1)</f>
        <v>11.2</v>
      </c>
      <c r="AC43" s="429"/>
      <c r="AD43" s="986"/>
      <c r="AE43" s="694">
        <f>+'Exhibit F'!AF40+'Exhibit G'!AF32+' Exhbit I '!AG26</f>
        <v>5</v>
      </c>
      <c r="AF43" s="429"/>
      <c r="AG43" s="429"/>
      <c r="AH43" s="1159">
        <f>ROUND(SUM(+AB43-AE43),1)</f>
        <v>6.2</v>
      </c>
      <c r="AI43" s="273"/>
      <c r="AJ43" s="1816">
        <f t="shared" si="7"/>
        <v>1.24</v>
      </c>
    </row>
    <row r="44" spans="1:36" ht="16.5" customHeight="1">
      <c r="A44" s="1256" t="s">
        <v>1268</v>
      </c>
      <c r="B44" s="1256"/>
      <c r="C44" s="694">
        <f>+'Exhibit F'!D41+'Exhibit G'!D33</f>
        <v>19.7</v>
      </c>
      <c r="D44" s="1125"/>
      <c r="E44" s="694"/>
      <c r="F44" s="1125"/>
      <c r="G44" s="694"/>
      <c r="H44" s="987"/>
      <c r="I44" s="694"/>
      <c r="J44" s="987"/>
      <c r="K44" s="694"/>
      <c r="L44" s="429"/>
      <c r="M44" s="694"/>
      <c r="N44" s="429"/>
      <c r="O44" s="694"/>
      <c r="P44" s="429"/>
      <c r="Q44" s="694"/>
      <c r="R44" s="429"/>
      <c r="S44" s="694"/>
      <c r="T44" s="429"/>
      <c r="U44" s="694"/>
      <c r="V44" s="429"/>
      <c r="W44" s="694"/>
      <c r="X44" s="429"/>
      <c r="Y44" s="694"/>
      <c r="Z44" s="429"/>
      <c r="AA44" s="1882"/>
      <c r="AB44" s="987">
        <f>ROUND(SUM(C44:Y44),1)</f>
        <v>19.7</v>
      </c>
      <c r="AC44" s="429"/>
      <c r="AD44" s="986"/>
      <c r="AE44" s="694">
        <f>+'Exhibit F'!AF41+'Exhibit G'!AF33</f>
        <v>6.2</v>
      </c>
      <c r="AF44" s="429"/>
      <c r="AG44" s="429"/>
      <c r="AH44" s="1159">
        <f>ROUND(SUM(+AB44-AE44),1)</f>
        <v>13.5</v>
      </c>
      <c r="AI44" s="273"/>
      <c r="AJ44" s="1816">
        <f t="shared" si="7"/>
        <v>2.177</v>
      </c>
    </row>
    <row r="45" spans="1:36" ht="16.5" customHeight="1">
      <c r="A45" s="1256" t="s">
        <v>1269</v>
      </c>
      <c r="B45" s="1256"/>
      <c r="C45" s="694">
        <f>+'Exhibit F'!D42+'Exhibit G'!D34</f>
        <v>6.2</v>
      </c>
      <c r="D45" s="1125"/>
      <c r="E45" s="694"/>
      <c r="F45" s="1125"/>
      <c r="G45" s="694"/>
      <c r="H45" s="987"/>
      <c r="I45" s="694"/>
      <c r="J45" s="987"/>
      <c r="K45" s="694"/>
      <c r="L45" s="429"/>
      <c r="M45" s="694"/>
      <c r="N45" s="429"/>
      <c r="O45" s="694"/>
      <c r="P45" s="429"/>
      <c r="Q45" s="694"/>
      <c r="R45" s="429"/>
      <c r="S45" s="694"/>
      <c r="T45" s="429"/>
      <c r="U45" s="694"/>
      <c r="V45" s="429"/>
      <c r="W45" s="694"/>
      <c r="X45" s="429"/>
      <c r="Y45" s="694"/>
      <c r="Z45" s="429"/>
      <c r="AA45" s="1882"/>
      <c r="AB45" s="987">
        <f>ROUND(SUM(C45:Y45),1)</f>
        <v>6.2</v>
      </c>
      <c r="AC45" s="429"/>
      <c r="AD45" s="986"/>
      <c r="AE45" s="694">
        <f>+'Exhibit F'!AF42+'Exhibit G'!AF34</f>
        <v>30.4</v>
      </c>
      <c r="AF45" s="429"/>
      <c r="AG45" s="429"/>
      <c r="AH45" s="1159">
        <f>ROUND(SUM(+AB45-AE45),1)</f>
        <v>-24.2</v>
      </c>
      <c r="AI45" s="273"/>
      <c r="AJ45" s="1816">
        <f t="shared" si="7"/>
        <v>-0.79600000000000004</v>
      </c>
    </row>
    <row r="46" spans="1:36" ht="16.5" customHeight="1">
      <c r="A46" s="1256" t="s">
        <v>1270</v>
      </c>
      <c r="B46" s="1256"/>
      <c r="C46" s="694">
        <f>+'Exhibit F'!D43+'Exhibit G'!D35+' Exhbit I '!E27</f>
        <v>87.5</v>
      </c>
      <c r="D46" s="1125"/>
      <c r="E46" s="694"/>
      <c r="F46" s="1125"/>
      <c r="G46" s="694"/>
      <c r="H46" s="987"/>
      <c r="I46" s="694"/>
      <c r="J46" s="987"/>
      <c r="K46" s="694"/>
      <c r="L46" s="429"/>
      <c r="M46" s="694"/>
      <c r="N46" s="429"/>
      <c r="O46" s="694"/>
      <c r="P46" s="429"/>
      <c r="Q46" s="694"/>
      <c r="R46" s="429"/>
      <c r="S46" s="694"/>
      <c r="T46" s="429"/>
      <c r="U46" s="694"/>
      <c r="V46" s="429"/>
      <c r="W46" s="694"/>
      <c r="X46" s="429"/>
      <c r="Y46" s="694"/>
      <c r="Z46" s="429"/>
      <c r="AA46" s="1882"/>
      <c r="AB46" s="987">
        <f>ROUND(SUM(C46:Y46),1)</f>
        <v>87.5</v>
      </c>
      <c r="AC46" s="429"/>
      <c r="AD46" s="986"/>
      <c r="AE46" s="694">
        <f>+'Exhibit F'!AF43+'Exhibit G'!AF35+' Exhbit I '!AG27</f>
        <v>91.4</v>
      </c>
      <c r="AF46" s="429"/>
      <c r="AG46" s="429"/>
      <c r="AH46" s="1159">
        <f>ROUND(SUM(+AB46-AE46),1)</f>
        <v>-3.9</v>
      </c>
      <c r="AI46" s="273"/>
      <c r="AJ46" s="1816">
        <f t="shared" si="7"/>
        <v>-4.2999999999999997E-2</v>
      </c>
    </row>
    <row r="47" spans="1:36" ht="16.5" customHeight="1">
      <c r="A47" s="588" t="s">
        <v>1265</v>
      </c>
      <c r="B47" s="1256"/>
      <c r="C47" s="1778">
        <f>ROUND(SUM(C42:C46),1)</f>
        <v>280.3</v>
      </c>
      <c r="D47" s="184"/>
      <c r="E47" s="1778">
        <f>ROUND(SUM(E42:E46),1)</f>
        <v>0</v>
      </c>
      <c r="F47" s="184"/>
      <c r="G47" s="1778">
        <f>ROUND(SUM(G42:G46),1)</f>
        <v>0</v>
      </c>
      <c r="H47" s="429"/>
      <c r="I47" s="1778">
        <f>ROUND(SUM(I42:I46),1)</f>
        <v>0</v>
      </c>
      <c r="J47" s="429"/>
      <c r="K47" s="1778">
        <f>ROUND(SUM(K42:K46),1)</f>
        <v>0</v>
      </c>
      <c r="L47" s="429"/>
      <c r="M47" s="1778">
        <f>ROUND(SUM(M42:M46),1)</f>
        <v>0</v>
      </c>
      <c r="N47" s="429"/>
      <c r="O47" s="1778">
        <f>ROUND(SUM(O42:O46),1)</f>
        <v>0</v>
      </c>
      <c r="P47" s="429"/>
      <c r="Q47" s="1778">
        <f>ROUND(SUM(Q42:Q46),1)</f>
        <v>0</v>
      </c>
      <c r="R47" s="429"/>
      <c r="S47" s="1778">
        <f>ROUND(SUM(S42:S46),1)</f>
        <v>0</v>
      </c>
      <c r="T47" s="429"/>
      <c r="U47" s="1778">
        <f>ROUND(SUM(U42:U46),1)</f>
        <v>0</v>
      </c>
      <c r="V47" s="429"/>
      <c r="W47" s="1778">
        <f>ROUND(SUM(W42:W46),1)</f>
        <v>0</v>
      </c>
      <c r="X47" s="429"/>
      <c r="Y47" s="1778">
        <f>ROUND(SUM(Y42:Y46),1)</f>
        <v>0</v>
      </c>
      <c r="Z47" s="429"/>
      <c r="AA47" s="1882"/>
      <c r="AB47" s="1778">
        <f>ROUND(SUM(AB42:AB46),1)</f>
        <v>280.3</v>
      </c>
      <c r="AC47" s="429"/>
      <c r="AD47" s="986"/>
      <c r="AE47" s="1778">
        <f>ROUND(SUM(AE42:AE46),1)</f>
        <v>314.7</v>
      </c>
      <c r="AF47" s="429"/>
      <c r="AG47" s="429"/>
      <c r="AH47" s="1778">
        <f>ROUND(SUM(AH42:AH46),1)</f>
        <v>-34.4</v>
      </c>
      <c r="AI47" s="273"/>
      <c r="AJ47" s="72">
        <f t="shared" si="7"/>
        <v>-0.109</v>
      </c>
    </row>
    <row r="48" spans="1:36" ht="16.5" customHeight="1">
      <c r="A48" s="2027" t="s">
        <v>1311</v>
      </c>
      <c r="B48" s="1256"/>
      <c r="C48" s="1106"/>
      <c r="D48" s="1106"/>
      <c r="E48" s="1106"/>
      <c r="F48" s="1106"/>
      <c r="G48" s="1106"/>
      <c r="H48" s="429"/>
      <c r="I48" s="984"/>
      <c r="J48" s="429"/>
      <c r="K48" s="984"/>
      <c r="L48" s="429"/>
      <c r="M48" s="984"/>
      <c r="N48" s="429"/>
      <c r="O48" s="984"/>
      <c r="P48" s="429"/>
      <c r="Q48" s="984"/>
      <c r="R48" s="429"/>
      <c r="S48" s="984"/>
      <c r="T48" s="429"/>
      <c r="U48" s="984"/>
      <c r="V48" s="429"/>
      <c r="W48" s="984"/>
      <c r="X48" s="429"/>
      <c r="Y48" s="984"/>
      <c r="Z48" s="429"/>
      <c r="AA48" s="1882"/>
      <c r="AB48" s="429"/>
      <c r="AC48" s="429"/>
      <c r="AD48" s="986"/>
      <c r="AE48" s="984"/>
      <c r="AF48" s="429"/>
      <c r="AG48" s="429"/>
      <c r="AH48" s="273"/>
      <c r="AI48" s="273"/>
      <c r="AJ48" s="2025"/>
    </row>
    <row r="49" spans="1:36" ht="16.5" customHeight="1">
      <c r="A49" s="1256" t="s">
        <v>1273</v>
      </c>
      <c r="B49" s="1256"/>
      <c r="C49" s="1190">
        <v>0</v>
      </c>
      <c r="D49" s="1125"/>
      <c r="E49" s="3008"/>
      <c r="F49" s="1125"/>
      <c r="G49" s="3008"/>
      <c r="H49" s="987"/>
      <c r="I49" s="3008"/>
      <c r="J49" s="987"/>
      <c r="K49" s="3008"/>
      <c r="L49" s="429"/>
      <c r="M49" s="3008"/>
      <c r="N49" s="429"/>
      <c r="O49" s="3008"/>
      <c r="P49" s="429"/>
      <c r="Q49" s="3008"/>
      <c r="R49" s="429"/>
      <c r="S49" s="3008"/>
      <c r="T49" s="429"/>
      <c r="U49" s="3008"/>
      <c r="V49" s="429"/>
      <c r="W49" s="3008"/>
      <c r="X49" s="429"/>
      <c r="Y49" s="2082"/>
      <c r="Z49" s="429"/>
      <c r="AA49" s="1882"/>
      <c r="AB49" s="987">
        <f t="shared" ref="AB49:AB54" si="8">ROUND(SUM(C49:Y49),1)</f>
        <v>0</v>
      </c>
      <c r="AC49" s="429"/>
      <c r="AD49" s="986"/>
      <c r="AE49" s="2607">
        <f>+'Exhibit F'!AF46</f>
        <v>0</v>
      </c>
      <c r="AF49" s="2743"/>
      <c r="AG49" s="2743"/>
      <c r="AH49" s="2746">
        <f t="shared" ref="AH49:AH54" si="9">ROUND(SUM(+AB49-AE49),1)</f>
        <v>0</v>
      </c>
      <c r="AI49" s="2747"/>
      <c r="AJ49" s="2741">
        <f>-ROUND(IF(AE49=0,0,AH49/ABS(AE49)),3)</f>
        <v>0</v>
      </c>
    </row>
    <row r="50" spans="1:36" ht="16.5" customHeight="1">
      <c r="A50" s="1256" t="s">
        <v>1274</v>
      </c>
      <c r="B50" s="1256"/>
      <c r="C50" s="694">
        <f>+'Exhibit F'!D47</f>
        <v>74.900000000000006</v>
      </c>
      <c r="D50" s="1125"/>
      <c r="E50" s="694"/>
      <c r="F50" s="1125"/>
      <c r="G50" s="694"/>
      <c r="H50" s="987"/>
      <c r="I50" s="694"/>
      <c r="J50" s="987"/>
      <c r="K50" s="694"/>
      <c r="L50" s="987"/>
      <c r="M50" s="694"/>
      <c r="N50" s="429"/>
      <c r="O50" s="694"/>
      <c r="P50" s="429"/>
      <c r="Q50" s="694"/>
      <c r="R50" s="429"/>
      <c r="S50" s="694"/>
      <c r="T50" s="429"/>
      <c r="U50" s="694"/>
      <c r="V50" s="429"/>
      <c r="W50" s="694"/>
      <c r="X50" s="429"/>
      <c r="Y50" s="694"/>
      <c r="Z50" s="429"/>
      <c r="AA50" s="1882"/>
      <c r="AB50" s="987">
        <f t="shared" si="8"/>
        <v>74.900000000000006</v>
      </c>
      <c r="AC50" s="429"/>
      <c r="AD50" s="986"/>
      <c r="AE50" s="694">
        <f>+'Exhibit F'!AF47</f>
        <v>148.9</v>
      </c>
      <c r="AF50" s="429"/>
      <c r="AG50" s="429"/>
      <c r="AH50" s="1159">
        <f t="shared" si="9"/>
        <v>-74</v>
      </c>
      <c r="AI50" s="273"/>
      <c r="AJ50" s="1816">
        <f t="shared" ref="AJ50:AJ55" si="10">ROUND(IF(AE50=0,0,AH50/ABS(AE50)),3)</f>
        <v>-0.497</v>
      </c>
    </row>
    <row r="51" spans="1:36" ht="16.5" customHeight="1">
      <c r="A51" s="1256" t="s">
        <v>1275</v>
      </c>
      <c r="B51" s="1256"/>
      <c r="C51" s="694">
        <f>+'Exhibit F'!D48</f>
        <v>0.7</v>
      </c>
      <c r="D51" s="1125"/>
      <c r="E51" s="694"/>
      <c r="F51" s="1125"/>
      <c r="G51" s="694"/>
      <c r="H51" s="987"/>
      <c r="I51" s="694"/>
      <c r="J51" s="987"/>
      <c r="K51" s="694"/>
      <c r="L51" s="987"/>
      <c r="M51" s="694"/>
      <c r="N51" s="429"/>
      <c r="O51" s="694"/>
      <c r="P51" s="429"/>
      <c r="Q51" s="694"/>
      <c r="R51" s="429"/>
      <c r="S51" s="694"/>
      <c r="T51" s="429"/>
      <c r="U51" s="694"/>
      <c r="V51" s="429"/>
      <c r="W51" s="694"/>
      <c r="X51" s="429"/>
      <c r="Y51" s="694"/>
      <c r="Z51" s="429"/>
      <c r="AA51" s="1882"/>
      <c r="AB51" s="987">
        <f t="shared" si="8"/>
        <v>0.7</v>
      </c>
      <c r="AC51" s="429"/>
      <c r="AD51" s="986"/>
      <c r="AE51" s="694">
        <f>+'Exhibit F'!AF48</f>
        <v>0.9</v>
      </c>
      <c r="AF51" s="429"/>
      <c r="AG51" s="429"/>
      <c r="AH51" s="1159">
        <f t="shared" si="9"/>
        <v>-0.2</v>
      </c>
      <c r="AI51" s="273"/>
      <c r="AJ51" s="1816">
        <f t="shared" si="10"/>
        <v>-0.222</v>
      </c>
    </row>
    <row r="52" spans="1:36" ht="16.5" customHeight="1">
      <c r="A52" s="1256" t="s">
        <v>1276</v>
      </c>
      <c r="B52" s="1256"/>
      <c r="C52" s="694">
        <f>+'Exhibit F'!D49+'Exhibit H'!B22+' Exhbit I '!E30</f>
        <v>90.4</v>
      </c>
      <c r="D52" s="1125"/>
      <c r="E52" s="694"/>
      <c r="F52" s="1125"/>
      <c r="G52" s="694"/>
      <c r="H52" s="987"/>
      <c r="I52" s="694"/>
      <c r="J52" s="987"/>
      <c r="K52" s="694"/>
      <c r="L52" s="987"/>
      <c r="M52" s="694"/>
      <c r="N52" s="429"/>
      <c r="O52" s="694"/>
      <c r="P52" s="429"/>
      <c r="Q52" s="694"/>
      <c r="R52" s="429"/>
      <c r="S52" s="694"/>
      <c r="T52" s="429"/>
      <c r="U52" s="694"/>
      <c r="V52" s="429"/>
      <c r="W52" s="694"/>
      <c r="X52" s="429"/>
      <c r="Y52" s="694"/>
      <c r="Z52" s="429"/>
      <c r="AA52" s="1882"/>
      <c r="AB52" s="987">
        <f t="shared" si="8"/>
        <v>90.4</v>
      </c>
      <c r="AC52" s="429"/>
      <c r="AD52" s="986"/>
      <c r="AE52" s="694">
        <f>+'Exhibit F'!AF49+'Exhibit H'!AD22+' Exhbit I '!AG30</f>
        <v>86.3</v>
      </c>
      <c r="AF52" s="429"/>
      <c r="AG52" s="429"/>
      <c r="AH52" s="1159">
        <f t="shared" si="9"/>
        <v>4.0999999999999996</v>
      </c>
      <c r="AI52" s="273"/>
      <c r="AJ52" s="1816">
        <f t="shared" si="10"/>
        <v>4.8000000000000001E-2</v>
      </c>
    </row>
    <row r="53" spans="1:36" ht="16.5" customHeight="1">
      <c r="A53" s="1256" t="s">
        <v>1277</v>
      </c>
      <c r="B53" s="1256"/>
      <c r="C53" s="694">
        <f>+'Exhibit F'!D50</f>
        <v>0</v>
      </c>
      <c r="D53" s="1125"/>
      <c r="E53" s="694"/>
      <c r="F53" s="1125"/>
      <c r="G53" s="694"/>
      <c r="H53" s="987"/>
      <c r="I53" s="694"/>
      <c r="J53" s="987"/>
      <c r="K53" s="694"/>
      <c r="L53" s="987"/>
      <c r="M53" s="694"/>
      <c r="N53" s="429"/>
      <c r="O53" s="694"/>
      <c r="P53" s="429"/>
      <c r="Q53" s="694"/>
      <c r="R53" s="429"/>
      <c r="S53" s="694"/>
      <c r="T53" s="429"/>
      <c r="U53" s="694"/>
      <c r="V53" s="429"/>
      <c r="W53" s="694"/>
      <c r="X53" s="429"/>
      <c r="Y53" s="694"/>
      <c r="Z53" s="429"/>
      <c r="AA53" s="1882"/>
      <c r="AB53" s="987">
        <f t="shared" si="8"/>
        <v>0</v>
      </c>
      <c r="AC53" s="429"/>
      <c r="AD53" s="986"/>
      <c r="AE53" s="694">
        <f>+'Exhibit F'!AF50</f>
        <v>0</v>
      </c>
      <c r="AF53" s="429"/>
      <c r="AG53" s="429"/>
      <c r="AH53" s="1159">
        <f t="shared" si="9"/>
        <v>0</v>
      </c>
      <c r="AI53" s="273"/>
      <c r="AJ53" s="1816">
        <f>ROUND(IF(AE53=0,0,AH53/ABS(AE53)),3)</f>
        <v>0</v>
      </c>
    </row>
    <row r="54" spans="1:36" ht="16.5" customHeight="1">
      <c r="A54" s="2066" t="s">
        <v>1278</v>
      </c>
      <c r="B54" s="1256"/>
      <c r="C54" s="694">
        <f>+'Exhibit F'!D51+'Exhibit G'!D38</f>
        <v>116.6</v>
      </c>
      <c r="D54" s="1125"/>
      <c r="E54" s="694"/>
      <c r="F54" s="1125"/>
      <c r="G54" s="694"/>
      <c r="H54" s="987"/>
      <c r="I54" s="694"/>
      <c r="J54" s="987"/>
      <c r="K54" s="694"/>
      <c r="L54" s="429"/>
      <c r="M54" s="694"/>
      <c r="N54" s="429"/>
      <c r="O54" s="694"/>
      <c r="P54" s="429"/>
      <c r="Q54" s="694"/>
      <c r="R54" s="429"/>
      <c r="S54" s="694"/>
      <c r="T54" s="429"/>
      <c r="U54" s="694"/>
      <c r="V54" s="429"/>
      <c r="W54" s="694"/>
      <c r="X54" s="429"/>
      <c r="Y54" s="694"/>
      <c r="Z54" s="429"/>
      <c r="AA54" s="1882"/>
      <c r="AB54" s="987">
        <f t="shared" si="8"/>
        <v>116.6</v>
      </c>
      <c r="AC54" s="429"/>
      <c r="AD54" s="986"/>
      <c r="AE54" s="694">
        <f>+'Exhibit F'!AF51+'Exhibit G'!AF38</f>
        <v>132.6</v>
      </c>
      <c r="AF54" s="429"/>
      <c r="AG54" s="429"/>
      <c r="AH54" s="1159">
        <f t="shared" si="9"/>
        <v>-16</v>
      </c>
      <c r="AI54" s="273"/>
      <c r="AJ54" s="1816">
        <f t="shared" si="10"/>
        <v>-0.121</v>
      </c>
    </row>
    <row r="55" spans="1:36" ht="16.5" customHeight="1">
      <c r="A55" s="588" t="s">
        <v>1271</v>
      </c>
      <c r="B55" s="1256"/>
      <c r="C55" s="1778">
        <f>ROUND(SUM(C49:C54),1)</f>
        <v>282.60000000000002</v>
      </c>
      <c r="D55" s="184"/>
      <c r="E55" s="1778">
        <f>ROUND(SUM(E49:E54),1)</f>
        <v>0</v>
      </c>
      <c r="F55" s="184"/>
      <c r="G55" s="1778">
        <f>ROUND(SUM(G49:G54),1)</f>
        <v>0</v>
      </c>
      <c r="H55" s="429"/>
      <c r="I55" s="1778">
        <f>ROUND(SUM(I49:I54),1)</f>
        <v>0</v>
      </c>
      <c r="J55" s="429"/>
      <c r="K55" s="1778">
        <f>ROUND(SUM(K49:K54),1)</f>
        <v>0</v>
      </c>
      <c r="L55" s="429"/>
      <c r="M55" s="1778">
        <f>ROUND(SUM(M49:M54),1)</f>
        <v>0</v>
      </c>
      <c r="N55" s="429"/>
      <c r="O55" s="1778">
        <f>ROUND(SUM(O49:O54),1)</f>
        <v>0</v>
      </c>
      <c r="P55" s="429"/>
      <c r="Q55" s="1778">
        <f>ROUND(SUM(Q49:Q54),1)</f>
        <v>0</v>
      </c>
      <c r="R55" s="429"/>
      <c r="S55" s="1778">
        <f>ROUND(SUM(S49:S54),1)</f>
        <v>0</v>
      </c>
      <c r="T55" s="429"/>
      <c r="U55" s="1778">
        <f>ROUND(SUM(U49:U54),1)</f>
        <v>0</v>
      </c>
      <c r="V55" s="429"/>
      <c r="W55" s="1778">
        <f>ROUND(SUM(W49:W54),1)</f>
        <v>0</v>
      </c>
      <c r="X55" s="429"/>
      <c r="Y55" s="1778">
        <f>ROUND(SUM(Y49:Y54),1)</f>
        <v>0</v>
      </c>
      <c r="Z55" s="429"/>
      <c r="AA55" s="1882"/>
      <c r="AB55" s="1778">
        <f>ROUND(SUM(AB49:AB54),1)</f>
        <v>282.60000000000002</v>
      </c>
      <c r="AC55" s="429"/>
      <c r="AD55" s="986"/>
      <c r="AE55" s="1778">
        <f>ROUND(SUM(AE49:AE54),1)</f>
        <v>368.7</v>
      </c>
      <c r="AF55" s="429"/>
      <c r="AG55" s="429"/>
      <c r="AH55" s="1778">
        <f>ROUND(SUM(AH49:AH54),1)</f>
        <v>-86.1</v>
      </c>
      <c r="AI55" s="273"/>
      <c r="AJ55" s="72">
        <f t="shared" si="10"/>
        <v>-0.23400000000000001</v>
      </c>
    </row>
    <row r="56" spans="1:36" ht="16.5" customHeight="1">
      <c r="A56" s="588"/>
      <c r="B56" s="1256"/>
      <c r="C56" s="186"/>
      <c r="D56" s="186"/>
      <c r="E56" s="186"/>
      <c r="F56" s="186"/>
      <c r="G56" s="186"/>
      <c r="H56" s="2062"/>
      <c r="I56" s="2300"/>
      <c r="J56" s="2062"/>
      <c r="K56" s="2300"/>
      <c r="L56" s="2062"/>
      <c r="M56" s="2300"/>
      <c r="N56" s="2062"/>
      <c r="O56" s="2300"/>
      <c r="P56" s="2062"/>
      <c r="Q56" s="2300"/>
      <c r="R56" s="2062"/>
      <c r="S56" s="2300"/>
      <c r="T56" s="2062"/>
      <c r="U56" s="2300"/>
      <c r="V56" s="2062"/>
      <c r="W56" s="2300"/>
      <c r="X56" s="2062"/>
      <c r="Y56" s="2300"/>
      <c r="Z56" s="429"/>
      <c r="AA56" s="985"/>
      <c r="AB56" s="2062"/>
      <c r="AC56" s="429"/>
      <c r="AD56" s="986"/>
      <c r="AE56" s="2062"/>
      <c r="AF56" s="429"/>
      <c r="AG56" s="429"/>
      <c r="AH56" s="1253"/>
      <c r="AI56" s="429"/>
      <c r="AJ56" s="1253"/>
    </row>
    <row r="57" spans="1:36" ht="16.5" customHeight="1">
      <c r="A57" s="588" t="s">
        <v>1272</v>
      </c>
      <c r="B57" s="222"/>
      <c r="C57" s="195">
        <f>ROUND(SUM(C55+C47+C40+C30),1)</f>
        <v>8220.9</v>
      </c>
      <c r="D57" s="261"/>
      <c r="E57" s="195">
        <f>ROUND(SUM(E55+E47+E40+E30),1)</f>
        <v>0</v>
      </c>
      <c r="F57" s="261"/>
      <c r="G57" s="195">
        <f>ROUND(SUM(G55+G47+G40+G30),1)</f>
        <v>0</v>
      </c>
      <c r="H57" s="261"/>
      <c r="I57" s="195">
        <f>ROUND(SUM(I55+I47+I40+I30),1)</f>
        <v>0</v>
      </c>
      <c r="J57" s="261"/>
      <c r="K57" s="195">
        <f>ROUND(SUM(K55+K47+K40+K30),1)</f>
        <v>0</v>
      </c>
      <c r="L57" s="261"/>
      <c r="M57" s="195">
        <f>ROUND(SUM(M55+M47+M40+M30),1)</f>
        <v>0</v>
      </c>
      <c r="N57" s="261"/>
      <c r="O57" s="195">
        <f>ROUND(SUM(O55+O47+O40+O30),1)</f>
        <v>0</v>
      </c>
      <c r="P57" s="261"/>
      <c r="Q57" s="195">
        <f>ROUND(SUM(Q55+Q47+Q40+Q30),1)</f>
        <v>0</v>
      </c>
      <c r="R57" s="261"/>
      <c r="S57" s="195">
        <f>ROUND(SUM(S55+S47+S40+S30),1)</f>
        <v>0</v>
      </c>
      <c r="T57" s="261"/>
      <c r="U57" s="195">
        <f>ROUND(SUM(U55+U47+U40+U30),1)</f>
        <v>0</v>
      </c>
      <c r="V57" s="261"/>
      <c r="W57" s="195">
        <f>ROUND(SUM(W55+W47+W40+W30),1)</f>
        <v>0</v>
      </c>
      <c r="X57" s="367"/>
      <c r="Y57" s="195">
        <f>ROUND(SUM(Y55+Y47+Y40+Y30),1)</f>
        <v>0</v>
      </c>
      <c r="Z57" s="367"/>
      <c r="AA57" s="237"/>
      <c r="AB57" s="615">
        <f>ROUND(+AB55+AB47+AB40+AB30,1)</f>
        <v>8220.9</v>
      </c>
      <c r="AC57" s="261"/>
      <c r="AD57" s="250"/>
      <c r="AE57" s="615">
        <f>ROUND(+AE55+AE47+AE40+AE30,1)</f>
        <v>8641.2999999999993</v>
      </c>
      <c r="AF57" s="249"/>
      <c r="AG57" s="1272"/>
      <c r="AH57" s="615">
        <f>ROUND(+AH55+AH47+AH40+AH30,1)</f>
        <v>-420.4</v>
      </c>
      <c r="AI57" s="1860"/>
      <c r="AJ57" s="1913">
        <f>ROUND(IF(AE57=0,0,AH57/ABS(AE57)),3)</f>
        <v>-4.9000000000000002E-2</v>
      </c>
    </row>
    <row r="58" spans="1:36" ht="16.5" customHeight="1">
      <c r="A58" s="429"/>
      <c r="B58" s="429"/>
      <c r="C58" s="987"/>
      <c r="D58" s="987"/>
      <c r="E58" s="987"/>
      <c r="F58" s="987"/>
      <c r="G58" s="987"/>
      <c r="H58" s="987"/>
      <c r="I58" s="987"/>
      <c r="J58" s="987"/>
      <c r="K58" s="987"/>
      <c r="L58" s="987"/>
      <c r="M58" s="987"/>
      <c r="N58" s="987"/>
      <c r="O58" s="186"/>
      <c r="P58" s="987"/>
      <c r="Q58" s="987"/>
      <c r="R58" s="987"/>
      <c r="S58" s="987"/>
      <c r="T58" s="987"/>
      <c r="U58" s="987"/>
      <c r="V58" s="987"/>
      <c r="X58" s="987"/>
      <c r="Y58" s="987"/>
      <c r="Z58" s="987"/>
      <c r="AA58" s="988"/>
      <c r="AB58" s="987"/>
      <c r="AC58" s="987"/>
      <c r="AD58" s="989"/>
      <c r="AE58" s="987"/>
      <c r="AF58" s="987"/>
      <c r="AG58" s="987"/>
      <c r="AH58" s="987"/>
      <c r="AI58" s="429"/>
      <c r="AJ58" s="1884"/>
    </row>
    <row r="59" spans="1:36" ht="16.5" customHeight="1">
      <c r="A59" s="489" t="s">
        <v>1173</v>
      </c>
      <c r="B59" s="1782"/>
      <c r="C59" s="987"/>
      <c r="D59" s="987"/>
      <c r="E59" s="987"/>
      <c r="F59" s="987"/>
      <c r="G59" s="987"/>
      <c r="H59" s="987"/>
      <c r="I59" s="987"/>
      <c r="J59" s="987"/>
      <c r="K59" s="987"/>
      <c r="L59" s="987"/>
      <c r="M59" s="987"/>
      <c r="N59" s="987"/>
      <c r="O59" s="987"/>
      <c r="P59" s="987"/>
      <c r="Q59" s="987"/>
      <c r="R59" s="987"/>
      <c r="S59" s="987"/>
      <c r="T59" s="987"/>
      <c r="U59" s="987"/>
      <c r="V59" s="987"/>
      <c r="X59" s="987"/>
      <c r="Y59" s="987"/>
      <c r="Z59" s="987"/>
      <c r="AA59" s="988"/>
      <c r="AB59" s="987"/>
      <c r="AC59" s="987"/>
      <c r="AD59" s="989"/>
      <c r="AE59" s="987"/>
      <c r="AF59" s="987"/>
      <c r="AG59" s="987"/>
      <c r="AH59" s="987"/>
      <c r="AI59" s="429"/>
      <c r="AJ59" s="1884"/>
    </row>
    <row r="60" spans="1:36" ht="16.5" customHeight="1">
      <c r="A60" s="1784" t="s">
        <v>1301</v>
      </c>
      <c r="B60" s="1782"/>
      <c r="C60" s="987"/>
      <c r="D60" s="987"/>
      <c r="E60" s="987"/>
      <c r="F60" s="987"/>
      <c r="G60" s="987"/>
      <c r="H60" s="987"/>
      <c r="I60" s="987"/>
      <c r="J60" s="987"/>
      <c r="K60" s="987"/>
      <c r="L60" s="987"/>
      <c r="M60" s="987"/>
      <c r="N60" s="987"/>
      <c r="O60" s="987"/>
      <c r="P60" s="987"/>
      <c r="Q60" s="987"/>
      <c r="R60" s="987"/>
      <c r="S60" s="987"/>
      <c r="T60" s="987"/>
      <c r="U60" s="987"/>
      <c r="V60" s="987"/>
      <c r="X60" s="987"/>
      <c r="Y60" s="987"/>
      <c r="Z60" s="987"/>
      <c r="AA60" s="988"/>
      <c r="AB60" s="987"/>
      <c r="AC60" s="987"/>
      <c r="AD60" s="989"/>
      <c r="AE60" s="987"/>
      <c r="AF60" s="987"/>
      <c r="AG60" s="987"/>
      <c r="AH60" s="987"/>
      <c r="AI60" s="429"/>
      <c r="AJ60" s="1884"/>
    </row>
    <row r="61" spans="1:36" ht="16.5" customHeight="1">
      <c r="A61" s="1784" t="s">
        <v>1171</v>
      </c>
      <c r="B61" s="1784"/>
      <c r="C61" s="987">
        <f>+'Exhibit F'!D58+'Exhibit G'!D45</f>
        <v>0.9</v>
      </c>
      <c r="D61" s="987"/>
      <c r="E61" s="987"/>
      <c r="F61" s="987"/>
      <c r="G61" s="987"/>
      <c r="H61" s="987"/>
      <c r="I61" s="987"/>
      <c r="J61" s="987"/>
      <c r="K61" s="987"/>
      <c r="L61" s="987"/>
      <c r="M61" s="987"/>
      <c r="N61" s="987"/>
      <c r="O61" s="987"/>
      <c r="P61" s="987"/>
      <c r="Q61" s="987"/>
      <c r="R61" s="987"/>
      <c r="S61" s="987"/>
      <c r="T61" s="987"/>
      <c r="U61" s="987"/>
      <c r="V61" s="987"/>
      <c r="W61" s="987"/>
      <c r="X61" s="987"/>
      <c r="Y61" s="2820"/>
      <c r="Z61" s="987"/>
      <c r="AA61" s="988"/>
      <c r="AB61" s="987">
        <f t="shared" ref="AB61:AB100" si="11">ROUND(SUM(C61:Y61),1)</f>
        <v>0.9</v>
      </c>
      <c r="AC61" s="987"/>
      <c r="AD61" s="989"/>
      <c r="AE61" s="987">
        <f>+'Exhibit F'!AF58+'Exhibit G'!AF45</f>
        <v>0.8</v>
      </c>
      <c r="AF61" s="987"/>
      <c r="AG61" s="987"/>
      <c r="AH61" s="987">
        <f t="shared" ref="AH61:AH100" si="12">ROUND(SUM(AB61-AE61),1)</f>
        <v>0.1</v>
      </c>
      <c r="AI61" s="429"/>
      <c r="AJ61" s="1816">
        <f>ROUND(IF(AE61=0,0,AH61/ABS(AE61)),3)</f>
        <v>0.125</v>
      </c>
    </row>
    <row r="62" spans="1:36" ht="16.5" customHeight="1">
      <c r="A62" s="1784" t="s">
        <v>1172</v>
      </c>
      <c r="B62" s="1784"/>
      <c r="C62" s="987">
        <f>+'Exhibit F'!D59+' Exhbit I '!E37</f>
        <v>-0.3</v>
      </c>
      <c r="D62" s="987"/>
      <c r="E62" s="987"/>
      <c r="F62" s="987"/>
      <c r="G62" s="987"/>
      <c r="H62" s="987"/>
      <c r="I62" s="987"/>
      <c r="J62" s="987"/>
      <c r="K62" s="987"/>
      <c r="L62" s="987"/>
      <c r="M62" s="987"/>
      <c r="N62" s="987"/>
      <c r="O62" s="987"/>
      <c r="P62" s="987"/>
      <c r="Q62" s="987"/>
      <c r="R62" s="987"/>
      <c r="S62" s="987"/>
      <c r="T62" s="987"/>
      <c r="U62" s="987"/>
      <c r="V62" s="987"/>
      <c r="W62" s="987"/>
      <c r="X62" s="987"/>
      <c r="Y62" s="2820"/>
      <c r="Z62" s="987"/>
      <c r="AA62" s="988"/>
      <c r="AB62" s="987">
        <f t="shared" si="11"/>
        <v>-0.3</v>
      </c>
      <c r="AC62" s="987"/>
      <c r="AD62" s="989"/>
      <c r="AE62" s="987">
        <f>+'Exhibit F'!AF59+' Exhbit I '!AG37</f>
        <v>0.5</v>
      </c>
      <c r="AF62" s="987"/>
      <c r="AG62" s="987"/>
      <c r="AH62" s="987">
        <f t="shared" si="12"/>
        <v>-0.8</v>
      </c>
      <c r="AI62" s="429"/>
      <c r="AJ62" s="1816">
        <f>ROUND(IF(AE62=0,0,AH62/ABS(AE62)),3)</f>
        <v>-1.6</v>
      </c>
    </row>
    <row r="63" spans="1:36" ht="16.5" customHeight="1">
      <c r="A63" s="1784" t="s">
        <v>1302</v>
      </c>
      <c r="B63" s="1784"/>
      <c r="C63" s="987"/>
      <c r="D63" s="987"/>
      <c r="E63" s="987"/>
      <c r="F63" s="987"/>
      <c r="G63" s="987"/>
      <c r="H63" s="987"/>
      <c r="I63" s="987"/>
      <c r="J63" s="987"/>
      <c r="K63" s="987"/>
      <c r="L63" s="987"/>
      <c r="M63" s="987"/>
      <c r="N63" s="987"/>
      <c r="O63" s="987"/>
      <c r="P63" s="987"/>
      <c r="Q63" s="987"/>
      <c r="R63" s="987"/>
      <c r="S63" s="987"/>
      <c r="T63" s="987"/>
      <c r="U63" s="987"/>
      <c r="V63" s="987"/>
      <c r="W63" s="987"/>
      <c r="X63" s="987"/>
      <c r="Y63" s="2820"/>
      <c r="Z63" s="987"/>
      <c r="AA63" s="988"/>
      <c r="AB63" s="987"/>
      <c r="AC63" s="987"/>
      <c r="AD63" s="989"/>
      <c r="AE63" s="987"/>
      <c r="AF63" s="987"/>
      <c r="AG63" s="987"/>
      <c r="AH63" s="987"/>
      <c r="AI63" s="429"/>
      <c r="AJ63" s="1816"/>
    </row>
    <row r="64" spans="1:36" ht="16.5" customHeight="1">
      <c r="A64" s="1784" t="s">
        <v>1176</v>
      </c>
      <c r="B64" s="1784"/>
      <c r="C64" s="987">
        <f>+'Exhibit F'!D61+'Exhibit G'!D47+' Exhbit I '!E39</f>
        <v>41.8</v>
      </c>
      <c r="D64" s="987"/>
      <c r="E64" s="987"/>
      <c r="F64" s="987"/>
      <c r="G64" s="987"/>
      <c r="H64" s="987"/>
      <c r="I64" s="987"/>
      <c r="J64" s="987"/>
      <c r="K64" s="987"/>
      <c r="L64" s="987"/>
      <c r="M64" s="987"/>
      <c r="N64" s="987"/>
      <c r="O64" s="987"/>
      <c r="P64" s="987"/>
      <c r="Q64" s="987"/>
      <c r="R64" s="987"/>
      <c r="S64" s="987"/>
      <c r="T64" s="987"/>
      <c r="U64" s="987"/>
      <c r="V64" s="987"/>
      <c r="W64" s="987"/>
      <c r="X64" s="987"/>
      <c r="Y64" s="2820"/>
      <c r="Z64" s="987"/>
      <c r="AA64" s="988"/>
      <c r="AB64" s="987">
        <f t="shared" si="11"/>
        <v>41.8</v>
      </c>
      <c r="AC64" s="987"/>
      <c r="AD64" s="989"/>
      <c r="AE64" s="987">
        <f>+'Exhibit F'!AF61+'Exhibit G'!AF47+' Exhbit I '!AG39</f>
        <v>88.399999999999991</v>
      </c>
      <c r="AF64" s="987"/>
      <c r="AG64" s="987"/>
      <c r="AH64" s="987">
        <f t="shared" si="12"/>
        <v>-46.6</v>
      </c>
      <c r="AI64" s="429"/>
      <c r="AJ64" s="1816">
        <f>ROUND(IF(AE64=0,0,AH64/ABS(AE64)),3)</f>
        <v>-0.52700000000000002</v>
      </c>
    </row>
    <row r="65" spans="1:36" ht="16.5" customHeight="1">
      <c r="A65" s="1784" t="s">
        <v>1177</v>
      </c>
      <c r="B65" s="1784"/>
      <c r="C65" s="987">
        <f>+'Exhibit F'!D62+'Exhibit G'!D48</f>
        <v>423</v>
      </c>
      <c r="D65" s="987"/>
      <c r="E65" s="987"/>
      <c r="F65" s="987"/>
      <c r="G65" s="987"/>
      <c r="H65" s="987"/>
      <c r="I65" s="987"/>
      <c r="J65" s="987"/>
      <c r="K65" s="987"/>
      <c r="L65" s="987"/>
      <c r="M65" s="987"/>
      <c r="N65" s="987"/>
      <c r="O65" s="987"/>
      <c r="P65" s="987"/>
      <c r="Q65" s="987"/>
      <c r="R65" s="987"/>
      <c r="S65" s="987"/>
      <c r="T65" s="987"/>
      <c r="U65" s="987"/>
      <c r="V65" s="987"/>
      <c r="W65" s="987"/>
      <c r="X65" s="987"/>
      <c r="Y65" s="2820"/>
      <c r="Z65" s="987"/>
      <c r="AA65" s="988"/>
      <c r="AB65" s="987">
        <f t="shared" si="11"/>
        <v>423</v>
      </c>
      <c r="AC65" s="987"/>
      <c r="AD65" s="989"/>
      <c r="AE65" s="987">
        <f>+'Exhibit F'!AF62+'Exhibit G'!AF48+'Exhibit H'!AD29</f>
        <v>376.8</v>
      </c>
      <c r="AF65" s="987"/>
      <c r="AG65" s="987"/>
      <c r="AH65" s="987">
        <f t="shared" si="12"/>
        <v>46.2</v>
      </c>
      <c r="AI65" s="429"/>
      <c r="AJ65" s="1816">
        <f>ROUND(IF(AE65=0,0,AH65/ABS(AE65)),3)</f>
        <v>0.123</v>
      </c>
    </row>
    <row r="66" spans="1:36" ht="16.5" customHeight="1">
      <c r="A66" s="1784" t="s">
        <v>1178</v>
      </c>
      <c r="B66" s="1784"/>
      <c r="C66" s="987">
        <f>+'Exhibit F'!D63+'Exhibit G'!D49</f>
        <v>5.7</v>
      </c>
      <c r="D66" s="987"/>
      <c r="E66" s="987"/>
      <c r="F66" s="987"/>
      <c r="G66" s="987"/>
      <c r="H66" s="987"/>
      <c r="I66" s="987"/>
      <c r="J66" s="987"/>
      <c r="K66" s="987"/>
      <c r="L66" s="987"/>
      <c r="M66" s="987"/>
      <c r="N66" s="987"/>
      <c r="O66" s="987"/>
      <c r="P66" s="987"/>
      <c r="Q66" s="987"/>
      <c r="R66" s="987"/>
      <c r="S66" s="987"/>
      <c r="T66" s="987"/>
      <c r="U66" s="987"/>
      <c r="V66" s="987"/>
      <c r="W66" s="987"/>
      <c r="X66" s="987"/>
      <c r="Y66" s="2820"/>
      <c r="Z66" s="987"/>
      <c r="AA66" s="988"/>
      <c r="AB66" s="987">
        <f t="shared" si="11"/>
        <v>5.7</v>
      </c>
      <c r="AC66" s="987"/>
      <c r="AD66" s="989"/>
      <c r="AE66" s="987">
        <f>+'Exhibit F'!AF63+'Exhibit G'!AF49</f>
        <v>0.7</v>
      </c>
      <c r="AF66" s="987"/>
      <c r="AG66" s="987"/>
      <c r="AH66" s="987">
        <f t="shared" si="12"/>
        <v>5</v>
      </c>
      <c r="AI66" s="429"/>
      <c r="AJ66" s="1816">
        <f>ROUND(IF(AE66=0,0,AH66/ABS(AE66)),3)</f>
        <v>7.1429999999999998</v>
      </c>
    </row>
    <row r="67" spans="1:36" ht="16.5" customHeight="1">
      <c r="A67" s="1784" t="s">
        <v>1179</v>
      </c>
      <c r="B67" s="1784"/>
      <c r="C67" s="987">
        <f>+'Exhibit F'!D64+'Exhibit G'!D50</f>
        <v>20.5</v>
      </c>
      <c r="D67" s="987"/>
      <c r="E67" s="987"/>
      <c r="F67" s="987"/>
      <c r="G67" s="987"/>
      <c r="H67" s="987"/>
      <c r="I67" s="987"/>
      <c r="J67" s="987"/>
      <c r="K67" s="987"/>
      <c r="L67" s="987"/>
      <c r="M67" s="987"/>
      <c r="N67" s="987"/>
      <c r="O67" s="987"/>
      <c r="P67" s="987"/>
      <c r="Q67" s="987"/>
      <c r="R67" s="987"/>
      <c r="S67" s="987"/>
      <c r="T67" s="987"/>
      <c r="U67" s="987"/>
      <c r="V67" s="987"/>
      <c r="W67" s="987"/>
      <c r="X67" s="987"/>
      <c r="Y67" s="2820"/>
      <c r="Z67" s="987"/>
      <c r="AA67" s="988"/>
      <c r="AB67" s="987">
        <f t="shared" si="11"/>
        <v>20.5</v>
      </c>
      <c r="AC67" s="987"/>
      <c r="AD67" s="989"/>
      <c r="AE67" s="987">
        <f>+'Exhibit F'!AF64+'Exhibit G'!AF50</f>
        <v>18.2</v>
      </c>
      <c r="AF67" s="987"/>
      <c r="AG67" s="987"/>
      <c r="AH67" s="987">
        <f t="shared" si="12"/>
        <v>2.2999999999999998</v>
      </c>
      <c r="AI67" s="429"/>
      <c r="AJ67" s="1816">
        <f>ROUND(IF(AE67=0,0,AH67/ABS(AE67)),3)</f>
        <v>0.126</v>
      </c>
    </row>
    <row r="68" spans="1:36" ht="16.5" customHeight="1">
      <c r="A68" s="1784" t="s">
        <v>1307</v>
      </c>
      <c r="B68" s="1784"/>
      <c r="C68" s="987"/>
      <c r="D68" s="987"/>
      <c r="E68" s="987"/>
      <c r="F68" s="987"/>
      <c r="G68" s="987"/>
      <c r="H68" s="987"/>
      <c r="I68" s="987"/>
      <c r="J68" s="987"/>
      <c r="K68" s="987"/>
      <c r="L68" s="987"/>
      <c r="M68" s="987"/>
      <c r="N68" s="987"/>
      <c r="O68" s="987"/>
      <c r="P68" s="987"/>
      <c r="Q68" s="987"/>
      <c r="R68" s="987"/>
      <c r="S68" s="987"/>
      <c r="T68" s="987"/>
      <c r="U68" s="987"/>
      <c r="V68" s="987"/>
      <c r="W68" s="987"/>
      <c r="X68" s="987"/>
      <c r="Y68" s="2820"/>
      <c r="Z68" s="987"/>
      <c r="AA68" s="988"/>
      <c r="AB68" s="987"/>
      <c r="AC68" s="987"/>
      <c r="AD68" s="989"/>
      <c r="AE68" s="987"/>
      <c r="AF68" s="987"/>
      <c r="AG68" s="987"/>
      <c r="AH68" s="987"/>
      <c r="AI68" s="429"/>
      <c r="AJ68" s="1816"/>
    </row>
    <row r="69" spans="1:36" ht="16.5" customHeight="1">
      <c r="A69" s="1784" t="s">
        <v>1180</v>
      </c>
      <c r="B69" s="1784"/>
      <c r="C69" s="987">
        <f>+'Exhibit F'!D66+'Exhibit H'!B31</f>
        <v>5.6</v>
      </c>
      <c r="D69" s="987"/>
      <c r="E69" s="987"/>
      <c r="F69" s="987"/>
      <c r="G69" s="987"/>
      <c r="H69" s="987"/>
      <c r="I69" s="987"/>
      <c r="J69" s="987"/>
      <c r="K69" s="987"/>
      <c r="L69" s="987"/>
      <c r="M69" s="987"/>
      <c r="N69" s="987"/>
      <c r="O69" s="987"/>
      <c r="P69" s="987"/>
      <c r="Q69" s="987"/>
      <c r="R69" s="987"/>
      <c r="S69" s="987"/>
      <c r="T69" s="987"/>
      <c r="U69" s="987"/>
      <c r="V69" s="987"/>
      <c r="W69" s="987"/>
      <c r="X69" s="987"/>
      <c r="Y69" s="2820"/>
      <c r="Z69" s="987"/>
      <c r="AA69" s="988"/>
      <c r="AB69" s="987">
        <f t="shared" si="11"/>
        <v>5.6</v>
      </c>
      <c r="AC69" s="987"/>
      <c r="AD69" s="989"/>
      <c r="AE69" s="987">
        <f>+'Exhibit F'!AF66+'Exhibit H'!AD31</f>
        <v>6.9</v>
      </c>
      <c r="AF69" s="987"/>
      <c r="AG69" s="987"/>
      <c r="AH69" s="987">
        <f t="shared" si="12"/>
        <v>-1.3</v>
      </c>
      <c r="AI69" s="429"/>
      <c r="AJ69" s="1816">
        <f t="shared" ref="AJ69:AJ76" si="13">ROUND(IF(AE69=0,0,AH69/ABS(AE69)),3)</f>
        <v>-0.188</v>
      </c>
    </row>
    <row r="70" spans="1:36" ht="16.5" customHeight="1">
      <c r="A70" s="1784" t="s">
        <v>1441</v>
      </c>
      <c r="B70" s="1784"/>
      <c r="C70" s="987">
        <f>'Exhibit G'!D52</f>
        <v>0</v>
      </c>
      <c r="D70" s="987"/>
      <c r="E70" s="987"/>
      <c r="F70" s="987"/>
      <c r="G70" s="987"/>
      <c r="H70" s="987"/>
      <c r="I70" s="987"/>
      <c r="J70" s="987"/>
      <c r="K70" s="987"/>
      <c r="L70" s="987"/>
      <c r="M70" s="987"/>
      <c r="N70" s="987"/>
      <c r="O70" s="987"/>
      <c r="P70" s="987"/>
      <c r="Q70" s="987"/>
      <c r="R70" s="987"/>
      <c r="S70" s="987"/>
      <c r="T70" s="987"/>
      <c r="U70" s="987"/>
      <c r="V70" s="987"/>
      <c r="W70" s="987"/>
      <c r="X70" s="987"/>
      <c r="Y70" s="2820"/>
      <c r="Z70" s="987"/>
      <c r="AA70" s="1883"/>
      <c r="AB70" s="987">
        <f t="shared" si="11"/>
        <v>0</v>
      </c>
      <c r="AC70" s="987"/>
      <c r="AD70" s="989"/>
      <c r="AE70" s="987">
        <f>'Exhibit G'!AF52</f>
        <v>0</v>
      </c>
      <c r="AF70" s="987"/>
      <c r="AG70" s="987"/>
      <c r="AH70" s="987">
        <f t="shared" ref="AH70:AH71" si="14">ROUND(SUM(AB70-AE70),1)</f>
        <v>0</v>
      </c>
      <c r="AI70" s="2995"/>
      <c r="AJ70" s="1816">
        <f>ROUND(IF(AE70=0,0,AH70/ABS(AE70)),3)</f>
        <v>0</v>
      </c>
    </row>
    <row r="71" spans="1:36" ht="16.5" customHeight="1">
      <c r="A71" s="1784" t="s">
        <v>1303</v>
      </c>
      <c r="B71" s="1784"/>
      <c r="C71" s="987">
        <f>+'Exhibit F'!D67+'Exhibit G'!D53+' Exhbit I '!E41+'Exhibit H'!B32</f>
        <v>51.2</v>
      </c>
      <c r="D71" s="987"/>
      <c r="E71" s="987"/>
      <c r="F71" s="987"/>
      <c r="G71" s="987"/>
      <c r="H71" s="987"/>
      <c r="I71" s="987"/>
      <c r="J71" s="987"/>
      <c r="K71" s="987"/>
      <c r="L71" s="987"/>
      <c r="M71" s="987"/>
      <c r="N71" s="987"/>
      <c r="O71" s="987"/>
      <c r="P71" s="987"/>
      <c r="Q71" s="987"/>
      <c r="R71" s="987"/>
      <c r="S71" s="987"/>
      <c r="T71" s="987"/>
      <c r="U71" s="987"/>
      <c r="V71" s="987"/>
      <c r="W71" s="987"/>
      <c r="X71" s="987"/>
      <c r="Y71" s="2820"/>
      <c r="Z71" s="987"/>
      <c r="AA71" s="988"/>
      <c r="AB71" s="987">
        <f t="shared" si="11"/>
        <v>51.2</v>
      </c>
      <c r="AC71" s="987"/>
      <c r="AD71" s="989"/>
      <c r="AE71" s="987">
        <f>+'Exhibit F'!AF67+'Exhibit G'!AF53+' Exhbit I '!AG41+'Exhibit H'!AD32</f>
        <v>78.8</v>
      </c>
      <c r="AF71" s="987"/>
      <c r="AG71" s="987"/>
      <c r="AH71" s="987">
        <f t="shared" si="14"/>
        <v>-27.6</v>
      </c>
      <c r="AI71" s="2995"/>
      <c r="AJ71" s="1816">
        <f t="shared" ref="AJ71" si="15">ROUND(IF(AE71=0,0,AH71/ABS(AE71)),3)</f>
        <v>-0.35</v>
      </c>
    </row>
    <row r="72" spans="1:36" ht="16.5" customHeight="1">
      <c r="A72" s="1784" t="s">
        <v>1182</v>
      </c>
      <c r="B72" s="1784"/>
      <c r="C72" s="987">
        <f>+'Exhibit F'!D68+'Exhibit G'!D54+'Exhibit H'!B33</f>
        <v>24.6</v>
      </c>
      <c r="D72" s="987"/>
      <c r="E72" s="987"/>
      <c r="F72" s="987"/>
      <c r="G72" s="987"/>
      <c r="H72" s="987"/>
      <c r="I72" s="987"/>
      <c r="J72" s="987"/>
      <c r="K72" s="987"/>
      <c r="L72" s="987"/>
      <c r="M72" s="987"/>
      <c r="N72" s="987"/>
      <c r="O72" s="987"/>
      <c r="P72" s="987"/>
      <c r="Q72" s="987"/>
      <c r="R72" s="987"/>
      <c r="S72" s="987"/>
      <c r="T72" s="987"/>
      <c r="U72" s="987"/>
      <c r="V72" s="987"/>
      <c r="W72" s="987"/>
      <c r="X72" s="987"/>
      <c r="Y72" s="2820"/>
      <c r="Z72" s="987"/>
      <c r="AA72" s="988"/>
      <c r="AB72" s="987">
        <f t="shared" si="11"/>
        <v>24.6</v>
      </c>
      <c r="AC72" s="987"/>
      <c r="AD72" s="989"/>
      <c r="AE72" s="987">
        <f>+'Exhibit F'!AF68+'Exhibit G'!AF54+'Exhibit H'!AD33+' Exhbit I '!AG42</f>
        <v>27.6</v>
      </c>
      <c r="AF72" s="987"/>
      <c r="AG72" s="987"/>
      <c r="AH72" s="987">
        <f t="shared" si="12"/>
        <v>-3</v>
      </c>
      <c r="AI72" s="429"/>
      <c r="AJ72" s="1816">
        <f t="shared" si="13"/>
        <v>-0.109</v>
      </c>
    </row>
    <row r="73" spans="1:36" ht="16.5" customHeight="1">
      <c r="A73" s="1784" t="s">
        <v>1183</v>
      </c>
      <c r="B73" s="1784"/>
      <c r="C73" s="987">
        <f>+'Exhibit F'!D69+'Exhibit G'!D55+'Exhibit H'!B34</f>
        <v>0</v>
      </c>
      <c r="D73" s="987"/>
      <c r="E73" s="987"/>
      <c r="F73" s="987"/>
      <c r="G73" s="987"/>
      <c r="H73" s="987"/>
      <c r="I73" s="987"/>
      <c r="J73" s="987"/>
      <c r="K73" s="987"/>
      <c r="L73" s="987"/>
      <c r="M73" s="987"/>
      <c r="N73" s="987"/>
      <c r="O73" s="987"/>
      <c r="P73" s="987"/>
      <c r="Q73" s="987"/>
      <c r="R73" s="987"/>
      <c r="S73" s="987"/>
      <c r="T73" s="987"/>
      <c r="U73" s="987"/>
      <c r="V73" s="987"/>
      <c r="W73" s="987"/>
      <c r="X73" s="987"/>
      <c r="Y73" s="2820"/>
      <c r="Z73" s="987"/>
      <c r="AA73" s="988"/>
      <c r="AB73" s="987">
        <f t="shared" si="11"/>
        <v>0</v>
      </c>
      <c r="AC73" s="987"/>
      <c r="AD73" s="989"/>
      <c r="AE73" s="987">
        <f>+'Exhibit F'!AF69+'Exhibit G'!AF55+'Exhibit H'!AD34</f>
        <v>0.1</v>
      </c>
      <c r="AF73" s="987"/>
      <c r="AG73" s="987"/>
      <c r="AH73" s="987">
        <f t="shared" si="12"/>
        <v>-0.1</v>
      </c>
      <c r="AI73" s="429"/>
      <c r="AJ73" s="1816">
        <f t="shared" si="13"/>
        <v>-1</v>
      </c>
    </row>
    <row r="74" spans="1:36" ht="16.5" customHeight="1">
      <c r="A74" s="1784" t="s">
        <v>1184</v>
      </c>
      <c r="B74" s="1784"/>
      <c r="C74" s="987">
        <f>+'Exhibit F'!D70+'Exhibit G'!D56+' Exhbit I '!E43+'Exhibit H'!B35</f>
        <v>122.89999999999999</v>
      </c>
      <c r="D74" s="987"/>
      <c r="E74" s="987"/>
      <c r="F74" s="987"/>
      <c r="G74" s="987"/>
      <c r="H74" s="987"/>
      <c r="I74" s="987"/>
      <c r="J74" s="987"/>
      <c r="K74" s="987"/>
      <c r="L74" s="987"/>
      <c r="M74" s="987"/>
      <c r="N74" s="987"/>
      <c r="O74" s="987"/>
      <c r="P74" s="987"/>
      <c r="Q74" s="987"/>
      <c r="R74" s="987"/>
      <c r="S74" s="987"/>
      <c r="T74" s="987"/>
      <c r="U74" s="987"/>
      <c r="V74" s="987"/>
      <c r="W74" s="987"/>
      <c r="X74" s="987"/>
      <c r="Y74" s="2820"/>
      <c r="Z74" s="987"/>
      <c r="AA74" s="988"/>
      <c r="AB74" s="987">
        <f t="shared" si="11"/>
        <v>122.9</v>
      </c>
      <c r="AC74" s="987"/>
      <c r="AD74" s="989"/>
      <c r="AE74" s="987">
        <f>+'Exhibit F'!AF70+'Exhibit G'!AF56+' Exhbit I '!AG43+'Exhibit H'!AD35</f>
        <v>128.1</v>
      </c>
      <c r="AF74" s="987"/>
      <c r="AG74" s="987"/>
      <c r="AH74" s="987">
        <f t="shared" si="12"/>
        <v>-5.2</v>
      </c>
      <c r="AI74" s="429"/>
      <c r="AJ74" s="1816">
        <f t="shared" si="13"/>
        <v>-4.1000000000000002E-2</v>
      </c>
    </row>
    <row r="75" spans="1:36" ht="16.5" customHeight="1">
      <c r="A75" s="1784" t="s">
        <v>1185</v>
      </c>
      <c r="B75" s="1784"/>
      <c r="C75" s="987">
        <f>+'Exhibit F'!D71+'Exhibit G'!D57+' Exhbit I '!E44+'Exhibit H'!B36</f>
        <v>40.400000000000006</v>
      </c>
      <c r="D75" s="987"/>
      <c r="E75" s="987"/>
      <c r="F75" s="987"/>
      <c r="G75" s="987"/>
      <c r="H75" s="987"/>
      <c r="I75" s="987"/>
      <c r="J75" s="987"/>
      <c r="K75" s="987"/>
      <c r="L75" s="987"/>
      <c r="M75" s="987"/>
      <c r="N75" s="987"/>
      <c r="O75" s="987"/>
      <c r="P75" s="987"/>
      <c r="Q75" s="987"/>
      <c r="R75" s="987"/>
      <c r="S75" s="987"/>
      <c r="T75" s="987"/>
      <c r="U75" s="987"/>
      <c r="V75" s="987"/>
      <c r="W75" s="987"/>
      <c r="X75" s="987"/>
      <c r="Y75" s="2820"/>
      <c r="Z75" s="987"/>
      <c r="AA75" s="988"/>
      <c r="AB75" s="987">
        <f t="shared" si="11"/>
        <v>40.4</v>
      </c>
      <c r="AC75" s="987"/>
      <c r="AD75" s="989"/>
      <c r="AE75" s="987">
        <f>+'Exhibit F'!AF71+'Exhibit G'!AF57+' Exhbit I '!AG44+'Exhibit H'!AD36</f>
        <v>16.600000000000001</v>
      </c>
      <c r="AF75" s="987"/>
      <c r="AG75" s="987"/>
      <c r="AH75" s="987">
        <f t="shared" si="12"/>
        <v>23.8</v>
      </c>
      <c r="AI75" s="429"/>
      <c r="AJ75" s="1816">
        <f t="shared" si="13"/>
        <v>1.4339999999999999</v>
      </c>
    </row>
    <row r="76" spans="1:36" ht="16.5" customHeight="1">
      <c r="A76" s="1784" t="s">
        <v>1174</v>
      </c>
      <c r="B76" s="1784"/>
      <c r="C76" s="987">
        <f>+'Exhibit F'!D72+'Exhibit G'!D58+' Exhbit I '!E45</f>
        <v>9.1999999999999993</v>
      </c>
      <c r="D76" s="987"/>
      <c r="E76" s="987"/>
      <c r="F76" s="987"/>
      <c r="G76" s="987"/>
      <c r="H76" s="987"/>
      <c r="I76" s="987"/>
      <c r="J76" s="987"/>
      <c r="K76" s="987"/>
      <c r="L76" s="987"/>
      <c r="M76" s="987"/>
      <c r="N76" s="987"/>
      <c r="O76" s="987"/>
      <c r="P76" s="987"/>
      <c r="Q76" s="987"/>
      <c r="R76" s="987"/>
      <c r="S76" s="987"/>
      <c r="T76" s="987"/>
      <c r="U76" s="987"/>
      <c r="V76" s="987"/>
      <c r="W76" s="987"/>
      <c r="X76" s="987"/>
      <c r="Y76" s="2820"/>
      <c r="Z76" s="987"/>
      <c r="AA76" s="988"/>
      <c r="AB76" s="987">
        <f t="shared" si="11"/>
        <v>9.1999999999999993</v>
      </c>
      <c r="AC76" s="987"/>
      <c r="AD76" s="989"/>
      <c r="AE76" s="987">
        <f>+'Exhibit F'!AF72+'Exhibit G'!AF58+' Exhbit I '!AG45</f>
        <v>18.600000000000001</v>
      </c>
      <c r="AF76" s="987"/>
      <c r="AG76" s="987"/>
      <c r="AH76" s="987">
        <f t="shared" si="12"/>
        <v>-9.4</v>
      </c>
      <c r="AI76" s="429"/>
      <c r="AJ76" s="1816">
        <f t="shared" si="13"/>
        <v>-0.505</v>
      </c>
    </row>
    <row r="77" spans="1:36" ht="16.5" customHeight="1">
      <c r="A77" s="1784" t="s">
        <v>1304</v>
      </c>
      <c r="B77" s="1784"/>
      <c r="C77" s="987"/>
      <c r="D77" s="987"/>
      <c r="E77" s="987"/>
      <c r="F77" s="987"/>
      <c r="G77" s="987"/>
      <c r="H77" s="987"/>
      <c r="I77" s="987"/>
      <c r="J77" s="987"/>
      <c r="K77" s="987"/>
      <c r="L77" s="987"/>
      <c r="M77" s="987"/>
      <c r="N77" s="987"/>
      <c r="O77" s="987"/>
      <c r="P77" s="987"/>
      <c r="Q77" s="987"/>
      <c r="R77" s="987"/>
      <c r="S77" s="987"/>
      <c r="T77" s="987"/>
      <c r="U77" s="987"/>
      <c r="V77" s="987"/>
      <c r="W77" s="987"/>
      <c r="X77" s="987"/>
      <c r="Y77" s="2820"/>
      <c r="Z77" s="987"/>
      <c r="AA77" s="988"/>
      <c r="AB77" s="987"/>
      <c r="AC77" s="987"/>
      <c r="AD77" s="989"/>
      <c r="AE77" s="987"/>
      <c r="AF77" s="987"/>
      <c r="AG77" s="987"/>
      <c r="AH77" s="987"/>
      <c r="AI77" s="429"/>
      <c r="AJ77" s="1816"/>
    </row>
    <row r="78" spans="1:36" ht="16.5" customHeight="1">
      <c r="A78" s="1784" t="s">
        <v>1186</v>
      </c>
      <c r="B78" s="1784"/>
      <c r="C78" s="987">
        <f>+'Exhibit G'!D60</f>
        <v>15.3</v>
      </c>
      <c r="D78" s="987"/>
      <c r="E78" s="987"/>
      <c r="F78" s="987"/>
      <c r="G78" s="987"/>
      <c r="H78" s="987"/>
      <c r="I78" s="987"/>
      <c r="J78" s="987"/>
      <c r="K78" s="987"/>
      <c r="L78" s="987"/>
      <c r="M78" s="987"/>
      <c r="N78" s="987"/>
      <c r="O78" s="987"/>
      <c r="P78" s="987"/>
      <c r="Q78" s="987"/>
      <c r="R78" s="987"/>
      <c r="S78" s="987"/>
      <c r="T78" s="987"/>
      <c r="U78" s="987"/>
      <c r="V78" s="987"/>
      <c r="W78" s="987"/>
      <c r="X78" s="987"/>
      <c r="Y78" s="2820"/>
      <c r="Z78" s="987"/>
      <c r="AA78" s="988"/>
      <c r="AB78" s="987">
        <f t="shared" si="11"/>
        <v>15.3</v>
      </c>
      <c r="AC78" s="987"/>
      <c r="AD78" s="989"/>
      <c r="AE78" s="987">
        <f>+'Exhibit G'!AF60</f>
        <v>43.5</v>
      </c>
      <c r="AF78" s="987"/>
      <c r="AG78" s="987"/>
      <c r="AH78" s="987">
        <f t="shared" si="12"/>
        <v>-28.2</v>
      </c>
      <c r="AI78" s="429"/>
      <c r="AJ78" s="2709">
        <f>ROUND(IF(AE78=0,0,AH78/ABS(AE78)),3)</f>
        <v>-0.64800000000000002</v>
      </c>
    </row>
    <row r="79" spans="1:36" ht="16.5" customHeight="1">
      <c r="A79" s="1784" t="s">
        <v>1187</v>
      </c>
      <c r="B79" s="1784"/>
      <c r="C79" s="987">
        <f>+'Exhibit G'!D61</f>
        <v>188.8</v>
      </c>
      <c r="D79" s="987"/>
      <c r="E79" s="987"/>
      <c r="F79" s="987"/>
      <c r="G79" s="987"/>
      <c r="H79" s="987"/>
      <c r="I79" s="987"/>
      <c r="J79" s="987"/>
      <c r="K79" s="987"/>
      <c r="L79" s="987"/>
      <c r="M79" s="987"/>
      <c r="N79" s="987"/>
      <c r="O79" s="987"/>
      <c r="P79" s="987"/>
      <c r="Q79" s="987"/>
      <c r="R79" s="987"/>
      <c r="S79" s="987"/>
      <c r="T79" s="987"/>
      <c r="U79" s="987"/>
      <c r="V79" s="987"/>
      <c r="W79" s="987"/>
      <c r="X79" s="987"/>
      <c r="Y79" s="2820"/>
      <c r="Z79" s="987"/>
      <c r="AA79" s="988"/>
      <c r="AB79" s="987">
        <f t="shared" si="11"/>
        <v>188.8</v>
      </c>
      <c r="AC79" s="987"/>
      <c r="AD79" s="989"/>
      <c r="AE79" s="987">
        <f>+'Exhibit G'!AF61</f>
        <v>226.4</v>
      </c>
      <c r="AF79" s="987"/>
      <c r="AG79" s="987"/>
      <c r="AH79" s="987">
        <f t="shared" si="12"/>
        <v>-37.6</v>
      </c>
      <c r="AI79" s="429"/>
      <c r="AJ79" s="2709">
        <f>ROUND(IF(AE79=0,0,AH79/ABS(AE79)),3)</f>
        <v>-0.16600000000000001</v>
      </c>
    </row>
    <row r="80" spans="1:36" ht="16.5" customHeight="1">
      <c r="A80" s="1784" t="s">
        <v>1188</v>
      </c>
      <c r="B80" s="1784"/>
      <c r="C80" s="987">
        <f>+'Exhibit G'!D62</f>
        <v>78.400000000000006</v>
      </c>
      <c r="D80" s="987"/>
      <c r="E80" s="987"/>
      <c r="F80" s="987"/>
      <c r="G80" s="987"/>
      <c r="H80" s="987"/>
      <c r="I80" s="987"/>
      <c r="J80" s="987"/>
      <c r="K80" s="987"/>
      <c r="L80" s="987"/>
      <c r="M80" s="987"/>
      <c r="N80" s="987"/>
      <c r="O80" s="987"/>
      <c r="P80" s="987"/>
      <c r="Q80" s="987"/>
      <c r="R80" s="987"/>
      <c r="S80" s="987"/>
      <c r="T80" s="987"/>
      <c r="U80" s="987"/>
      <c r="V80" s="987"/>
      <c r="W80" s="987"/>
      <c r="X80" s="987"/>
      <c r="Y80" s="2820"/>
      <c r="Z80" s="987"/>
      <c r="AA80" s="988"/>
      <c r="AB80" s="987">
        <f t="shared" si="11"/>
        <v>78.400000000000006</v>
      </c>
      <c r="AC80" s="987"/>
      <c r="AD80" s="989"/>
      <c r="AE80" s="987">
        <f>+'Exhibit G'!AF62</f>
        <v>94.5</v>
      </c>
      <c r="AF80" s="987"/>
      <c r="AG80" s="987"/>
      <c r="AH80" s="987">
        <f t="shared" si="12"/>
        <v>-16.100000000000001</v>
      </c>
      <c r="AI80" s="429"/>
      <c r="AJ80" s="2709">
        <f>ROUND(IF(AE80=0,0,AH80/ABS(AE80)),3)</f>
        <v>-0.17</v>
      </c>
    </row>
    <row r="81" spans="1:36" ht="16.5" customHeight="1">
      <c r="A81" s="1784" t="s">
        <v>1175</v>
      </c>
      <c r="B81" s="1784"/>
      <c r="C81" s="987">
        <f>+'Exhibit F'!D73+'Exhibit G'!D63+'Exhibit H'!B37+' Exhbit I '!E46</f>
        <v>5.4</v>
      </c>
      <c r="D81" s="987"/>
      <c r="E81" s="987"/>
      <c r="F81" s="987"/>
      <c r="G81" s="987"/>
      <c r="H81" s="987"/>
      <c r="I81" s="987"/>
      <c r="J81" s="987"/>
      <c r="K81" s="987"/>
      <c r="L81" s="987"/>
      <c r="M81" s="987"/>
      <c r="N81" s="987"/>
      <c r="O81" s="987"/>
      <c r="P81" s="987"/>
      <c r="Q81" s="987"/>
      <c r="R81" s="987"/>
      <c r="S81" s="987"/>
      <c r="T81" s="987"/>
      <c r="U81" s="987"/>
      <c r="V81" s="987"/>
      <c r="W81" s="987"/>
      <c r="X81" s="987"/>
      <c r="Y81" s="2820"/>
      <c r="Z81" s="987"/>
      <c r="AA81" s="988"/>
      <c r="AB81" s="987">
        <f t="shared" si="11"/>
        <v>5.4</v>
      </c>
      <c r="AC81" s="987"/>
      <c r="AD81" s="989"/>
      <c r="AE81" s="987">
        <f>+'Exhibit F'!AF73+'Exhibit G'!AF63+'Exhibit H'!AD37+' Exhbit I '!AG46</f>
        <v>2.9</v>
      </c>
      <c r="AF81" s="987"/>
      <c r="AG81" s="987"/>
      <c r="AH81" s="987">
        <f t="shared" si="12"/>
        <v>2.5</v>
      </c>
      <c r="AI81" s="429"/>
      <c r="AJ81" s="2709">
        <f>ROUND(IF(AE81=0,0,AH81/ABS(AE81)),3)</f>
        <v>0.86199999999999999</v>
      </c>
    </row>
    <row r="82" spans="1:36" ht="16.5" customHeight="1">
      <c r="A82" s="1784" t="s">
        <v>1305</v>
      </c>
      <c r="B82" s="1784"/>
      <c r="C82" s="987"/>
      <c r="D82" s="987"/>
      <c r="E82" s="987"/>
      <c r="F82" s="987"/>
      <c r="G82" s="987"/>
      <c r="H82" s="987"/>
      <c r="I82" s="987"/>
      <c r="J82" s="987"/>
      <c r="K82" s="987"/>
      <c r="L82" s="987"/>
      <c r="M82" s="987"/>
      <c r="N82" s="987"/>
      <c r="O82" s="987"/>
      <c r="P82" s="987"/>
      <c r="Q82" s="987"/>
      <c r="R82" s="987"/>
      <c r="S82" s="987"/>
      <c r="T82" s="987"/>
      <c r="U82" s="987"/>
      <c r="V82" s="987"/>
      <c r="W82" s="987"/>
      <c r="X82" s="987"/>
      <c r="Y82" s="2820"/>
      <c r="Z82" s="987"/>
      <c r="AA82" s="988"/>
      <c r="AB82" s="987"/>
      <c r="AC82" s="987"/>
      <c r="AD82" s="989"/>
      <c r="AE82" s="987"/>
      <c r="AF82" s="987"/>
      <c r="AG82" s="987"/>
      <c r="AH82" s="987"/>
      <c r="AI82" s="429"/>
      <c r="AJ82" s="1816"/>
    </row>
    <row r="83" spans="1:36" ht="16.5" customHeight="1">
      <c r="A83" s="1784" t="s">
        <v>1189</v>
      </c>
      <c r="B83" s="1784"/>
      <c r="C83" s="987">
        <f>+'Exhibit G'!D65+' Exhbit I '!E48</f>
        <v>0</v>
      </c>
      <c r="D83" s="987"/>
      <c r="E83" s="987"/>
      <c r="F83" s="987"/>
      <c r="G83" s="987"/>
      <c r="H83" s="987"/>
      <c r="I83" s="987"/>
      <c r="J83" s="987"/>
      <c r="K83" s="987"/>
      <c r="L83" s="987"/>
      <c r="M83" s="987"/>
      <c r="N83" s="987"/>
      <c r="O83" s="987"/>
      <c r="P83" s="987"/>
      <c r="Q83" s="987"/>
      <c r="R83" s="987"/>
      <c r="S83" s="987"/>
      <c r="T83" s="987"/>
      <c r="U83" s="987"/>
      <c r="V83" s="987"/>
      <c r="W83" s="987"/>
      <c r="X83" s="987"/>
      <c r="Y83" s="2820"/>
      <c r="Z83" s="987"/>
      <c r="AA83" s="988"/>
      <c r="AB83" s="987">
        <f t="shared" si="11"/>
        <v>0</v>
      </c>
      <c r="AC83" s="987"/>
      <c r="AD83" s="989"/>
      <c r="AE83" s="987">
        <f>+'Exhibit G'!AF65+' Exhbit I '!AG48</f>
        <v>12.2</v>
      </c>
      <c r="AF83" s="987"/>
      <c r="AG83" s="987"/>
      <c r="AH83" s="987">
        <f t="shared" si="12"/>
        <v>-12.2</v>
      </c>
      <c r="AI83" s="429"/>
      <c r="AJ83" s="1816">
        <f t="shared" ref="AJ83:AJ88" si="16">ROUND(IF(AE83=0,0,AH83/ABS(AE83)),3)</f>
        <v>-1</v>
      </c>
    </row>
    <row r="84" spans="1:36" ht="16.5" customHeight="1">
      <c r="A84" s="1784" t="s">
        <v>1190</v>
      </c>
      <c r="B84" s="1784"/>
      <c r="C84" s="987">
        <f>+'Exhibit F'!D75+'Exhibit G'!D66</f>
        <v>0</v>
      </c>
      <c r="D84" s="987"/>
      <c r="E84" s="987"/>
      <c r="F84" s="987"/>
      <c r="G84" s="987"/>
      <c r="H84" s="987"/>
      <c r="I84" s="987"/>
      <c r="J84" s="987"/>
      <c r="K84" s="987"/>
      <c r="L84" s="987"/>
      <c r="M84" s="987"/>
      <c r="N84" s="987"/>
      <c r="O84" s="987"/>
      <c r="P84" s="987"/>
      <c r="Q84" s="987"/>
      <c r="R84" s="987"/>
      <c r="S84" s="987"/>
      <c r="T84" s="987"/>
      <c r="U84" s="987"/>
      <c r="V84" s="987"/>
      <c r="W84" s="987"/>
      <c r="X84" s="987"/>
      <c r="Y84" s="2820"/>
      <c r="Z84" s="987"/>
      <c r="AA84" s="988"/>
      <c r="AB84" s="987">
        <f t="shared" si="11"/>
        <v>0</v>
      </c>
      <c r="AC84" s="987"/>
      <c r="AD84" s="989"/>
      <c r="AE84" s="987">
        <f>+'Exhibit F'!AF75+'Exhibit G'!AF66</f>
        <v>0</v>
      </c>
      <c r="AF84" s="987"/>
      <c r="AG84" s="987"/>
      <c r="AH84" s="987">
        <f t="shared" si="12"/>
        <v>0</v>
      </c>
      <c r="AI84" s="429"/>
      <c r="AJ84" s="1816">
        <f t="shared" si="16"/>
        <v>0</v>
      </c>
    </row>
    <row r="85" spans="1:36" ht="16.5" customHeight="1">
      <c r="A85" s="1784" t="s">
        <v>1191</v>
      </c>
      <c r="B85" s="1784"/>
      <c r="C85" s="987">
        <f>+'Exhibit F'!D76+'Exhibit G'!D67</f>
        <v>15.600000000000001</v>
      </c>
      <c r="D85" s="987"/>
      <c r="E85" s="987"/>
      <c r="F85" s="987"/>
      <c r="G85" s="987"/>
      <c r="H85" s="987"/>
      <c r="I85" s="987"/>
      <c r="J85" s="987"/>
      <c r="K85" s="987"/>
      <c r="L85" s="987"/>
      <c r="M85" s="987"/>
      <c r="N85" s="987"/>
      <c r="O85" s="987"/>
      <c r="P85" s="987"/>
      <c r="Q85" s="987"/>
      <c r="R85" s="987"/>
      <c r="S85" s="987"/>
      <c r="T85" s="987"/>
      <c r="U85" s="987"/>
      <c r="V85" s="987"/>
      <c r="W85" s="987"/>
      <c r="X85" s="987"/>
      <c r="Y85" s="2820"/>
      <c r="Z85" s="987"/>
      <c r="AA85" s="988"/>
      <c r="AB85" s="987">
        <f t="shared" si="11"/>
        <v>15.6</v>
      </c>
      <c r="AC85" s="987"/>
      <c r="AD85" s="989"/>
      <c r="AE85" s="987">
        <f>+'Exhibit F'!AF76+'Exhibit G'!AF67</f>
        <v>0.2</v>
      </c>
      <c r="AF85" s="987"/>
      <c r="AG85" s="987"/>
      <c r="AH85" s="987">
        <f t="shared" si="12"/>
        <v>15.4</v>
      </c>
      <c r="AI85" s="429"/>
      <c r="AJ85" s="2709">
        <f t="shared" si="16"/>
        <v>77</v>
      </c>
    </row>
    <row r="86" spans="1:36" ht="16.5" customHeight="1">
      <c r="A86" s="1784" t="s">
        <v>1192</v>
      </c>
      <c r="B86" s="1784"/>
      <c r="C86" s="987">
        <f>+'Exhibit F'!D77+'Exhibit G'!D68+' Exhbit I '!E50</f>
        <v>1</v>
      </c>
      <c r="D86" s="987"/>
      <c r="E86" s="987"/>
      <c r="F86" s="987"/>
      <c r="G86" s="987"/>
      <c r="H86" s="987"/>
      <c r="I86" s="987"/>
      <c r="J86" s="987"/>
      <c r="K86" s="987"/>
      <c r="L86" s="987"/>
      <c r="M86" s="987"/>
      <c r="N86" s="987"/>
      <c r="O86" s="987"/>
      <c r="P86" s="987"/>
      <c r="Q86" s="987"/>
      <c r="R86" s="987"/>
      <c r="S86" s="987"/>
      <c r="T86" s="987"/>
      <c r="U86" s="987"/>
      <c r="V86" s="987"/>
      <c r="W86" s="987"/>
      <c r="X86" s="987"/>
      <c r="Y86" s="2820"/>
      <c r="Z86" s="987"/>
      <c r="AA86" s="988"/>
      <c r="AB86" s="987">
        <f t="shared" si="11"/>
        <v>1</v>
      </c>
      <c r="AC86" s="987"/>
      <c r="AD86" s="989"/>
      <c r="AE86" s="987">
        <f>+'Exhibit F'!AF77+'Exhibit G'!AF68+' Exhbit I '!AG50</f>
        <v>0.2</v>
      </c>
      <c r="AF86" s="987"/>
      <c r="AG86" s="987"/>
      <c r="AH86" s="987">
        <f t="shared" si="12"/>
        <v>0.8</v>
      </c>
      <c r="AI86" s="429"/>
      <c r="AJ86" s="1816">
        <f t="shared" si="16"/>
        <v>4</v>
      </c>
    </row>
    <row r="87" spans="1:36" ht="16.5" customHeight="1">
      <c r="A87" s="1784" t="s">
        <v>1193</v>
      </c>
      <c r="B87" s="1784"/>
      <c r="C87" s="987">
        <f>+'Exhibit F'!D78+'Exhibit G'!D69+'Exhibit H'!B38+' Exhbit I '!E51</f>
        <v>58.4</v>
      </c>
      <c r="D87" s="987"/>
      <c r="E87" s="987"/>
      <c r="F87" s="987"/>
      <c r="G87" s="987"/>
      <c r="H87" s="987"/>
      <c r="I87" s="987"/>
      <c r="J87" s="987"/>
      <c r="K87" s="987"/>
      <c r="L87" s="987"/>
      <c r="M87" s="987"/>
      <c r="N87" s="987"/>
      <c r="O87" s="987"/>
      <c r="P87" s="987"/>
      <c r="Q87" s="987"/>
      <c r="R87" s="987"/>
      <c r="S87" s="987"/>
      <c r="T87" s="987"/>
      <c r="U87" s="987"/>
      <c r="V87" s="987"/>
      <c r="W87" s="987"/>
      <c r="X87" s="987"/>
      <c r="Y87" s="2820"/>
      <c r="Z87" s="987"/>
      <c r="AA87" s="988"/>
      <c r="AB87" s="987">
        <f t="shared" si="11"/>
        <v>58.4</v>
      </c>
      <c r="AC87" s="987"/>
      <c r="AD87" s="989"/>
      <c r="AE87" s="987">
        <f>+'Exhibit F'!AF78+'Exhibit G'!AF69+'Exhibit H'!AD38+' Exhbit I '!AG51</f>
        <v>39.800000000000004</v>
      </c>
      <c r="AF87" s="987"/>
      <c r="AG87" s="987"/>
      <c r="AH87" s="987">
        <f t="shared" si="12"/>
        <v>18.600000000000001</v>
      </c>
      <c r="AI87" s="429"/>
      <c r="AJ87" s="1816">
        <f t="shared" si="16"/>
        <v>0.46700000000000003</v>
      </c>
    </row>
    <row r="88" spans="1:36" ht="16.5" customHeight="1">
      <c r="A88" s="1784" t="s">
        <v>1194</v>
      </c>
      <c r="B88" s="1784"/>
      <c r="C88" s="987">
        <f>+'Exhibit F'!D79+'Exhibit G'!D70+'Exhibit H'!B39+' Exhbit I '!E52</f>
        <v>56.1</v>
      </c>
      <c r="D88" s="987"/>
      <c r="E88" s="987"/>
      <c r="F88" s="987"/>
      <c r="G88" s="987"/>
      <c r="H88" s="987"/>
      <c r="I88" s="987"/>
      <c r="J88" s="987"/>
      <c r="K88" s="987"/>
      <c r="L88" s="987"/>
      <c r="M88" s="987"/>
      <c r="N88" s="987"/>
      <c r="O88" s="987"/>
      <c r="P88" s="987"/>
      <c r="Q88" s="987"/>
      <c r="R88" s="987"/>
      <c r="S88" s="987"/>
      <c r="T88" s="987"/>
      <c r="U88" s="987"/>
      <c r="V88" s="987"/>
      <c r="W88" s="987"/>
      <c r="X88" s="987"/>
      <c r="Y88" s="2820"/>
      <c r="Z88" s="987"/>
      <c r="AA88" s="988"/>
      <c r="AB88" s="987">
        <f t="shared" si="11"/>
        <v>56.1</v>
      </c>
      <c r="AC88" s="987"/>
      <c r="AD88" s="989"/>
      <c r="AE88" s="987">
        <f>+'Exhibit F'!AF79+'Exhibit G'!AF70+'Exhibit H'!AD39+' Exhbit I '!AG52</f>
        <v>34.200000000000003</v>
      </c>
      <c r="AF88" s="987"/>
      <c r="AG88" s="987"/>
      <c r="AH88" s="987">
        <f t="shared" si="12"/>
        <v>21.9</v>
      </c>
      <c r="AI88" s="429"/>
      <c r="AJ88" s="1816">
        <f t="shared" si="16"/>
        <v>0.64</v>
      </c>
    </row>
    <row r="89" spans="1:36" ht="16.5" customHeight="1">
      <c r="A89" s="1784" t="s">
        <v>1306</v>
      </c>
      <c r="B89" s="1784"/>
      <c r="C89" s="987"/>
      <c r="D89" s="987"/>
      <c r="E89" s="987"/>
      <c r="F89" s="987"/>
      <c r="G89" s="987"/>
      <c r="H89" s="987"/>
      <c r="I89" s="987"/>
      <c r="J89" s="987"/>
      <c r="K89" s="987"/>
      <c r="L89" s="987"/>
      <c r="M89" s="987"/>
      <c r="N89" s="987"/>
      <c r="O89" s="987"/>
      <c r="P89" s="987"/>
      <c r="Q89" s="987"/>
      <c r="R89" s="987"/>
      <c r="S89" s="987"/>
      <c r="T89" s="987"/>
      <c r="U89" s="987"/>
      <c r="V89" s="987"/>
      <c r="W89" s="987"/>
      <c r="X89" s="987"/>
      <c r="Y89" s="2820"/>
      <c r="Z89" s="987"/>
      <c r="AA89" s="988"/>
      <c r="AB89" s="987"/>
      <c r="AC89" s="987"/>
      <c r="AD89" s="989"/>
      <c r="AE89" s="987"/>
      <c r="AF89" s="987"/>
      <c r="AG89" s="987"/>
      <c r="AH89" s="987"/>
      <c r="AI89" s="429"/>
      <c r="AJ89" s="1816"/>
    </row>
    <row r="90" spans="1:36" ht="16.5" customHeight="1">
      <c r="A90" s="1784" t="s">
        <v>1195</v>
      </c>
      <c r="B90" s="1784"/>
      <c r="C90" s="987">
        <f>+'Exhibit F'!D81+'Exhibit G'!D72+' Exhbit I '!E54</f>
        <v>0.4</v>
      </c>
      <c r="D90" s="987"/>
      <c r="E90" s="987"/>
      <c r="F90" s="987"/>
      <c r="G90" s="987"/>
      <c r="H90" s="987"/>
      <c r="I90" s="987"/>
      <c r="J90" s="987"/>
      <c r="K90" s="987"/>
      <c r="L90" s="987"/>
      <c r="M90" s="987"/>
      <c r="N90" s="987"/>
      <c r="O90" s="987"/>
      <c r="P90" s="987"/>
      <c r="Q90" s="987"/>
      <c r="R90" s="987"/>
      <c r="S90" s="987"/>
      <c r="T90" s="987"/>
      <c r="U90" s="987"/>
      <c r="V90" s="987"/>
      <c r="W90" s="987"/>
      <c r="X90" s="987"/>
      <c r="Y90" s="2820"/>
      <c r="Z90" s="987"/>
      <c r="AA90" s="988"/>
      <c r="AB90" s="987">
        <f t="shared" si="11"/>
        <v>0.4</v>
      </c>
      <c r="AC90" s="987"/>
      <c r="AD90" s="989"/>
      <c r="AE90" s="987">
        <f>+'Exhibit F'!AF81+'Exhibit G'!AF72+' Exhbit I '!AG54</f>
        <v>0.7</v>
      </c>
      <c r="AF90" s="987"/>
      <c r="AG90" s="987"/>
      <c r="AH90" s="987">
        <f t="shared" si="12"/>
        <v>-0.3</v>
      </c>
      <c r="AI90" s="429"/>
      <c r="AJ90" s="1816">
        <f>ROUND(IF(AE90=0,0,AH90/ABS(AE90)),3)</f>
        <v>-0.42899999999999999</v>
      </c>
    </row>
    <row r="91" spans="1:36" ht="16.5" customHeight="1">
      <c r="A91" s="1784" t="s">
        <v>1196</v>
      </c>
      <c r="B91" s="1784"/>
      <c r="C91" s="987">
        <f>+'Exhibit G'!D73</f>
        <v>0.2</v>
      </c>
      <c r="D91" s="987"/>
      <c r="E91" s="987"/>
      <c r="F91" s="987"/>
      <c r="G91" s="987"/>
      <c r="H91" s="987"/>
      <c r="I91" s="987"/>
      <c r="J91" s="987"/>
      <c r="K91" s="987"/>
      <c r="L91" s="987"/>
      <c r="M91" s="987"/>
      <c r="N91" s="987"/>
      <c r="O91" s="987"/>
      <c r="P91" s="987"/>
      <c r="Q91" s="987"/>
      <c r="R91" s="987"/>
      <c r="S91" s="987"/>
      <c r="T91" s="987"/>
      <c r="U91" s="987"/>
      <c r="V91" s="987"/>
      <c r="W91" s="987"/>
      <c r="X91" s="987"/>
      <c r="Y91" s="2820"/>
      <c r="Z91" s="987"/>
      <c r="AA91" s="988"/>
      <c r="AB91" s="987">
        <f t="shared" si="11"/>
        <v>0.2</v>
      </c>
      <c r="AC91" s="987"/>
      <c r="AD91" s="989"/>
      <c r="AE91" s="987">
        <f>+'Exhibit G'!AF73</f>
        <v>0.1</v>
      </c>
      <c r="AF91" s="987"/>
      <c r="AG91" s="987"/>
      <c r="AH91" s="987">
        <f t="shared" si="12"/>
        <v>0.1</v>
      </c>
      <c r="AI91" s="429"/>
      <c r="AJ91" s="1816">
        <f t="shared" ref="AJ91:AJ99" si="17">ROUND(IF(AE91=0,0,AH91/ABS(AE91)),3)</f>
        <v>1</v>
      </c>
    </row>
    <row r="92" spans="1:36" ht="16.5" customHeight="1">
      <c r="A92" s="1784" t="s">
        <v>1197</v>
      </c>
      <c r="B92" s="1784"/>
      <c r="C92" s="987">
        <f>+'Exhibit F'!D82+'Exhibit G'!D74+' Exhbit I '!E55</f>
        <v>3.4</v>
      </c>
      <c r="D92" s="987"/>
      <c r="E92" s="987"/>
      <c r="F92" s="987"/>
      <c r="G92" s="987"/>
      <c r="H92" s="987"/>
      <c r="I92" s="987"/>
      <c r="J92" s="987"/>
      <c r="K92" s="987"/>
      <c r="L92" s="987"/>
      <c r="M92" s="987"/>
      <c r="N92" s="987"/>
      <c r="O92" s="987"/>
      <c r="P92" s="987"/>
      <c r="Q92" s="987"/>
      <c r="R92" s="987"/>
      <c r="S92" s="987"/>
      <c r="T92" s="987"/>
      <c r="U92" s="987"/>
      <c r="V92" s="987"/>
      <c r="W92" s="987"/>
      <c r="X92" s="987"/>
      <c r="Y92" s="2820"/>
      <c r="Z92" s="987"/>
      <c r="AA92" s="988"/>
      <c r="AB92" s="987">
        <f t="shared" si="11"/>
        <v>3.4</v>
      </c>
      <c r="AC92" s="987"/>
      <c r="AD92" s="989"/>
      <c r="AE92" s="987">
        <f>+'Exhibit F'!AF82+'Exhibit G'!AF74+' Exhbit I '!AG55</f>
        <v>1</v>
      </c>
      <c r="AF92" s="987"/>
      <c r="AG92" s="987"/>
      <c r="AH92" s="987">
        <f t="shared" si="12"/>
        <v>2.4</v>
      </c>
      <c r="AI92" s="429"/>
      <c r="AJ92" s="1816">
        <f t="shared" si="17"/>
        <v>2.4</v>
      </c>
    </row>
    <row r="93" spans="1:36" ht="16.5" customHeight="1">
      <c r="A93" s="1784" t="s">
        <v>1198</v>
      </c>
      <c r="B93" s="1784"/>
      <c r="C93" s="987">
        <f>+'Exhibit F'!D83+'Exhibit G'!D75</f>
        <v>0.4</v>
      </c>
      <c r="D93" s="987"/>
      <c r="E93" s="987"/>
      <c r="F93" s="987"/>
      <c r="G93" s="987"/>
      <c r="H93" s="987"/>
      <c r="I93" s="987"/>
      <c r="J93" s="987"/>
      <c r="K93" s="987"/>
      <c r="L93" s="987"/>
      <c r="M93" s="987"/>
      <c r="N93" s="987"/>
      <c r="O93" s="987"/>
      <c r="P93" s="987"/>
      <c r="Q93" s="987"/>
      <c r="R93" s="987"/>
      <c r="S93" s="987"/>
      <c r="T93" s="987"/>
      <c r="U93" s="987"/>
      <c r="V93" s="987"/>
      <c r="W93" s="987"/>
      <c r="X93" s="987"/>
      <c r="Y93" s="2820"/>
      <c r="Z93" s="987"/>
      <c r="AA93" s="988"/>
      <c r="AB93" s="987">
        <f>ROUND(SUM(C93:Y93),1)</f>
        <v>0.4</v>
      </c>
      <c r="AC93" s="987"/>
      <c r="AD93" s="989"/>
      <c r="AE93" s="987">
        <f>+'Exhibit F'!AF83+'Exhibit G'!AF75</f>
        <v>1.4</v>
      </c>
      <c r="AF93" s="987"/>
      <c r="AG93" s="987"/>
      <c r="AH93" s="987">
        <f t="shared" si="12"/>
        <v>-1</v>
      </c>
      <c r="AI93" s="429"/>
      <c r="AJ93" s="1816">
        <f t="shared" si="17"/>
        <v>-0.71399999999999997</v>
      </c>
    </row>
    <row r="94" spans="1:36" ht="16.5" customHeight="1">
      <c r="A94" s="1784" t="s">
        <v>1199</v>
      </c>
      <c r="B94" s="1784"/>
      <c r="C94" s="987">
        <f>+'Exhibit G'!D76+'Exhibit H'!B41</f>
        <v>156.5</v>
      </c>
      <c r="D94" s="987"/>
      <c r="E94" s="987"/>
      <c r="F94" s="987"/>
      <c r="G94" s="987"/>
      <c r="H94" s="987"/>
      <c r="I94" s="987"/>
      <c r="J94" s="987"/>
      <c r="K94" s="987"/>
      <c r="L94" s="987"/>
      <c r="M94" s="987"/>
      <c r="N94" s="987"/>
      <c r="O94" s="987"/>
      <c r="P94" s="987"/>
      <c r="Q94" s="987"/>
      <c r="R94" s="987"/>
      <c r="S94" s="987"/>
      <c r="T94" s="987"/>
      <c r="U94" s="987"/>
      <c r="V94" s="987"/>
      <c r="W94" s="987"/>
      <c r="X94" s="987"/>
      <c r="Y94" s="2820"/>
      <c r="Z94" s="987"/>
      <c r="AA94" s="988"/>
      <c r="AB94" s="987">
        <f t="shared" si="11"/>
        <v>156.5</v>
      </c>
      <c r="AC94" s="987"/>
      <c r="AD94" s="989"/>
      <c r="AE94" s="987">
        <f>+'Exhibit G'!AF76+'Exhibit H'!AD41</f>
        <v>-756.09999999999991</v>
      </c>
      <c r="AF94" s="987"/>
      <c r="AG94" s="987"/>
      <c r="AH94" s="987">
        <f t="shared" si="12"/>
        <v>912.6</v>
      </c>
      <c r="AI94" s="429"/>
      <c r="AJ94" s="1816">
        <f t="shared" si="17"/>
        <v>1.2070000000000001</v>
      </c>
    </row>
    <row r="95" spans="1:36" ht="16.5" customHeight="1">
      <c r="A95" s="1784" t="s">
        <v>1200</v>
      </c>
      <c r="B95" s="1784"/>
      <c r="C95" s="987">
        <f>+'Exhibit G'!D77+'Exhibit F'!D84</f>
        <v>9.1999999999999993</v>
      </c>
      <c r="D95" s="987"/>
      <c r="E95" s="987"/>
      <c r="F95" s="987"/>
      <c r="G95" s="987"/>
      <c r="H95" s="987"/>
      <c r="I95" s="987"/>
      <c r="J95" s="987"/>
      <c r="K95" s="987"/>
      <c r="L95" s="987"/>
      <c r="M95" s="987"/>
      <c r="N95" s="987"/>
      <c r="O95" s="987"/>
      <c r="P95" s="987"/>
      <c r="Q95" s="987"/>
      <c r="R95" s="987"/>
      <c r="S95" s="987"/>
      <c r="T95" s="987"/>
      <c r="U95" s="987"/>
      <c r="V95" s="987"/>
      <c r="W95" s="987"/>
      <c r="X95" s="987"/>
      <c r="Y95" s="2820"/>
      <c r="Z95" s="987"/>
      <c r="AA95" s="988"/>
      <c r="AB95" s="987">
        <f t="shared" si="11"/>
        <v>9.1999999999999993</v>
      </c>
      <c r="AC95" s="987"/>
      <c r="AD95" s="989"/>
      <c r="AE95" s="987">
        <f>+'Exhibit G'!AF77+'Exhibit F'!AF84+' Exhbit I '!AG57</f>
        <v>11.2</v>
      </c>
      <c r="AF95" s="987"/>
      <c r="AG95" s="987"/>
      <c r="AH95" s="987">
        <f t="shared" si="12"/>
        <v>-2</v>
      </c>
      <c r="AI95" s="429"/>
      <c r="AJ95" s="1816">
        <f t="shared" si="17"/>
        <v>-0.17899999999999999</v>
      </c>
    </row>
    <row r="96" spans="1:36" ht="16.5" customHeight="1">
      <c r="A96" s="1784" t="s">
        <v>1201</v>
      </c>
      <c r="B96" s="1784"/>
      <c r="C96" s="987">
        <f>+'Exhibit F'!D85+'Exhibit G'!D78+' Exhbit I '!E58</f>
        <v>7.2</v>
      </c>
      <c r="D96" s="987"/>
      <c r="E96" s="987"/>
      <c r="F96" s="987"/>
      <c r="G96" s="987"/>
      <c r="H96" s="987"/>
      <c r="I96" s="987"/>
      <c r="J96" s="987"/>
      <c r="K96" s="987"/>
      <c r="L96" s="987"/>
      <c r="M96" s="987"/>
      <c r="N96" s="987"/>
      <c r="O96" s="987"/>
      <c r="P96" s="987"/>
      <c r="Q96" s="987"/>
      <c r="R96" s="987"/>
      <c r="S96" s="987"/>
      <c r="T96" s="987"/>
      <c r="U96" s="987"/>
      <c r="V96" s="987"/>
      <c r="W96" s="987"/>
      <c r="X96" s="987"/>
      <c r="Y96" s="2820"/>
      <c r="Z96" s="987"/>
      <c r="AA96" s="988"/>
      <c r="AB96" s="987">
        <f t="shared" si="11"/>
        <v>7.2</v>
      </c>
      <c r="AC96" s="987"/>
      <c r="AD96" s="989"/>
      <c r="AE96" s="987">
        <f>+'Exhibit F'!AF85+'Exhibit G'!AF78+' Exhbit I '!AG58</f>
        <v>82.899999999999991</v>
      </c>
      <c r="AF96" s="987"/>
      <c r="AG96" s="987"/>
      <c r="AH96" s="987">
        <f t="shared" si="12"/>
        <v>-75.7</v>
      </c>
      <c r="AI96" s="429"/>
      <c r="AJ96" s="1816">
        <f t="shared" si="17"/>
        <v>-0.91300000000000003</v>
      </c>
    </row>
    <row r="97" spans="1:45" ht="16.5" customHeight="1">
      <c r="A97" s="1784" t="s">
        <v>1202</v>
      </c>
      <c r="B97" s="1784"/>
      <c r="C97" s="987">
        <f>+'Exhibit F'!D86+'Exhibit G'!D79</f>
        <v>8.1999999999999993</v>
      </c>
      <c r="D97" s="987"/>
      <c r="E97" s="987"/>
      <c r="F97" s="987"/>
      <c r="G97" s="987"/>
      <c r="H97" s="987"/>
      <c r="I97" s="987"/>
      <c r="J97" s="987"/>
      <c r="K97" s="987"/>
      <c r="L97" s="987"/>
      <c r="M97" s="987"/>
      <c r="N97" s="987"/>
      <c r="O97" s="987"/>
      <c r="P97" s="987"/>
      <c r="Q97" s="987"/>
      <c r="R97" s="987"/>
      <c r="S97" s="987"/>
      <c r="T97" s="987"/>
      <c r="U97" s="987"/>
      <c r="V97" s="987"/>
      <c r="W97" s="987"/>
      <c r="X97" s="987"/>
      <c r="Y97" s="2820"/>
      <c r="Z97" s="987"/>
      <c r="AA97" s="988"/>
      <c r="AB97" s="987">
        <f t="shared" si="11"/>
        <v>8.1999999999999993</v>
      </c>
      <c r="AC97" s="987"/>
      <c r="AD97" s="989"/>
      <c r="AE97" s="987">
        <f>+'Exhibit F'!AF86+'Exhibit G'!AF79</f>
        <v>8.4</v>
      </c>
      <c r="AF97" s="987"/>
      <c r="AG97" s="987"/>
      <c r="AH97" s="987">
        <f t="shared" si="12"/>
        <v>-0.2</v>
      </c>
      <c r="AI97" s="429"/>
      <c r="AJ97" s="1816">
        <f t="shared" si="17"/>
        <v>-2.4E-2</v>
      </c>
    </row>
    <row r="98" spans="1:45" ht="16.5" customHeight="1">
      <c r="A98" s="1784" t="s">
        <v>1203</v>
      </c>
      <c r="B98" s="1784"/>
      <c r="C98" s="987">
        <f>+'Exhibit F'!D87+'Exhibit G'!D80+' Exhbit I '!E59</f>
        <v>49.000000000000007</v>
      </c>
      <c r="D98" s="987"/>
      <c r="E98" s="987"/>
      <c r="F98" s="987"/>
      <c r="G98" s="987"/>
      <c r="H98" s="987"/>
      <c r="I98" s="987"/>
      <c r="J98" s="987"/>
      <c r="K98" s="987"/>
      <c r="L98" s="987"/>
      <c r="M98" s="987"/>
      <c r="N98" s="987"/>
      <c r="O98" s="987"/>
      <c r="P98" s="987"/>
      <c r="Q98" s="987"/>
      <c r="R98" s="987"/>
      <c r="S98" s="987"/>
      <c r="T98" s="987"/>
      <c r="U98" s="987"/>
      <c r="V98" s="987"/>
      <c r="W98" s="987"/>
      <c r="X98" s="987"/>
      <c r="Y98" s="2820"/>
      <c r="Z98" s="987"/>
      <c r="AA98" s="988"/>
      <c r="AB98" s="987">
        <f t="shared" si="11"/>
        <v>49</v>
      </c>
      <c r="AC98" s="987"/>
      <c r="AD98" s="989"/>
      <c r="AE98" s="987">
        <f>+'Exhibit F'!AF87+'Exhibit G'!AF80+' Exhbit I '!AG59</f>
        <v>12.2</v>
      </c>
      <c r="AF98" s="987"/>
      <c r="AG98" s="987"/>
      <c r="AH98" s="987">
        <f t="shared" si="12"/>
        <v>36.799999999999997</v>
      </c>
      <c r="AI98" s="429"/>
      <c r="AJ98" s="1816">
        <f t="shared" si="17"/>
        <v>3.016</v>
      </c>
    </row>
    <row r="99" spans="1:45" ht="16.5" customHeight="1">
      <c r="A99" s="1784" t="s">
        <v>1204</v>
      </c>
      <c r="B99" s="1784"/>
      <c r="C99" s="987">
        <f>+'Exhibit F'!D88+'Exhibit G'!D81+' Exhbit I '!E60</f>
        <v>1.8</v>
      </c>
      <c r="D99" s="987"/>
      <c r="E99" s="987"/>
      <c r="F99" s="987"/>
      <c r="G99" s="987"/>
      <c r="H99" s="987"/>
      <c r="I99" s="987"/>
      <c r="J99" s="987"/>
      <c r="K99" s="987"/>
      <c r="L99" s="987"/>
      <c r="M99" s="987"/>
      <c r="N99" s="987"/>
      <c r="O99" s="987"/>
      <c r="P99" s="987"/>
      <c r="Q99" s="987"/>
      <c r="R99" s="987"/>
      <c r="S99" s="987"/>
      <c r="T99" s="987"/>
      <c r="U99" s="987"/>
      <c r="V99" s="987"/>
      <c r="W99" s="987"/>
      <c r="X99" s="987"/>
      <c r="Y99" s="2820"/>
      <c r="Z99" s="987"/>
      <c r="AA99" s="988"/>
      <c r="AB99" s="987">
        <f t="shared" si="11"/>
        <v>1.8</v>
      </c>
      <c r="AC99" s="987"/>
      <c r="AD99" s="989"/>
      <c r="AE99" s="987">
        <f>+'Exhibit F'!AF88+'Exhibit G'!AF81+' Exhbit I '!AG60+'Exhibit H'!AD42</f>
        <v>2</v>
      </c>
      <c r="AF99" s="987"/>
      <c r="AG99" s="987"/>
      <c r="AH99" s="987">
        <f t="shared" si="12"/>
        <v>-0.2</v>
      </c>
      <c r="AI99" s="429"/>
      <c r="AJ99" s="1816">
        <f t="shared" si="17"/>
        <v>-0.1</v>
      </c>
    </row>
    <row r="100" spans="1:45" ht="16.5" customHeight="1">
      <c r="A100" s="1784" t="s">
        <v>1205</v>
      </c>
      <c r="B100" s="1784"/>
      <c r="C100" s="987">
        <f>+'Exhibit G'!D82</f>
        <v>54.7</v>
      </c>
      <c r="D100" s="987"/>
      <c r="E100" s="987"/>
      <c r="F100" s="987"/>
      <c r="G100" s="987"/>
      <c r="H100" s="987"/>
      <c r="I100" s="987"/>
      <c r="J100" s="987"/>
      <c r="K100" s="987"/>
      <c r="L100" s="987"/>
      <c r="M100" s="987"/>
      <c r="N100" s="987"/>
      <c r="O100" s="987"/>
      <c r="P100" s="987"/>
      <c r="Q100" s="987"/>
      <c r="R100" s="987"/>
      <c r="S100" s="987"/>
      <c r="T100" s="987"/>
      <c r="U100" s="987"/>
      <c r="V100" s="987"/>
      <c r="W100" s="987"/>
      <c r="X100" s="987"/>
      <c r="Y100" s="2820"/>
      <c r="Z100" s="987"/>
      <c r="AA100" s="988"/>
      <c r="AB100" s="987">
        <f t="shared" si="11"/>
        <v>54.7</v>
      </c>
      <c r="AC100" s="987"/>
      <c r="AD100" s="989"/>
      <c r="AE100" s="987">
        <f>+'Exhibit G'!AF82</f>
        <v>125.2</v>
      </c>
      <c r="AF100" s="987"/>
      <c r="AG100" s="987"/>
      <c r="AH100" s="987">
        <f t="shared" si="12"/>
        <v>-70.5</v>
      </c>
      <c r="AI100" s="429"/>
      <c r="AJ100" s="1816">
        <f>ROUND(IF(AE100=0,0,AH100/ABS(AE100)),3)</f>
        <v>-0.56299999999999994</v>
      </c>
    </row>
    <row r="101" spans="1:45" s="793" customFormat="1" ht="16.5" customHeight="1">
      <c r="A101" s="588" t="s">
        <v>1240</v>
      </c>
      <c r="B101" s="412"/>
      <c r="C101" s="483">
        <f>ROUND(SUM(C61:C100),1)</f>
        <v>1455.5</v>
      </c>
      <c r="D101" s="2052"/>
      <c r="E101" s="483">
        <f>ROUND(SUM(E61:E100),1)</f>
        <v>0</v>
      </c>
      <c r="F101" s="2052"/>
      <c r="G101" s="483">
        <f>ROUND(SUM(G61:G100),1)</f>
        <v>0</v>
      </c>
      <c r="H101" s="1838"/>
      <c r="I101" s="483">
        <f>ROUND(SUM(I61:I100),1)</f>
        <v>0</v>
      </c>
      <c r="J101" s="1838"/>
      <c r="K101" s="483">
        <f>ROUND(SUM(K61:K100),1)</f>
        <v>0</v>
      </c>
      <c r="L101" s="1838"/>
      <c r="M101" s="483">
        <f>ROUND(SUM(M61:M100),1)</f>
        <v>0</v>
      </c>
      <c r="N101" s="1838"/>
      <c r="O101" s="483">
        <f>ROUND(SUM(O61:O100),1)</f>
        <v>0</v>
      </c>
      <c r="P101" s="1838"/>
      <c r="Q101" s="483">
        <f>ROUND(SUM(Q61:Q100),1)</f>
        <v>0</v>
      </c>
      <c r="R101" s="1838"/>
      <c r="S101" s="483">
        <f>ROUND(SUM(S61:S100),1)</f>
        <v>0</v>
      </c>
      <c r="T101" s="1838"/>
      <c r="U101" s="483">
        <f>ROUND(SUM(U61:U100),1)</f>
        <v>0</v>
      </c>
      <c r="V101" s="1838"/>
      <c r="W101" s="483">
        <f>ROUND(SUM(W61:W100),1)</f>
        <v>0</v>
      </c>
      <c r="X101" s="409"/>
      <c r="Y101" s="483">
        <f>ROUND(SUM(Y61:Y100),1)</f>
        <v>0</v>
      </c>
      <c r="Z101" s="409"/>
      <c r="AA101" s="484"/>
      <c r="AB101" s="483">
        <f>ROUND(SUM(AB61:AB100),1)</f>
        <v>1455.5</v>
      </c>
      <c r="AC101" s="1838"/>
      <c r="AD101" s="259"/>
      <c r="AE101" s="483">
        <f>ROUND(SUM(AE61:AE100),1)</f>
        <v>705</v>
      </c>
      <c r="AF101" s="273"/>
      <c r="AG101" s="2061"/>
      <c r="AH101" s="483">
        <f>ROUND(SUM(AH61:AH100),1)</f>
        <v>750.5</v>
      </c>
      <c r="AI101" s="273"/>
      <c r="AJ101" s="72">
        <f>ROUND(IF(AE101=0,0,AH101/ABS(AE101)),3)</f>
        <v>1.0649999999999999</v>
      </c>
    </row>
    <row r="102" spans="1:45" s="793" customFormat="1" ht="16.5" customHeight="1">
      <c r="A102" s="977"/>
      <c r="B102" s="977"/>
      <c r="C102" s="995"/>
      <c r="D102" s="995"/>
      <c r="E102" s="995"/>
      <c r="F102" s="995"/>
      <c r="G102" s="995"/>
      <c r="H102" s="995"/>
      <c r="I102" s="995"/>
      <c r="J102" s="995"/>
      <c r="K102" s="995"/>
      <c r="L102" s="995"/>
      <c r="M102" s="995"/>
      <c r="N102" s="995"/>
      <c r="O102" s="995"/>
      <c r="P102" s="995"/>
      <c r="Q102" s="995"/>
      <c r="R102" s="995"/>
      <c r="S102" s="995"/>
      <c r="T102" s="995"/>
      <c r="U102" s="995"/>
      <c r="V102" s="995"/>
      <c r="X102" s="995"/>
      <c r="Y102" s="995"/>
      <c r="Z102" s="995"/>
      <c r="AA102" s="996"/>
      <c r="AB102" s="995"/>
      <c r="AC102" s="2060"/>
      <c r="AD102" s="996"/>
      <c r="AE102" s="995"/>
      <c r="AF102" s="2060"/>
      <c r="AG102" s="995"/>
      <c r="AH102" s="995"/>
      <c r="AI102" s="977"/>
      <c r="AJ102" s="512"/>
    </row>
    <row r="103" spans="1:45" ht="16.5" customHeight="1">
      <c r="A103" s="429" t="s">
        <v>22</v>
      </c>
      <c r="B103" s="429"/>
      <c r="C103" s="992">
        <f>+'Exhibit F'!D91+'Exhibit G'!D85+'Exhibit H'!B45+' Exhbit I '!E63</f>
        <v>3275.7</v>
      </c>
      <c r="D103" s="987"/>
      <c r="E103" s="992"/>
      <c r="F103" s="987"/>
      <c r="G103" s="992"/>
      <c r="H103" s="987"/>
      <c r="I103" s="992"/>
      <c r="J103" s="987"/>
      <c r="K103" s="992"/>
      <c r="L103" s="987"/>
      <c r="M103" s="992"/>
      <c r="N103" s="987"/>
      <c r="O103" s="992"/>
      <c r="P103" s="987"/>
      <c r="Q103" s="991"/>
      <c r="R103" s="987"/>
      <c r="S103" s="991"/>
      <c r="T103" s="987"/>
      <c r="U103" s="991"/>
      <c r="V103" s="987"/>
      <c r="W103" s="991"/>
      <c r="X103" s="987"/>
      <c r="Y103" s="992"/>
      <c r="Z103" s="987"/>
      <c r="AA103" s="988"/>
      <c r="AB103" s="991">
        <f>ROUND(SUM(C103:Y103),1)</f>
        <v>3275.7</v>
      </c>
      <c r="AC103" s="987"/>
      <c r="AD103" s="989"/>
      <c r="AE103" s="992">
        <f>+'Exhibit F'!AF91+'Exhibit G'!AF85+'Exhibit H'!AD45+' Exhbit I '!AG63</f>
        <v>1730</v>
      </c>
      <c r="AF103" s="999"/>
      <c r="AG103" s="987"/>
      <c r="AH103" s="991">
        <f>ROUND(SUM(AB103-AE103),1)</f>
        <v>1545.7</v>
      </c>
      <c r="AI103" s="429"/>
      <c r="AJ103" s="2560">
        <f>ROUND(IF(AE103=0,0,AH103/ABS(AE103)),3)</f>
        <v>0.89300000000000002</v>
      </c>
    </row>
    <row r="104" spans="1:45" ht="16.5" customHeight="1">
      <c r="A104" s="429"/>
      <c r="B104" s="429"/>
      <c r="C104" s="987"/>
      <c r="D104" s="987"/>
      <c r="E104" s="987"/>
      <c r="F104" s="987"/>
      <c r="G104" s="987"/>
      <c r="H104" s="987"/>
      <c r="I104" s="987"/>
      <c r="J104" s="987"/>
      <c r="K104" s="987"/>
      <c r="L104" s="987"/>
      <c r="M104" s="987"/>
      <c r="N104" s="987"/>
      <c r="O104" s="987"/>
      <c r="P104" s="987"/>
      <c r="Q104" s="987"/>
      <c r="R104" s="987"/>
      <c r="S104" s="987"/>
      <c r="T104" s="987"/>
      <c r="U104" s="987"/>
      <c r="V104" s="987"/>
      <c r="W104" s="987"/>
      <c r="X104" s="987"/>
      <c r="Y104" s="987"/>
      <c r="Z104" s="987"/>
      <c r="AA104" s="988"/>
      <c r="AB104" s="987"/>
      <c r="AC104" s="987"/>
      <c r="AD104" s="989"/>
      <c r="AE104" s="987"/>
      <c r="AF104" s="999"/>
      <c r="AG104" s="987"/>
      <c r="AH104" s="987"/>
      <c r="AI104" s="429"/>
      <c r="AJ104" s="993"/>
    </row>
    <row r="105" spans="1:45" ht="16.5" customHeight="1">
      <c r="A105" s="221" t="s">
        <v>156</v>
      </c>
      <c r="B105" s="222"/>
      <c r="C105" s="1692">
        <f>ROUND(SUM(C103+C101+C57),1)</f>
        <v>12952.1</v>
      </c>
      <c r="D105" s="1838"/>
      <c r="E105" s="1692">
        <f>ROUND(SUM(E103+E101+E57),1)</f>
        <v>0</v>
      </c>
      <c r="F105" s="1838"/>
      <c r="G105" s="1692">
        <f>ROUND(SUM(G103+G101+G57),1)</f>
        <v>0</v>
      </c>
      <c r="H105" s="1838"/>
      <c r="I105" s="1692">
        <f>ROUND(SUM(I103+I101+I57),1)</f>
        <v>0</v>
      </c>
      <c r="J105" s="1838"/>
      <c r="K105" s="1692">
        <f>ROUND(SUM(K103+K101+K57),1)</f>
        <v>0</v>
      </c>
      <c r="L105" s="1838"/>
      <c r="M105" s="1692">
        <f>ROUND(SUM(M103+M101+M57),1)</f>
        <v>0</v>
      </c>
      <c r="N105" s="1838"/>
      <c r="O105" s="1692">
        <f>ROUND(SUM(O103+O101+O57),1)</f>
        <v>0</v>
      </c>
      <c r="P105" s="1838"/>
      <c r="Q105" s="1692">
        <f>ROUND(SUM(Q103+Q101+Q57),1)</f>
        <v>0</v>
      </c>
      <c r="R105" s="1838"/>
      <c r="S105" s="1692">
        <f>ROUND(SUM(S103+S101+S57),1)</f>
        <v>0</v>
      </c>
      <c r="T105" s="1838"/>
      <c r="U105" s="1692">
        <f>ROUND(SUM(U103+U101+U57),1)</f>
        <v>0</v>
      </c>
      <c r="V105" s="1838"/>
      <c r="W105" s="1692">
        <f>ROUND(SUM(W103+W101+W57),1)</f>
        <v>0</v>
      </c>
      <c r="X105" s="409"/>
      <c r="Y105" s="1692">
        <f>ROUND(SUM(Y103+Y101+Y57),1)</f>
        <v>0</v>
      </c>
      <c r="Z105" s="476"/>
      <c r="AA105" s="477"/>
      <c r="AB105" s="1692">
        <f>ROUND(SUM(AB103+AB101+AB57),1)</f>
        <v>12952.1</v>
      </c>
      <c r="AC105" s="1838"/>
      <c r="AD105" s="259"/>
      <c r="AE105" s="1692">
        <f>ROUND(SUM(AE103+AE101+AE57),1)</f>
        <v>11076.3</v>
      </c>
      <c r="AF105" s="273"/>
      <c r="AG105" s="2061"/>
      <c r="AH105" s="1692">
        <f>ROUND(SUM(AH103+AH101+AH57),1)</f>
        <v>1875.8</v>
      </c>
      <c r="AI105" s="273"/>
      <c r="AJ105" s="1913">
        <f>ROUND(IF(AE105=0,0,AH105/ABS(AE105)),3)</f>
        <v>0.16900000000000001</v>
      </c>
      <c r="AK105" s="793"/>
      <c r="AL105" s="793"/>
      <c r="AM105" s="793"/>
      <c r="AN105" s="793"/>
      <c r="AO105" s="793"/>
      <c r="AP105" s="793"/>
      <c r="AQ105" s="793"/>
      <c r="AR105" s="793"/>
      <c r="AS105" s="793"/>
    </row>
    <row r="106" spans="1:45" ht="16.5" customHeight="1">
      <c r="A106" s="409"/>
      <c r="B106" s="429"/>
      <c r="C106" s="998"/>
      <c r="D106" s="987"/>
      <c r="E106" s="998"/>
      <c r="F106" s="987"/>
      <c r="G106" s="998"/>
      <c r="H106" s="987"/>
      <c r="I106" s="998"/>
      <c r="J106" s="987"/>
      <c r="K106" s="998"/>
      <c r="L106" s="987"/>
      <c r="M106" s="998"/>
      <c r="N106" s="987"/>
      <c r="O106" s="998"/>
      <c r="P106" s="987"/>
      <c r="Q106" s="998"/>
      <c r="R106" s="987"/>
      <c r="S106" s="998"/>
      <c r="T106" s="987"/>
      <c r="U106" s="998"/>
      <c r="V106" s="987"/>
      <c r="W106" s="998"/>
      <c r="X106" s="987"/>
      <c r="Y106" s="998"/>
      <c r="Z106" s="987"/>
      <c r="AA106" s="988"/>
      <c r="AB106" s="998"/>
      <c r="AC106" s="987"/>
      <c r="AD106" s="989"/>
      <c r="AE106" s="998"/>
      <c r="AF106" s="987"/>
      <c r="AG106" s="987"/>
      <c r="AH106" s="1159"/>
      <c r="AI106" s="429"/>
      <c r="AJ106" s="1668"/>
    </row>
    <row r="107" spans="1:45" ht="16.5" customHeight="1">
      <c r="A107" s="409" t="s">
        <v>24</v>
      </c>
      <c r="B107" s="429"/>
      <c r="C107" s="999"/>
      <c r="D107" s="987"/>
      <c r="E107" s="999"/>
      <c r="F107" s="987"/>
      <c r="G107" s="999"/>
      <c r="H107" s="987"/>
      <c r="I107" s="999"/>
      <c r="J107" s="987"/>
      <c r="K107" s="999"/>
      <c r="L107" s="987"/>
      <c r="M107" s="999"/>
      <c r="N107" s="987"/>
      <c r="O107" s="999"/>
      <c r="P107" s="987"/>
      <c r="Q107" s="999"/>
      <c r="R107" s="987"/>
      <c r="S107" s="999"/>
      <c r="T107" s="987"/>
      <c r="U107" s="999"/>
      <c r="V107" s="987"/>
      <c r="W107" s="999"/>
      <c r="X107" s="987"/>
      <c r="Y107" s="999"/>
      <c r="Z107" s="987"/>
      <c r="AA107" s="988"/>
      <c r="AB107" s="999"/>
      <c r="AC107" s="987"/>
      <c r="AD107" s="989"/>
      <c r="AE107" s="999"/>
      <c r="AF107" s="987"/>
      <c r="AG107" s="987"/>
      <c r="AH107" s="1159"/>
      <c r="AI107" s="429"/>
      <c r="AJ107" s="1668"/>
    </row>
    <row r="108" spans="1:45" ht="16.5" customHeight="1">
      <c r="A108" s="429" t="s">
        <v>142</v>
      </c>
      <c r="B108" s="429"/>
      <c r="C108" s="987"/>
      <c r="D108" s="987"/>
      <c r="E108" s="987"/>
      <c r="F108" s="987"/>
      <c r="G108" s="987"/>
      <c r="H108" s="987"/>
      <c r="I108" s="987"/>
      <c r="J108" s="987"/>
      <c r="K108" s="987"/>
      <c r="L108" s="987"/>
      <c r="M108" s="987"/>
      <c r="N108" s="987"/>
      <c r="O108" s="987"/>
      <c r="P108" s="987"/>
      <c r="Q108" s="987"/>
      <c r="R108" s="987"/>
      <c r="S108" s="987"/>
      <c r="T108" s="987"/>
      <c r="U108" s="987"/>
      <c r="V108" s="987"/>
      <c r="W108" s="987"/>
      <c r="X108" s="987"/>
      <c r="Y108" s="987"/>
      <c r="Z108" s="987"/>
      <c r="AA108" s="988"/>
      <c r="AB108" s="987"/>
      <c r="AC108" s="987"/>
      <c r="AD108" s="989"/>
      <c r="AE108" s="261"/>
      <c r="AF108" s="987"/>
      <c r="AG108" s="987"/>
      <c r="AH108" s="987"/>
      <c r="AI108" s="429"/>
      <c r="AJ108" s="1884"/>
    </row>
    <row r="109" spans="1:45" ht="16.5" customHeight="1">
      <c r="A109" s="480" t="s">
        <v>26</v>
      </c>
      <c r="B109" s="429"/>
      <c r="C109" s="987">
        <f>+'Exhibit F'!D97+'Exhibit G'!D91+' Exhbit I '!E69</f>
        <v>1097.9000000000001</v>
      </c>
      <c r="D109" s="987"/>
      <c r="E109" s="987"/>
      <c r="F109" s="987"/>
      <c r="G109" s="987"/>
      <c r="H109" s="987"/>
      <c r="I109" s="987"/>
      <c r="J109" s="987"/>
      <c r="K109" s="987"/>
      <c r="L109" s="987"/>
      <c r="M109" s="987"/>
      <c r="N109" s="987"/>
      <c r="O109" s="987"/>
      <c r="P109" s="987"/>
      <c r="Q109" s="2045"/>
      <c r="R109" s="987"/>
      <c r="S109" s="2045"/>
      <c r="T109" s="987"/>
      <c r="U109" s="2045"/>
      <c r="V109" s="987"/>
      <c r="W109" s="2045"/>
      <c r="X109" s="987"/>
      <c r="Y109" s="2820"/>
      <c r="Z109" s="987"/>
      <c r="AA109" s="988"/>
      <c r="AB109" s="261">
        <f>ROUND(SUM(C109:Y109),1)</f>
        <v>1097.9000000000001</v>
      </c>
      <c r="AC109" s="987"/>
      <c r="AD109" s="989"/>
      <c r="AE109" s="261">
        <f>+'Exhibit F'!AF97+'Exhibit G'!AF91+' Exhbit I '!AG69</f>
        <v>895.90000000000009</v>
      </c>
      <c r="AF109" s="987"/>
      <c r="AG109" s="987"/>
      <c r="AH109" s="987">
        <f>ROUND(SUM(AB109-AE109),1)</f>
        <v>202</v>
      </c>
      <c r="AI109" s="429"/>
      <c r="AJ109" s="1816">
        <f>ROUND(IF(AE109=0,0,AH109/ABS(AE109)),3)</f>
        <v>0.22500000000000001</v>
      </c>
    </row>
    <row r="110" spans="1:45" ht="16.5" customHeight="1">
      <c r="A110" s="480" t="s">
        <v>27</v>
      </c>
      <c r="B110" s="429"/>
      <c r="C110" s="987">
        <f>+'Exhibit F'!D98+'Exhibit G'!D92+' Exhbit I '!E70</f>
        <v>3.4000000000000004</v>
      </c>
      <c r="D110" s="987"/>
      <c r="E110" s="987"/>
      <c r="F110" s="987"/>
      <c r="G110" s="987"/>
      <c r="H110" s="987"/>
      <c r="I110" s="987"/>
      <c r="J110" s="987"/>
      <c r="K110" s="987"/>
      <c r="L110" s="987"/>
      <c r="M110" s="987"/>
      <c r="N110" s="987"/>
      <c r="O110" s="987"/>
      <c r="P110" s="987"/>
      <c r="Q110" s="2045"/>
      <c r="R110" s="987"/>
      <c r="S110" s="2045"/>
      <c r="T110" s="987"/>
      <c r="U110" s="2045"/>
      <c r="V110" s="987"/>
      <c r="W110" s="2045"/>
      <c r="X110" s="987"/>
      <c r="Y110" s="2820"/>
      <c r="Z110" s="987"/>
      <c r="AA110" s="988"/>
      <c r="AB110" s="261">
        <f t="shared" ref="AB110:AB117" si="18">ROUND(SUM(C110:Y110),1)</f>
        <v>3.4</v>
      </c>
      <c r="AC110" s="987"/>
      <c r="AD110" s="989"/>
      <c r="AE110" s="261">
        <f>+'Exhibit F'!AF98+'Exhibit G'!AF92+' Exhbit I '!AG70</f>
        <v>3</v>
      </c>
      <c r="AF110" s="987"/>
      <c r="AG110" s="987"/>
      <c r="AH110" s="987">
        <f t="shared" ref="AH110:AH117" si="19">ROUND(SUM(AB110-AE110),1)</f>
        <v>0.4</v>
      </c>
      <c r="AI110" s="429"/>
      <c r="AJ110" s="1816">
        <f>ROUND(IF(AE110=0,0,AH110/ABS(AE110)),3)</f>
        <v>0.13300000000000001</v>
      </c>
    </row>
    <row r="111" spans="1:45" ht="16.5" customHeight="1">
      <c r="A111" s="480" t="s">
        <v>28</v>
      </c>
      <c r="B111" s="429"/>
      <c r="C111" s="987">
        <f>+'Exhibit F'!D99+'Exhibit G'!D93+' Exhbit I '!E71</f>
        <v>71.5</v>
      </c>
      <c r="D111" s="987"/>
      <c r="E111" s="987"/>
      <c r="F111" s="987"/>
      <c r="G111" s="987"/>
      <c r="H111" s="987"/>
      <c r="I111" s="987"/>
      <c r="J111" s="987"/>
      <c r="K111" s="987"/>
      <c r="L111" s="987"/>
      <c r="M111" s="987"/>
      <c r="N111" s="987"/>
      <c r="O111" s="987"/>
      <c r="P111" s="987"/>
      <c r="Q111" s="2045"/>
      <c r="R111" s="987"/>
      <c r="S111" s="2045"/>
      <c r="T111" s="987"/>
      <c r="U111" s="2045"/>
      <c r="V111" s="987"/>
      <c r="W111" s="2045"/>
      <c r="X111" s="987"/>
      <c r="Y111" s="2820"/>
      <c r="Z111" s="987"/>
      <c r="AA111" s="988"/>
      <c r="AB111" s="261">
        <f t="shared" si="18"/>
        <v>71.5</v>
      </c>
      <c r="AC111" s="987"/>
      <c r="AD111" s="989"/>
      <c r="AE111" s="261">
        <f>+'Exhibit F'!AF99+'Exhibit G'!AF93+' Exhbit I '!AG71</f>
        <v>24.200000000000003</v>
      </c>
      <c r="AF111" s="987"/>
      <c r="AG111" s="987"/>
      <c r="AH111" s="987">
        <f t="shared" si="19"/>
        <v>47.3</v>
      </c>
      <c r="AI111" s="429"/>
      <c r="AJ111" s="1816">
        <f>ROUND(IF(AE111=0,0,AH111/ABS(AE111)),3)</f>
        <v>1.9550000000000001</v>
      </c>
    </row>
    <row r="112" spans="1:45" ht="16.5" customHeight="1">
      <c r="A112" s="480" t="s">
        <v>29</v>
      </c>
      <c r="B112" s="429"/>
      <c r="C112" s="987"/>
      <c r="D112" s="987"/>
      <c r="E112" s="987"/>
      <c r="F112" s="987"/>
      <c r="G112" s="987"/>
      <c r="H112" s="987"/>
      <c r="I112" s="987"/>
      <c r="J112" s="987"/>
      <c r="K112" s="987"/>
      <c r="L112" s="987"/>
      <c r="M112" s="987"/>
      <c r="N112" s="987"/>
      <c r="O112" s="987"/>
      <c r="P112" s="987"/>
      <c r="Q112" s="2045"/>
      <c r="R112" s="987"/>
      <c r="S112" s="2045"/>
      <c r="T112" s="987"/>
      <c r="U112" s="2045"/>
      <c r="V112" s="987"/>
      <c r="W112" s="2045"/>
      <c r="X112" s="987"/>
      <c r="Y112" s="2820"/>
      <c r="Z112" s="987"/>
      <c r="AA112" s="988"/>
      <c r="AB112" s="261"/>
      <c r="AC112" s="987"/>
      <c r="AD112" s="989"/>
      <c r="AE112" s="372"/>
      <c r="AF112" s="987"/>
      <c r="AG112" s="987"/>
      <c r="AH112" s="987" t="s">
        <v>16</v>
      </c>
      <c r="AI112" s="429"/>
      <c r="AJ112" s="1884"/>
    </row>
    <row r="113" spans="1:44" ht="16.5" customHeight="1">
      <c r="A113" s="481" t="s">
        <v>30</v>
      </c>
      <c r="B113" s="429"/>
      <c r="C113" s="987">
        <f>+'Exhibit F'!D101+'Exhibit G'!D95+' Exhbit I '!E73</f>
        <v>3569.1</v>
      </c>
      <c r="D113" s="987"/>
      <c r="E113" s="987"/>
      <c r="F113" s="987"/>
      <c r="G113" s="987"/>
      <c r="H113" s="987"/>
      <c r="I113" s="987"/>
      <c r="J113" s="987"/>
      <c r="K113" s="987"/>
      <c r="L113" s="987"/>
      <c r="M113" s="987"/>
      <c r="N113" s="987"/>
      <c r="O113" s="987"/>
      <c r="P113" s="987"/>
      <c r="Q113" s="2045"/>
      <c r="R113" s="987"/>
      <c r="S113" s="2045"/>
      <c r="T113" s="987"/>
      <c r="U113" s="2045"/>
      <c r="V113" s="987"/>
      <c r="W113" s="2045"/>
      <c r="X113" s="987"/>
      <c r="Y113" s="2820"/>
      <c r="Z113" s="987"/>
      <c r="AA113" s="988"/>
      <c r="AB113" s="261">
        <f t="shared" si="18"/>
        <v>3569.1</v>
      </c>
      <c r="AC113" s="987"/>
      <c r="AD113" s="989"/>
      <c r="AE113" s="261">
        <f>+'Exhibit F'!AF101+'Exhibit G'!AF95+' Exhbit I '!AG73</f>
        <v>3191.8</v>
      </c>
      <c r="AF113" s="987"/>
      <c r="AG113" s="987"/>
      <c r="AH113" s="987">
        <f t="shared" si="19"/>
        <v>377.3</v>
      </c>
      <c r="AI113" s="429"/>
      <c r="AJ113" s="1816">
        <f t="shared" ref="AJ113:AJ119" si="20">ROUND(IF(AE113=0,0,AH113/ABS(AE113)),3)</f>
        <v>0.11799999999999999</v>
      </c>
      <c r="AK113" s="417"/>
    </row>
    <row r="114" spans="1:44" ht="16.5" customHeight="1">
      <c r="A114" s="480" t="s">
        <v>31</v>
      </c>
      <c r="B114" s="429"/>
      <c r="C114" s="987">
        <f>+'Exhibit F'!D102+'Exhibit G'!D96+' Exhbit I '!E74</f>
        <v>597.40000000000009</v>
      </c>
      <c r="D114" s="987"/>
      <c r="E114" s="987"/>
      <c r="F114" s="987"/>
      <c r="G114" s="987"/>
      <c r="H114" s="987"/>
      <c r="I114" s="987"/>
      <c r="J114" s="987"/>
      <c r="K114" s="987"/>
      <c r="L114" s="987"/>
      <c r="M114" s="987"/>
      <c r="N114" s="987"/>
      <c r="O114" s="987"/>
      <c r="P114" s="987"/>
      <c r="Q114" s="2045"/>
      <c r="R114" s="987"/>
      <c r="S114" s="2045"/>
      <c r="T114" s="987"/>
      <c r="U114" s="2045"/>
      <c r="V114" s="987"/>
      <c r="W114" s="2045"/>
      <c r="X114" s="987"/>
      <c r="Y114" s="2820"/>
      <c r="Z114" s="987"/>
      <c r="AA114" s="988"/>
      <c r="AB114" s="261">
        <f t="shared" si="18"/>
        <v>597.4</v>
      </c>
      <c r="AC114" s="990"/>
      <c r="AD114" s="987"/>
      <c r="AE114" s="261">
        <f>+'Exhibit F'!AF102+'Exhibit G'!AF96+' Exhbit I '!AG74</f>
        <v>220.99999999999997</v>
      </c>
      <c r="AF114" s="987"/>
      <c r="AG114" s="987"/>
      <c r="AH114" s="987">
        <f t="shared" si="19"/>
        <v>376.4</v>
      </c>
      <c r="AI114" s="429"/>
      <c r="AJ114" s="1816">
        <f t="shared" si="20"/>
        <v>1.7030000000000001</v>
      </c>
    </row>
    <row r="115" spans="1:44" ht="16.5" customHeight="1">
      <c r="A115" s="480" t="s">
        <v>32</v>
      </c>
      <c r="B115" s="429"/>
      <c r="C115" s="987">
        <f>+'Exhibit F'!D103+'Exhibit G'!D97+' Exhbit I '!E75</f>
        <v>90.9</v>
      </c>
      <c r="D115" s="987"/>
      <c r="E115" s="987"/>
      <c r="F115" s="987"/>
      <c r="G115" s="987"/>
      <c r="H115" s="987"/>
      <c r="I115" s="987"/>
      <c r="J115" s="987"/>
      <c r="K115" s="987"/>
      <c r="L115" s="987"/>
      <c r="M115" s="987"/>
      <c r="N115" s="987"/>
      <c r="O115" s="987"/>
      <c r="P115" s="987"/>
      <c r="Q115" s="2045"/>
      <c r="R115" s="987"/>
      <c r="S115" s="2045"/>
      <c r="T115" s="987"/>
      <c r="U115" s="2045"/>
      <c r="V115" s="987"/>
      <c r="W115" s="2045"/>
      <c r="X115" s="987"/>
      <c r="Y115" s="2820"/>
      <c r="Z115" s="987"/>
      <c r="AA115" s="988"/>
      <c r="AB115" s="261">
        <f t="shared" si="18"/>
        <v>90.9</v>
      </c>
      <c r="AC115" s="1000"/>
      <c r="AD115" s="989"/>
      <c r="AE115" s="261">
        <f>+'Exhibit F'!AF103+'Exhibit G'!AF97+' Exhbit I '!AG75</f>
        <v>172.4</v>
      </c>
      <c r="AF115" s="987"/>
      <c r="AG115" s="987"/>
      <c r="AH115" s="987">
        <f t="shared" si="19"/>
        <v>-81.5</v>
      </c>
      <c r="AI115" s="429"/>
      <c r="AJ115" s="1816">
        <f t="shared" si="20"/>
        <v>-0.47299999999999998</v>
      </c>
    </row>
    <row r="116" spans="1:44" ht="16.5" customHeight="1">
      <c r="A116" s="480" t="s">
        <v>33</v>
      </c>
      <c r="B116" s="429"/>
      <c r="C116" s="987">
        <f>+'Exhibit F'!D104+'Exhibit G'!D98+' Exhbit I '!E76</f>
        <v>370.1</v>
      </c>
      <c r="D116" s="987"/>
      <c r="E116" s="987"/>
      <c r="F116" s="987"/>
      <c r="G116" s="987"/>
      <c r="H116" s="987"/>
      <c r="I116" s="987"/>
      <c r="J116" s="987"/>
      <c r="K116" s="987"/>
      <c r="L116" s="987"/>
      <c r="M116" s="987"/>
      <c r="N116" s="987"/>
      <c r="O116" s="987"/>
      <c r="P116" s="987"/>
      <c r="Q116" s="2045"/>
      <c r="R116" s="987"/>
      <c r="S116" s="2045"/>
      <c r="T116" s="987"/>
      <c r="U116" s="2045"/>
      <c r="V116" s="987"/>
      <c r="W116" s="2045"/>
      <c r="X116" s="987"/>
      <c r="Y116" s="2820"/>
      <c r="Z116" s="987"/>
      <c r="AA116" s="988"/>
      <c r="AB116" s="261">
        <f t="shared" si="18"/>
        <v>370.1</v>
      </c>
      <c r="AC116" s="1000"/>
      <c r="AD116" s="989"/>
      <c r="AE116" s="261">
        <f>+'Exhibit F'!AF104+'Exhibit G'!AF98+' Exhbit I '!AG76</f>
        <v>367.29999999999995</v>
      </c>
      <c r="AF116" s="987"/>
      <c r="AG116" s="987"/>
      <c r="AH116" s="987">
        <f t="shared" si="19"/>
        <v>2.8</v>
      </c>
      <c r="AI116" s="429"/>
      <c r="AJ116" s="1816">
        <f t="shared" si="20"/>
        <v>8.0000000000000002E-3</v>
      </c>
    </row>
    <row r="117" spans="1:44" ht="16.5" customHeight="1">
      <c r="A117" s="480" t="s">
        <v>34</v>
      </c>
      <c r="B117" s="429"/>
      <c r="C117" s="987">
        <f>+'Exhibit F'!D105+'Exhibit G'!D99+' Exhbit I '!E77</f>
        <v>5</v>
      </c>
      <c r="D117" s="987"/>
      <c r="E117" s="987"/>
      <c r="F117" s="987"/>
      <c r="G117" s="987"/>
      <c r="H117" s="987"/>
      <c r="I117" s="987"/>
      <c r="J117" s="987"/>
      <c r="K117" s="987"/>
      <c r="L117" s="987"/>
      <c r="M117" s="987"/>
      <c r="N117" s="987"/>
      <c r="O117" s="987"/>
      <c r="P117" s="987"/>
      <c r="Q117" s="2045"/>
      <c r="R117" s="987"/>
      <c r="S117" s="2045"/>
      <c r="T117" s="987"/>
      <c r="U117" s="2045"/>
      <c r="V117" s="987"/>
      <c r="W117" s="2045"/>
      <c r="X117" s="987"/>
      <c r="Y117" s="2820"/>
      <c r="Z117" s="987"/>
      <c r="AA117" s="988"/>
      <c r="AB117" s="261">
        <f t="shared" si="18"/>
        <v>5</v>
      </c>
      <c r="AC117" s="1000"/>
      <c r="AD117" s="989"/>
      <c r="AE117" s="261">
        <f>+'Exhibit F'!AF105+'Exhibit G'!AF99+' Exhbit I '!AG77</f>
        <v>25.799999999999997</v>
      </c>
      <c r="AF117" s="987"/>
      <c r="AG117" s="987"/>
      <c r="AH117" s="987">
        <f t="shared" si="19"/>
        <v>-20.8</v>
      </c>
      <c r="AI117" s="429"/>
      <c r="AJ117" s="1816">
        <f t="shared" si="20"/>
        <v>-0.80600000000000005</v>
      </c>
    </row>
    <row r="118" spans="1:44" ht="16.5" customHeight="1">
      <c r="A118" s="480" t="s">
        <v>35</v>
      </c>
      <c r="B118" s="429"/>
      <c r="C118" s="987">
        <f>+'Exhibit F'!D106+'Exhibit G'!D100+' Exhbit I '!E78</f>
        <v>226</v>
      </c>
      <c r="D118" s="987"/>
      <c r="E118" s="987"/>
      <c r="F118" s="987"/>
      <c r="G118" s="987"/>
      <c r="H118" s="987"/>
      <c r="I118" s="987"/>
      <c r="J118" s="987"/>
      <c r="K118" s="987"/>
      <c r="L118" s="987"/>
      <c r="M118" s="987"/>
      <c r="N118" s="987"/>
      <c r="O118" s="987"/>
      <c r="P118" s="987"/>
      <c r="Q118" s="2045"/>
      <c r="R118" s="987"/>
      <c r="S118" s="2045"/>
      <c r="T118" s="987"/>
      <c r="U118" s="2045"/>
      <c r="V118" s="987"/>
      <c r="W118" s="2045"/>
      <c r="X118" s="987"/>
      <c r="Y118" s="2820"/>
      <c r="Z118" s="987"/>
      <c r="AA118" s="988"/>
      <c r="AB118" s="987">
        <f>ROUND(SUM(C118:Y118),1)</f>
        <v>226</v>
      </c>
      <c r="AC118" s="1000"/>
      <c r="AD118" s="989"/>
      <c r="AE118" s="261">
        <f>+'Exhibit F'!AF106+'Exhibit G'!AF100+' Exhbit I '!AG78</f>
        <v>158.5</v>
      </c>
      <c r="AF118" s="987"/>
      <c r="AG118" s="987"/>
      <c r="AH118" s="987">
        <f>ROUND(SUM(AB118-AE118),1)</f>
        <v>67.5</v>
      </c>
      <c r="AI118" s="429"/>
      <c r="AJ118" s="1816">
        <f t="shared" si="20"/>
        <v>0.42599999999999999</v>
      </c>
    </row>
    <row r="119" spans="1:44" ht="16.5" customHeight="1">
      <c r="A119" s="429" t="s">
        <v>36</v>
      </c>
      <c r="B119" s="429"/>
      <c r="C119" s="1004">
        <f>ROUND(SUM(C109:C118),1)</f>
        <v>6031.3</v>
      </c>
      <c r="D119" s="995"/>
      <c r="E119" s="1004">
        <f>ROUND(SUM(E109:E118),1)</f>
        <v>0</v>
      </c>
      <c r="F119" s="995"/>
      <c r="G119" s="1004">
        <f>ROUND(SUM(G109:G118),1)</f>
        <v>0</v>
      </c>
      <c r="H119" s="995"/>
      <c r="I119" s="1004">
        <f>ROUND(SUM(I109:I118),1)</f>
        <v>0</v>
      </c>
      <c r="J119" s="995"/>
      <c r="K119" s="1004">
        <f>ROUND(SUM(K109:K118),1)</f>
        <v>0</v>
      </c>
      <c r="L119" s="995"/>
      <c r="M119" s="1004">
        <f>ROUND(SUM(M109:M118),1)</f>
        <v>0</v>
      </c>
      <c r="N119" s="995"/>
      <c r="O119" s="1004">
        <f>ROUND(SUM(O109:O118),1)</f>
        <v>0</v>
      </c>
      <c r="P119" s="995"/>
      <c r="Q119" s="1004">
        <f>ROUND(SUM(Q109:Q118),1)</f>
        <v>0</v>
      </c>
      <c r="R119" s="995"/>
      <c r="S119" s="1004">
        <f>ROUND(SUM(S109:S118),1)</f>
        <v>0</v>
      </c>
      <c r="T119" s="995"/>
      <c r="U119" s="1004">
        <f>ROUND(SUM(U109:U118),1)</f>
        <v>0</v>
      </c>
      <c r="V119" s="995"/>
      <c r="W119" s="1004">
        <f>ROUND(SUM(W109:W118),1)</f>
        <v>0</v>
      </c>
      <c r="X119" s="995"/>
      <c r="Y119" s="1004">
        <f>ROUND(SUM(Y109:Y118),1)</f>
        <v>0</v>
      </c>
      <c r="Z119" s="995"/>
      <c r="AA119" s="996"/>
      <c r="AB119" s="1004">
        <f>ROUND(SUM(AB109:AB118),1)</f>
        <v>6031.3</v>
      </c>
      <c r="AC119" s="1005"/>
      <c r="AD119" s="997"/>
      <c r="AE119" s="1004">
        <f>ROUND(SUM(AE109:AE118),1)</f>
        <v>5059.8999999999996</v>
      </c>
      <c r="AF119" s="995"/>
      <c r="AG119" s="995"/>
      <c r="AH119" s="1004">
        <f>ROUND(SUM(AH109:AH118),1)</f>
        <v>971.4</v>
      </c>
      <c r="AI119" s="977"/>
      <c r="AJ119" s="72">
        <f t="shared" si="20"/>
        <v>0.192</v>
      </c>
      <c r="AK119" s="793"/>
      <c r="AL119" s="793"/>
    </row>
    <row r="120" spans="1:44" ht="16.5" customHeight="1">
      <c r="A120" s="429" t="s">
        <v>37</v>
      </c>
      <c r="B120" s="429"/>
      <c r="C120" s="999"/>
      <c r="D120" s="987"/>
      <c r="E120" s="999"/>
      <c r="F120" s="987"/>
      <c r="G120" s="999"/>
      <c r="H120" s="987"/>
      <c r="I120" s="999"/>
      <c r="J120" s="987"/>
      <c r="K120" s="999"/>
      <c r="L120" s="987"/>
      <c r="M120" s="999"/>
      <c r="N120" s="987"/>
      <c r="O120" s="999"/>
      <c r="P120" s="987"/>
      <c r="Q120" s="999"/>
      <c r="R120" s="987"/>
      <c r="S120" s="999"/>
      <c r="T120" s="987"/>
      <c r="U120" s="999"/>
      <c r="V120" s="987"/>
      <c r="W120" s="999"/>
      <c r="X120" s="987"/>
      <c r="Y120" s="999"/>
      <c r="Z120" s="987"/>
      <c r="AA120" s="988"/>
      <c r="AB120" s="999"/>
      <c r="AC120" s="987"/>
      <c r="AD120" s="989"/>
      <c r="AE120" s="249"/>
      <c r="AF120" s="987"/>
      <c r="AG120" s="987"/>
      <c r="AH120" s="1159"/>
      <c r="AI120" s="429"/>
      <c r="AJ120" s="1668"/>
    </row>
    <row r="121" spans="1:44" ht="16.5" customHeight="1">
      <c r="A121" s="429" t="s">
        <v>143</v>
      </c>
      <c r="B121" s="429"/>
      <c r="C121" s="987">
        <f>+'Exhibit F'!D109+'Exhibit G'!D103+' Exhbit I '!E81</f>
        <v>1074.8</v>
      </c>
      <c r="D121" s="987"/>
      <c r="E121" s="987"/>
      <c r="F121" s="987"/>
      <c r="G121" s="987"/>
      <c r="H121" s="987"/>
      <c r="I121" s="987"/>
      <c r="J121" s="987"/>
      <c r="K121" s="987"/>
      <c r="L121" s="987"/>
      <c r="M121" s="987"/>
      <c r="N121" s="987"/>
      <c r="O121" s="987"/>
      <c r="P121" s="987"/>
      <c r="Q121" s="987"/>
      <c r="R121" s="987"/>
      <c r="S121" s="987"/>
      <c r="T121" s="987"/>
      <c r="U121" s="987"/>
      <c r="V121" s="987"/>
      <c r="W121" s="987"/>
      <c r="X121" s="987"/>
      <c r="Y121" s="2820"/>
      <c r="Z121" s="987"/>
      <c r="AA121" s="988"/>
      <c r="AB121" s="987">
        <f>ROUND(SUM(C121:Y121),1)</f>
        <v>1074.8</v>
      </c>
      <c r="AC121" s="987"/>
      <c r="AD121" s="989"/>
      <c r="AE121" s="249">
        <f>+'Exhibit F'!AF109+'Exhibit G'!AF103+' Exhbit I '!AG81</f>
        <v>1237.7</v>
      </c>
      <c r="AF121" s="987"/>
      <c r="AG121" s="987"/>
      <c r="AH121" s="987">
        <f>ROUND(SUM(AB121-AE121),1)</f>
        <v>-162.9</v>
      </c>
      <c r="AI121" s="429"/>
      <c r="AJ121" s="1816">
        <f>ROUND(IF(AE121=0,0,AH121/ABS(AE121)),3)</f>
        <v>-0.13200000000000001</v>
      </c>
    </row>
    <row r="122" spans="1:44" ht="16.5" customHeight="1">
      <c r="A122" s="429" t="s">
        <v>144</v>
      </c>
      <c r="B122" s="429"/>
      <c r="C122" s="987">
        <f>+'Exhibit F'!D110+'Exhibit G'!D104+'Exhibit H'!B51+' Exhbit I '!E82</f>
        <v>363.5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2820"/>
      <c r="Z122" s="987"/>
      <c r="AA122" s="988"/>
      <c r="AB122" s="987">
        <f>ROUND(SUM(C122:Y122),1)</f>
        <v>363.5</v>
      </c>
      <c r="AC122" s="987"/>
      <c r="AD122" s="989"/>
      <c r="AE122" s="249">
        <f>+'Exhibit F'!AF110+'Exhibit G'!AF104+'Exhibit H'!AD51+' Exhbit I '!AG82</f>
        <v>349.19999999999993</v>
      </c>
      <c r="AF122" s="987"/>
      <c r="AG122" s="987"/>
      <c r="AH122" s="987">
        <f>ROUND(SUM(AB122-AE122),1)</f>
        <v>14.3</v>
      </c>
      <c r="AI122" s="429"/>
      <c r="AJ122" s="1816">
        <f>ROUND(IF(AE122=0,0,AH122/ABS(AE122)),3)</f>
        <v>4.1000000000000002E-2</v>
      </c>
    </row>
    <row r="123" spans="1:44" ht="16.5" customHeight="1">
      <c r="A123" s="429" t="s">
        <v>40</v>
      </c>
      <c r="B123" s="429"/>
      <c r="C123" s="987">
        <f>+'Exhibit F'!D111+'Exhibit G'!D105+' Exhbit I '!E83</f>
        <v>2629.2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2820"/>
      <c r="Z123" s="987"/>
      <c r="AA123" s="988"/>
      <c r="AB123" s="987">
        <f>ROUND(SUM(C123:Y123),1)</f>
        <v>2629.2</v>
      </c>
      <c r="AC123" s="987"/>
      <c r="AD123" s="989"/>
      <c r="AE123" s="249">
        <f>+'Exhibit F'!AF111+'Exhibit G'!AF105+'Exhibit H'!AD52+' Exhbit I '!AG83</f>
        <v>663.69999999999993</v>
      </c>
      <c r="AF123" s="987"/>
      <c r="AG123" s="987"/>
      <c r="AH123" s="987">
        <f>ROUND(SUM(AB123-AE123),1)</f>
        <v>1965.5</v>
      </c>
      <c r="AI123" s="429"/>
      <c r="AJ123" s="1816">
        <f>ROUND(IF(AE123=0,0,AH123/ABS(AE123)),3)</f>
        <v>2.9609999999999999</v>
      </c>
    </row>
    <row r="124" spans="1:44" ht="16.5" customHeight="1">
      <c r="A124" s="429" t="s">
        <v>41</v>
      </c>
      <c r="B124" s="429"/>
      <c r="C124" s="999"/>
      <c r="D124" s="987"/>
      <c r="E124" s="999"/>
      <c r="F124" s="987"/>
      <c r="G124" s="999"/>
      <c r="H124" s="987"/>
      <c r="I124" s="999"/>
      <c r="J124" s="987"/>
      <c r="K124" s="999"/>
      <c r="L124" s="987"/>
      <c r="M124" s="999"/>
      <c r="N124" s="987"/>
      <c r="O124" s="999"/>
      <c r="P124" s="987"/>
      <c r="Q124" s="999"/>
      <c r="R124" s="987"/>
      <c r="S124" s="999"/>
      <c r="T124" s="987"/>
      <c r="U124" s="999"/>
      <c r="V124" s="987"/>
      <c r="W124" s="999"/>
      <c r="X124" s="987"/>
      <c r="Y124" s="2820"/>
      <c r="Z124" s="987"/>
      <c r="AA124" s="988"/>
      <c r="AB124" s="987"/>
      <c r="AC124" s="987"/>
      <c r="AD124" s="989"/>
      <c r="AE124" s="999"/>
      <c r="AF124" s="987"/>
      <c r="AG124" s="987"/>
      <c r="AH124" s="987"/>
      <c r="AI124" s="429"/>
      <c r="AJ124" s="1884"/>
    </row>
    <row r="125" spans="1:44" ht="16.5" customHeight="1">
      <c r="A125" s="429" t="s">
        <v>42</v>
      </c>
      <c r="B125" s="429"/>
      <c r="C125" s="987">
        <f>+'Exhibit H'!B53</f>
        <v>113.3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2820"/>
      <c r="Z125" s="987"/>
      <c r="AA125" s="988"/>
      <c r="AB125" s="987">
        <f>ROUND(SUM(C125:Y125),1)</f>
        <v>113.3</v>
      </c>
      <c r="AC125" s="987"/>
      <c r="AD125" s="989"/>
      <c r="AE125" s="249">
        <f>+'Exhibit H'!AD53</f>
        <v>165.9</v>
      </c>
      <c r="AF125" s="987"/>
      <c r="AG125" s="987"/>
      <c r="AH125" s="987">
        <f>ROUND(SUM(AB125-AE125),1)</f>
        <v>-52.6</v>
      </c>
      <c r="AI125" s="429"/>
      <c r="AJ125" s="1816">
        <f>ROUND(IF(AE125=0,0,AH125/ABS(AE125)),3)</f>
        <v>-0.317</v>
      </c>
    </row>
    <row r="126" spans="1:44" ht="16.5" customHeight="1">
      <c r="A126" s="1003" t="s">
        <v>145</v>
      </c>
      <c r="B126" s="429"/>
      <c r="C126" s="992">
        <f>+'Exhibit G'!D106+' Exhbit I '!E84</f>
        <v>313.60000000000002</v>
      </c>
      <c r="D126" s="987"/>
      <c r="E126" s="992"/>
      <c r="F126" s="987"/>
      <c r="G126" s="992"/>
      <c r="H126" s="987"/>
      <c r="I126" s="992"/>
      <c r="J126" s="987"/>
      <c r="K126" s="992"/>
      <c r="L126" s="987"/>
      <c r="M126" s="992"/>
      <c r="N126" s="987"/>
      <c r="O126" s="992"/>
      <c r="P126" s="987"/>
      <c r="Q126" s="992"/>
      <c r="R126" s="987"/>
      <c r="S126" s="992"/>
      <c r="T126" s="987"/>
      <c r="U126" s="992"/>
      <c r="V126" s="987"/>
      <c r="W126" s="992"/>
      <c r="X126" s="987"/>
      <c r="Y126" s="2821"/>
      <c r="Z126" s="987"/>
      <c r="AA126" s="988"/>
      <c r="AB126" s="991">
        <f>ROUND(SUM(C126:Y126),1)</f>
        <v>313.60000000000002</v>
      </c>
      <c r="AC126" s="987"/>
      <c r="AD126" s="989"/>
      <c r="AE126" s="1002">
        <f>+'Exhibit G'!AF106+' Exhbit I '!AG84</f>
        <v>288.89999999999998</v>
      </c>
      <c r="AF126" s="987"/>
      <c r="AG126" s="987"/>
      <c r="AH126" s="991">
        <f>ROUND(SUM(AB126-AE126),1)</f>
        <v>24.7</v>
      </c>
      <c r="AI126" s="429"/>
      <c r="AJ126" s="2560">
        <f>ROUND(IF(AE126=0,0,AH126/ABS(AE126)),3)</f>
        <v>8.5000000000000006E-2</v>
      </c>
    </row>
    <row r="127" spans="1:44" ht="16.5" customHeight="1">
      <c r="A127" s="429"/>
      <c r="B127" s="429"/>
      <c r="C127" s="999"/>
      <c r="D127" s="987"/>
      <c r="E127" s="999"/>
      <c r="F127" s="987"/>
      <c r="G127" s="999"/>
      <c r="H127" s="987"/>
      <c r="I127" s="999"/>
      <c r="J127" s="987"/>
      <c r="K127" s="999"/>
      <c r="L127" s="987"/>
      <c r="M127" s="999"/>
      <c r="N127" s="987"/>
      <c r="O127" s="999"/>
      <c r="P127" s="987"/>
      <c r="Q127" s="999"/>
      <c r="R127" s="987"/>
      <c r="S127" s="999"/>
      <c r="T127" s="987"/>
      <c r="U127" s="999"/>
      <c r="V127" s="987"/>
      <c r="W127" s="999"/>
      <c r="X127" s="987"/>
      <c r="Y127" s="999"/>
      <c r="Z127" s="987"/>
      <c r="AA127" s="988"/>
      <c r="AB127" s="999"/>
      <c r="AC127" s="987"/>
      <c r="AD127" s="989"/>
      <c r="AE127" s="999"/>
      <c r="AF127" s="987"/>
      <c r="AG127" s="987"/>
      <c r="AH127" s="999"/>
      <c r="AI127" s="429"/>
      <c r="AJ127" s="1254"/>
    </row>
    <row r="128" spans="1:44" ht="16.5" customHeight="1">
      <c r="A128" s="409" t="s">
        <v>60</v>
      </c>
      <c r="B128" s="429"/>
      <c r="C128" s="994">
        <f>ROUND(SUM(C119:C126),1)</f>
        <v>10525.7</v>
      </c>
      <c r="D128" s="995"/>
      <c r="E128" s="994">
        <f>ROUND(SUM(E119:E126),1)</f>
        <v>0</v>
      </c>
      <c r="F128" s="995"/>
      <c r="G128" s="994">
        <f>ROUND(SUM(G119:G126),1)</f>
        <v>0</v>
      </c>
      <c r="H128" s="995"/>
      <c r="I128" s="994">
        <f>ROUND(SUM(I119:I126),1)</f>
        <v>0</v>
      </c>
      <c r="J128" s="995"/>
      <c r="K128" s="994">
        <f>ROUND(SUM(K119:K126),1)</f>
        <v>0</v>
      </c>
      <c r="L128" s="995"/>
      <c r="M128" s="994">
        <f>ROUND(SUM(M119:M126),1)</f>
        <v>0</v>
      </c>
      <c r="N128" s="995"/>
      <c r="O128" s="994">
        <f>ROUND(SUM(O119:O126),1)</f>
        <v>0</v>
      </c>
      <c r="P128" s="995"/>
      <c r="Q128" s="994">
        <f>ROUND(SUM(Q119:Q126),1)</f>
        <v>0</v>
      </c>
      <c r="R128" s="995"/>
      <c r="S128" s="994">
        <f>ROUND(SUM(S119:S126),1)</f>
        <v>0</v>
      </c>
      <c r="T128" s="995"/>
      <c r="U128" s="994">
        <f>ROUND(SUM(U119:U126),1)</f>
        <v>0</v>
      </c>
      <c r="V128" s="995"/>
      <c r="W128" s="994">
        <f>ROUND(SUM(W119:W126),1)</f>
        <v>0</v>
      </c>
      <c r="X128" s="995"/>
      <c r="Y128" s="994">
        <f>ROUND(SUM(Y119:Y126),1)</f>
        <v>0</v>
      </c>
      <c r="Z128" s="995"/>
      <c r="AA128" s="996"/>
      <c r="AB128" s="994">
        <f>ROUND(SUM(AB119:AB126),1)</f>
        <v>10525.7</v>
      </c>
      <c r="AC128" s="995"/>
      <c r="AD128" s="997"/>
      <c r="AE128" s="994">
        <f>ROUND(SUM(AE119:AE126),1)</f>
        <v>7765.3</v>
      </c>
      <c r="AF128" s="995"/>
      <c r="AG128" s="995"/>
      <c r="AH128" s="994">
        <f>ROUND(SUM(AB128-AE128),1)</f>
        <v>2760.4</v>
      </c>
      <c r="AI128" s="977"/>
      <c r="AJ128" s="1913">
        <f>ROUND(IF(AE128=0,0,AH128/ABS(AE128)),3)</f>
        <v>0.35499999999999998</v>
      </c>
      <c r="AK128" s="793"/>
      <c r="AL128" s="793"/>
      <c r="AM128" s="793"/>
      <c r="AN128" s="793"/>
      <c r="AO128" s="793"/>
      <c r="AP128" s="793"/>
      <c r="AQ128" s="793"/>
      <c r="AR128" s="793"/>
    </row>
    <row r="129" spans="1:59" ht="16.5" customHeight="1">
      <c r="A129" s="409"/>
      <c r="B129" s="429"/>
      <c r="C129" s="987"/>
      <c r="D129" s="987"/>
      <c r="E129" s="987"/>
      <c r="F129" s="987"/>
      <c r="G129" s="987"/>
      <c r="H129" s="987"/>
      <c r="I129" s="987"/>
      <c r="J129" s="987"/>
      <c r="K129" s="987"/>
      <c r="L129" s="987"/>
      <c r="M129" s="987"/>
      <c r="N129" s="987"/>
      <c r="O129" s="987"/>
      <c r="P129" s="987"/>
      <c r="Q129" s="987"/>
      <c r="R129" s="987"/>
      <c r="S129" s="987"/>
      <c r="T129" s="987"/>
      <c r="U129" s="987"/>
      <c r="V129" s="987"/>
      <c r="W129" s="987"/>
      <c r="X129" s="987"/>
      <c r="Y129" s="987"/>
      <c r="Z129" s="987"/>
      <c r="AA129" s="988"/>
      <c r="AB129" s="987"/>
      <c r="AC129" s="987"/>
      <c r="AD129" s="989"/>
      <c r="AE129" s="987"/>
      <c r="AF129" s="987"/>
      <c r="AG129" s="987"/>
      <c r="AH129" s="1159"/>
      <c r="AI129" s="429"/>
      <c r="AJ129" s="1668"/>
    </row>
    <row r="130" spans="1:59" ht="16.5" customHeight="1">
      <c r="A130" s="409" t="s">
        <v>45</v>
      </c>
      <c r="B130" s="429"/>
      <c r="C130" s="987"/>
      <c r="D130" s="987"/>
      <c r="E130" s="987"/>
      <c r="F130" s="987"/>
      <c r="G130" s="987"/>
      <c r="H130" s="987"/>
      <c r="I130" s="987"/>
      <c r="J130" s="987"/>
      <c r="K130" s="987"/>
      <c r="L130" s="987"/>
      <c r="M130" s="987"/>
      <c r="N130" s="987"/>
      <c r="O130" s="987"/>
      <c r="P130" s="987"/>
      <c r="Q130" s="987"/>
      <c r="R130" s="987"/>
      <c r="S130" s="987"/>
      <c r="T130" s="987"/>
      <c r="U130" s="987"/>
      <c r="V130" s="987"/>
      <c r="W130" s="987"/>
      <c r="X130" s="987"/>
      <c r="Y130" s="987"/>
      <c r="Z130" s="987"/>
      <c r="AA130" s="988"/>
      <c r="AB130" s="987"/>
      <c r="AC130" s="987"/>
      <c r="AD130" s="989"/>
      <c r="AE130" s="987"/>
      <c r="AF130" s="987"/>
      <c r="AG130" s="987"/>
      <c r="AH130" s="1159"/>
      <c r="AI130" s="429"/>
      <c r="AJ130" s="1668"/>
    </row>
    <row r="131" spans="1:59" ht="16.5" customHeight="1">
      <c r="A131" s="409" t="s">
        <v>46</v>
      </c>
      <c r="B131" s="429"/>
      <c r="C131" s="994">
        <f>ROUND(SUM(C105-C128),1)</f>
        <v>2426.4</v>
      </c>
      <c r="D131" s="995"/>
      <c r="E131" s="994">
        <f>ROUND(SUM(E105-E128),1)</f>
        <v>0</v>
      </c>
      <c r="F131" s="995"/>
      <c r="G131" s="994">
        <f>ROUND(SUM(G105-G128),1)</f>
        <v>0</v>
      </c>
      <c r="H131" s="995"/>
      <c r="I131" s="994">
        <f>ROUND(SUM(I105-I128),1)</f>
        <v>0</v>
      </c>
      <c r="J131" s="995"/>
      <c r="K131" s="994">
        <f>ROUND(SUM(K105-K128),1)</f>
        <v>0</v>
      </c>
      <c r="L131" s="995"/>
      <c r="M131" s="994">
        <f>ROUND(SUM(M105-M128),1)</f>
        <v>0</v>
      </c>
      <c r="N131" s="995"/>
      <c r="O131" s="994">
        <f>ROUND(SUM(O105-O128),1)</f>
        <v>0</v>
      </c>
      <c r="P131" s="995"/>
      <c r="Q131" s="994">
        <f>ROUND(SUM(Q105-Q128),1)</f>
        <v>0</v>
      </c>
      <c r="R131" s="995"/>
      <c r="S131" s="994">
        <f>ROUND(SUM(S105-S128),1)</f>
        <v>0</v>
      </c>
      <c r="T131" s="995"/>
      <c r="U131" s="994">
        <f>ROUND(SUM(U105-U128),1)</f>
        <v>0</v>
      </c>
      <c r="V131" s="995"/>
      <c r="W131" s="994">
        <f>ROUND(SUM(W105-W128),1)</f>
        <v>0</v>
      </c>
      <c r="X131" s="995"/>
      <c r="Y131" s="994">
        <f>ROUND(SUM(Y105-Y128),1)</f>
        <v>0</v>
      </c>
      <c r="Z131" s="995"/>
      <c r="AA131" s="996"/>
      <c r="AB131" s="994">
        <f>ROUND(SUM(AB105-AB128),1)</f>
        <v>2426.4</v>
      </c>
      <c r="AC131" s="995"/>
      <c r="AD131" s="997"/>
      <c r="AE131" s="994">
        <f>ROUND(SUM(AE105-AE128),1)</f>
        <v>3311</v>
      </c>
      <c r="AF131" s="995"/>
      <c r="AG131" s="995"/>
      <c r="AH131" s="1006">
        <f>ROUND(SUM(AB131-AE131),1)</f>
        <v>-884.6</v>
      </c>
      <c r="AI131" s="977"/>
      <c r="AJ131" s="2695">
        <f>ROUND(IF(AE131=0,0,AH131/ABS(AE131)),3)</f>
        <v>-0.26700000000000002</v>
      </c>
      <c r="AK131" s="793"/>
      <c r="AL131" s="793"/>
    </row>
    <row r="132" spans="1:59" ht="16.5" customHeight="1">
      <c r="A132" s="367"/>
      <c r="B132" s="429"/>
      <c r="C132" s="998"/>
      <c r="D132" s="987"/>
      <c r="E132" s="998"/>
      <c r="F132" s="987"/>
      <c r="G132" s="998"/>
      <c r="H132" s="987"/>
      <c r="I132" s="998"/>
      <c r="J132" s="987"/>
      <c r="K132" s="998"/>
      <c r="L132" s="987"/>
      <c r="M132" s="998"/>
      <c r="N132" s="987"/>
      <c r="O132" s="998"/>
      <c r="P132" s="987"/>
      <c r="Q132" s="998"/>
      <c r="R132" s="987"/>
      <c r="S132" s="998"/>
      <c r="T132" s="987"/>
      <c r="U132" s="998"/>
      <c r="V132" s="987"/>
      <c r="W132" s="998"/>
      <c r="X132" s="987"/>
      <c r="Y132" s="998"/>
      <c r="Z132" s="1001"/>
      <c r="AA132" s="988"/>
      <c r="AB132" s="998"/>
      <c r="AC132" s="987"/>
      <c r="AD132" s="989"/>
      <c r="AE132" s="998"/>
      <c r="AF132" s="987"/>
      <c r="AG132" s="987"/>
      <c r="AH132" s="1159"/>
      <c r="AI132" s="429"/>
      <c r="AJ132" s="1668"/>
    </row>
    <row r="133" spans="1:59" ht="16.5" customHeight="1">
      <c r="A133" s="409" t="s">
        <v>47</v>
      </c>
      <c r="B133" s="429"/>
      <c r="C133" s="999"/>
      <c r="D133" s="987"/>
      <c r="E133" s="1007"/>
      <c r="F133" s="1008"/>
      <c r="G133" s="1007"/>
      <c r="H133" s="1008"/>
      <c r="I133" s="1007"/>
      <c r="J133" s="1008"/>
      <c r="K133" s="1007"/>
      <c r="L133" s="1008"/>
      <c r="M133" s="1007"/>
      <c r="N133" s="1008"/>
      <c r="O133" s="1007"/>
      <c r="P133" s="1008"/>
      <c r="Q133" s="1007"/>
      <c r="R133" s="1008"/>
      <c r="S133" s="1007"/>
      <c r="T133" s="1008"/>
      <c r="U133" s="1007"/>
      <c r="V133" s="987"/>
      <c r="W133" s="1007"/>
      <c r="X133" s="987"/>
      <c r="Y133" s="999"/>
      <c r="Z133" s="990"/>
      <c r="AA133" s="988"/>
      <c r="AB133" s="999"/>
      <c r="AC133" s="990"/>
      <c r="AD133" s="987"/>
      <c r="AE133" s="999"/>
      <c r="AF133" s="987"/>
      <c r="AG133" s="987"/>
      <c r="AH133" s="1159"/>
      <c r="AI133" s="429"/>
      <c r="AJ133" s="1668"/>
    </row>
    <row r="134" spans="1:59" ht="16.5" customHeight="1">
      <c r="A134" s="429" t="s">
        <v>48</v>
      </c>
      <c r="B134" s="429"/>
      <c r="C134" s="1009">
        <v>0</v>
      </c>
      <c r="D134" s="987"/>
      <c r="E134" s="1009"/>
      <c r="F134" s="1008"/>
      <c r="G134" s="1009"/>
      <c r="H134" s="1008"/>
      <c r="I134" s="1009"/>
      <c r="J134" s="1008"/>
      <c r="K134" s="1009"/>
      <c r="L134" s="1008"/>
      <c r="M134" s="1009"/>
      <c r="N134" s="1008"/>
      <c r="O134" s="1009"/>
      <c r="P134" s="1008"/>
      <c r="Q134" s="1009"/>
      <c r="R134" s="1008"/>
      <c r="S134" s="1009"/>
      <c r="T134" s="1008"/>
      <c r="U134" s="1009"/>
      <c r="V134" s="987"/>
      <c r="W134" s="1009"/>
      <c r="X134" s="987"/>
      <c r="Y134" s="1009"/>
      <c r="Z134" s="987"/>
      <c r="AA134" s="988"/>
      <c r="AB134" s="987">
        <f>ROUND(SUM(C134:Y134),1)</f>
        <v>0</v>
      </c>
      <c r="AC134" s="987"/>
      <c r="AD134" s="989"/>
      <c r="AE134" s="1010">
        <v>0</v>
      </c>
      <c r="AF134" s="987"/>
      <c r="AG134" s="987"/>
      <c r="AH134" s="987">
        <f>ROUND(SUM(AB134-AE134),1)</f>
        <v>0</v>
      </c>
      <c r="AI134" s="979"/>
      <c r="AJ134" s="2741">
        <f>ROUND(IF(AE134=0,0,AH134/ABS(AE134)),3)</f>
        <v>0</v>
      </c>
    </row>
    <row r="135" spans="1:59" ht="16.5" customHeight="1">
      <c r="A135" s="429" t="s">
        <v>49</v>
      </c>
      <c r="B135" s="429"/>
      <c r="C135" s="1009">
        <f>+'Exhibit F'!D120+'Exhibit F'!D121+'Exhibit F'!D122+'Exhibit F'!D123+'Exhibit G'!D114+'Exhibit H'!B62+' Exhbit I '!E93</f>
        <v>3182.1</v>
      </c>
      <c r="D135" s="987"/>
      <c r="E135" s="1009"/>
      <c r="F135" s="987"/>
      <c r="G135" s="1009"/>
      <c r="H135" s="987"/>
      <c r="I135" s="1009"/>
      <c r="J135" s="987"/>
      <c r="K135" s="1009"/>
      <c r="L135" s="987"/>
      <c r="M135" s="1009"/>
      <c r="N135" s="987"/>
      <c r="O135" s="1009"/>
      <c r="P135" s="987"/>
      <c r="Q135" s="1009"/>
      <c r="R135" s="987"/>
      <c r="S135" s="1009"/>
      <c r="T135" s="987"/>
      <c r="U135" s="1009"/>
      <c r="V135" s="987"/>
      <c r="W135" s="1009"/>
      <c r="X135" s="987"/>
      <c r="Y135" s="2822"/>
      <c r="Z135" s="987"/>
      <c r="AA135" s="988"/>
      <c r="AB135" s="987">
        <f>ROUND(SUM(C135:Y135),1)</f>
        <v>3182.1</v>
      </c>
      <c r="AC135" s="987"/>
      <c r="AD135" s="988"/>
      <c r="AE135" s="987">
        <f>+'Exhibit A'!AD49</f>
        <v>4617.6000000000004</v>
      </c>
      <c r="AF135" s="987"/>
      <c r="AG135" s="987"/>
      <c r="AH135" s="987">
        <f>ROUND(SUM(AB135-AE135),1)</f>
        <v>-1435.5</v>
      </c>
      <c r="AI135" s="429"/>
      <c r="AJ135" s="2741">
        <f>ROUND(IF(AE135=0,0,AH135/ABS(AE135)),3)</f>
        <v>-0.311</v>
      </c>
    </row>
    <row r="136" spans="1:59" ht="16.5" customHeight="1">
      <c r="A136" s="429" t="s">
        <v>50</v>
      </c>
      <c r="C136" s="1119">
        <f>+'Exhibit F'!D124+'Exhibit F'!D125+'Exhibit F'!D126+'Exhibit F'!D127+'Exhibit F'!D128+'Exhibit G'!D115+'Exhibit H'!B63+' Exhbit I '!E94</f>
        <v>-3187.3999999999996</v>
      </c>
      <c r="D136" s="248"/>
      <c r="E136" s="1119"/>
      <c r="F136" s="248"/>
      <c r="G136" s="1119"/>
      <c r="H136" s="248"/>
      <c r="I136" s="1119"/>
      <c r="J136" s="248"/>
      <c r="K136" s="1119"/>
      <c r="L136" s="248"/>
      <c r="M136" s="1119"/>
      <c r="N136" s="248"/>
      <c r="O136" s="1119"/>
      <c r="P136" s="248"/>
      <c r="Q136" s="1119"/>
      <c r="R136" s="248"/>
      <c r="S136" s="1119"/>
      <c r="T136" s="248"/>
      <c r="U136" s="1119"/>
      <c r="V136" s="248"/>
      <c r="W136" s="1119"/>
      <c r="X136" s="248"/>
      <c r="Y136" s="2823"/>
      <c r="Z136" s="248"/>
      <c r="AA136" s="1011"/>
      <c r="AB136" s="991">
        <f>ROUND(SUM(C136:Y136),1)</f>
        <v>-3187.4</v>
      </c>
      <c r="AC136" s="248"/>
      <c r="AD136" s="1011"/>
      <c r="AE136" s="991">
        <f>+'Exhibit A'!AD50</f>
        <v>-4620.6000000000004</v>
      </c>
      <c r="AF136" s="248"/>
      <c r="AG136" s="248"/>
      <c r="AH136" s="991">
        <f>ROUND(SUM(-AB136+AE136),1)</f>
        <v>-1433.2</v>
      </c>
      <c r="AI136" s="1668"/>
      <c r="AJ136" s="2744">
        <f>ROUND(IF(AE136=0,0,AH136/ABS(AE136)),3)</f>
        <v>-0.31</v>
      </c>
      <c r="AK136" s="2824"/>
    </row>
    <row r="137" spans="1:59" ht="16.5" customHeight="1">
      <c r="A137" s="429"/>
      <c r="C137" s="999"/>
      <c r="D137" s="248"/>
      <c r="E137" s="999"/>
      <c r="F137" s="248"/>
      <c r="G137" s="999"/>
      <c r="H137" s="248"/>
      <c r="I137" s="999"/>
      <c r="J137" s="248"/>
      <c r="K137" s="999"/>
      <c r="L137" s="248"/>
      <c r="M137" s="999"/>
      <c r="N137" s="248"/>
      <c r="O137" s="999"/>
      <c r="P137" s="248"/>
      <c r="Q137" s="999"/>
      <c r="R137" s="248"/>
      <c r="S137" s="999"/>
      <c r="T137" s="248"/>
      <c r="U137" s="999"/>
      <c r="V137" s="248"/>
      <c r="W137" s="999"/>
      <c r="X137" s="248"/>
      <c r="Y137" s="999"/>
      <c r="Z137" s="248"/>
      <c r="AA137" s="1011"/>
      <c r="AB137" s="999"/>
      <c r="AC137" s="248"/>
      <c r="AD137" s="1011"/>
      <c r="AE137" s="999"/>
      <c r="AF137" s="248"/>
      <c r="AG137" s="248"/>
      <c r="AH137" s="999"/>
      <c r="AI137" s="1668"/>
      <c r="AJ137" s="1254"/>
    </row>
    <row r="138" spans="1:59" ht="16.5" customHeight="1">
      <c r="A138" s="409" t="s">
        <v>51</v>
      </c>
      <c r="C138" s="994">
        <f>ROUND(SUM(C134:C136),1)</f>
        <v>-5.3</v>
      </c>
      <c r="D138" s="1012"/>
      <c r="E138" s="994">
        <f>ROUND(SUM(E134:E136),1)</f>
        <v>0</v>
      </c>
      <c r="F138" s="1012"/>
      <c r="G138" s="994">
        <f>ROUND(SUM(G134:G136),1)</f>
        <v>0</v>
      </c>
      <c r="H138" s="1012"/>
      <c r="I138" s="994">
        <f>ROUND(SUM(I134:I136),1)</f>
        <v>0</v>
      </c>
      <c r="J138" s="1012"/>
      <c r="K138" s="994">
        <f>ROUND(SUM(K134:K136),1)</f>
        <v>0</v>
      </c>
      <c r="L138" s="1012"/>
      <c r="M138" s="994">
        <f>ROUND(SUM(M134:M136),1)</f>
        <v>0</v>
      </c>
      <c r="N138" s="1012"/>
      <c r="O138" s="994">
        <f>ROUND(SUM(O134:O136),1)</f>
        <v>0</v>
      </c>
      <c r="P138" s="1012"/>
      <c r="Q138" s="994">
        <f>ROUND(SUM(Q134:Q136),1)</f>
        <v>0</v>
      </c>
      <c r="R138" s="1012"/>
      <c r="S138" s="994">
        <f>ROUND(SUM(S134:S136),1)</f>
        <v>0</v>
      </c>
      <c r="T138" s="1012"/>
      <c r="U138" s="994">
        <f>ROUND(SUM(U134:U136),1)</f>
        <v>0</v>
      </c>
      <c r="V138" s="1012"/>
      <c r="W138" s="994">
        <f>ROUND(SUM(W134:W136),1)</f>
        <v>0</v>
      </c>
      <c r="X138" s="1012"/>
      <c r="Y138" s="994">
        <f>ROUND(SUM(Y134:Y136),1)</f>
        <v>0</v>
      </c>
      <c r="Z138" s="1012"/>
      <c r="AA138" s="1013"/>
      <c r="AB138" s="994">
        <f>ROUND(SUM(AB134:AB137),1)</f>
        <v>-5.3</v>
      </c>
      <c r="AC138" s="1012"/>
      <c r="AD138" s="1013"/>
      <c r="AE138" s="994">
        <f>SUM(AE134:AE137)</f>
        <v>-3</v>
      </c>
      <c r="AF138" s="1012"/>
      <c r="AG138" s="1012"/>
      <c r="AH138" s="994">
        <f>ROUND(SUM(+AH135-AH136+AH134),1)</f>
        <v>-2.2999999999999998</v>
      </c>
      <c r="AI138" s="409"/>
      <c r="AJ138" s="1913">
        <f>ROUND(IF(AE138=0,0,AH138/ABS(AE138)),3)</f>
        <v>-0.76700000000000002</v>
      </c>
      <c r="AK138" s="793"/>
      <c r="AL138" s="793"/>
    </row>
    <row r="139" spans="1:59" ht="16.5" customHeight="1">
      <c r="A139" s="367"/>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1011"/>
      <c r="AB139" s="248"/>
      <c r="AC139" s="248"/>
      <c r="AD139" s="1011"/>
      <c r="AE139" s="248"/>
      <c r="AF139" s="248"/>
      <c r="AG139" s="248"/>
      <c r="AH139" s="1159"/>
      <c r="AI139" s="1668"/>
      <c r="AJ139" s="1668"/>
    </row>
    <row r="140" spans="1:59" ht="16.5" customHeight="1">
      <c r="A140" s="478" t="s">
        <v>45</v>
      </c>
      <c r="C140" s="999"/>
      <c r="D140" s="248"/>
      <c r="E140" s="999"/>
      <c r="F140" s="248"/>
      <c r="G140" s="999"/>
      <c r="H140" s="248"/>
      <c r="I140" s="999"/>
      <c r="J140" s="248"/>
      <c r="K140" s="999"/>
      <c r="L140" s="248"/>
      <c r="M140" s="999"/>
      <c r="N140" s="248"/>
      <c r="O140" s="999"/>
      <c r="P140" s="248"/>
      <c r="Q140" s="999"/>
      <c r="R140" s="248"/>
      <c r="S140" s="999"/>
      <c r="T140" s="248"/>
      <c r="U140" s="999"/>
      <c r="V140" s="248"/>
      <c r="W140" s="999"/>
      <c r="X140" s="248"/>
      <c r="Y140" s="999"/>
      <c r="Z140" s="248"/>
      <c r="AA140" s="1011"/>
      <c r="AB140" s="999"/>
      <c r="AC140" s="248"/>
      <c r="AD140" s="1011"/>
      <c r="AE140" s="999"/>
      <c r="AF140" s="248"/>
      <c r="AG140" s="248"/>
      <c r="AH140" s="1159"/>
      <c r="AI140" s="1668"/>
      <c r="AJ140" s="1668"/>
    </row>
    <row r="141" spans="1:59" ht="16.5" customHeight="1">
      <c r="A141" s="478" t="s">
        <v>52</v>
      </c>
      <c r="C141" s="995"/>
      <c r="D141" s="1012"/>
      <c r="E141" s="995"/>
      <c r="F141" s="1012"/>
      <c r="G141" s="995"/>
      <c r="H141" s="1012"/>
      <c r="I141" s="995"/>
      <c r="J141" s="1012"/>
      <c r="K141" s="995"/>
      <c r="L141" s="1012"/>
      <c r="M141" s="995"/>
      <c r="N141" s="1012"/>
      <c r="O141" s="995"/>
      <c r="P141" s="1012"/>
      <c r="Q141" s="995"/>
      <c r="R141" s="1012"/>
      <c r="S141" s="995"/>
      <c r="T141" s="1012"/>
      <c r="U141" s="995"/>
      <c r="V141" s="1012"/>
      <c r="W141" s="995"/>
      <c r="X141" s="1012"/>
      <c r="Y141" s="995"/>
      <c r="Z141" s="1012"/>
      <c r="AA141" s="1013"/>
      <c r="AB141" s="995"/>
      <c r="AC141" s="1012"/>
      <c r="AD141" s="1013"/>
      <c r="AE141" s="995"/>
      <c r="AF141" s="1012"/>
      <c r="AG141" s="1012"/>
      <c r="AH141" s="1838"/>
      <c r="AI141" s="409"/>
      <c r="AJ141" s="409"/>
      <c r="AK141" s="793"/>
      <c r="AL141" s="793"/>
      <c r="AM141" s="793"/>
      <c r="AN141" s="793"/>
      <c r="AO141" s="793"/>
      <c r="AP141" s="793"/>
      <c r="AQ141" s="793"/>
      <c r="AR141" s="793"/>
      <c r="AS141" s="793"/>
      <c r="AT141" s="793"/>
      <c r="AU141" s="793"/>
      <c r="AV141" s="793"/>
      <c r="AW141" s="793"/>
      <c r="AX141" s="793"/>
      <c r="AY141" s="793"/>
      <c r="AZ141" s="793"/>
      <c r="BA141" s="793"/>
      <c r="BB141" s="793"/>
      <c r="BC141" s="793"/>
      <c r="BD141" s="793"/>
      <c r="BE141" s="793"/>
      <c r="BF141" s="793"/>
      <c r="BG141" s="793"/>
    </row>
    <row r="142" spans="1:59" ht="16.5" customHeight="1">
      <c r="A142" s="478" t="s">
        <v>53</v>
      </c>
      <c r="C142" s="1014">
        <f>ROUND(SUM(C131+C138),1)</f>
        <v>2421.1</v>
      </c>
      <c r="D142" s="1012"/>
      <c r="E142" s="1014">
        <f>ROUND(SUM(E131+E138),1)</f>
        <v>0</v>
      </c>
      <c r="F142" s="1012"/>
      <c r="G142" s="1014">
        <f>ROUND(SUM(G131+G138),1)</f>
        <v>0</v>
      </c>
      <c r="H142" s="1012"/>
      <c r="I142" s="1014">
        <f>ROUND(SUM(I131+I138),1)</f>
        <v>0</v>
      </c>
      <c r="J142" s="1012"/>
      <c r="K142" s="1014">
        <f>ROUND(SUM(K131+K138),1)</f>
        <v>0</v>
      </c>
      <c r="L142" s="1012"/>
      <c r="M142" s="1014">
        <f>ROUND(SUM(M131+M138),1)</f>
        <v>0</v>
      </c>
      <c r="N142" s="1012"/>
      <c r="O142" s="1014">
        <f>ROUND(SUM(O131+O138),1)</f>
        <v>0</v>
      </c>
      <c r="P142" s="1012"/>
      <c r="Q142" s="1014">
        <f>ROUND(SUM(Q131+Q138),1)</f>
        <v>0</v>
      </c>
      <c r="R142" s="1012"/>
      <c r="S142" s="1014">
        <f>ROUND(SUM(S131+S138),1)</f>
        <v>0</v>
      </c>
      <c r="T142" s="1012"/>
      <c r="U142" s="1014">
        <f>ROUND(SUM(U131+U138),1)</f>
        <v>0</v>
      </c>
      <c r="V142" s="1012"/>
      <c r="W142" s="1014">
        <f>ROUND(SUM(W131+W138),1)</f>
        <v>0</v>
      </c>
      <c r="X142" s="1012"/>
      <c r="Y142" s="1014">
        <f>ROUND(SUM(Y131+Y138),1)</f>
        <v>0</v>
      </c>
      <c r="Z142" s="1012"/>
      <c r="AA142" s="1013"/>
      <c r="AB142" s="1014">
        <f>ROUND(SUM(AB131+AB138),1)</f>
        <v>2421.1</v>
      </c>
      <c r="AC142" s="1012"/>
      <c r="AD142" s="1013"/>
      <c r="AE142" s="1014">
        <f>AE131+AE138</f>
        <v>3308</v>
      </c>
      <c r="AF142" s="1012"/>
      <c r="AG142" s="1012"/>
      <c r="AH142" s="1006">
        <f>ROUND(SUM(AB142-AE142),1)</f>
        <v>-886.9</v>
      </c>
      <c r="AI142" s="409"/>
      <c r="AJ142" s="2695">
        <f>ROUND(IF(AE142=0,0,AH142/ABS(AE142)),3)</f>
        <v>-0.26800000000000002</v>
      </c>
      <c r="AK142" s="793"/>
      <c r="AL142" s="793"/>
      <c r="AM142" s="793"/>
      <c r="AN142" s="793"/>
      <c r="AO142" s="793"/>
      <c r="AP142" s="793"/>
      <c r="AQ142" s="793"/>
      <c r="AR142" s="793"/>
      <c r="AS142" s="793"/>
      <c r="AT142" s="793"/>
      <c r="AU142" s="793"/>
      <c r="AV142" s="793"/>
      <c r="AW142" s="793"/>
      <c r="AX142" s="793"/>
      <c r="AY142" s="793"/>
      <c r="AZ142" s="793"/>
      <c r="BA142" s="793"/>
      <c r="BB142" s="793"/>
      <c r="BC142" s="793"/>
      <c r="BD142" s="793"/>
      <c r="BE142" s="793"/>
      <c r="BF142" s="793"/>
      <c r="BG142" s="793"/>
    </row>
    <row r="143" spans="1:59" ht="16.5" customHeight="1">
      <c r="A143" s="409"/>
      <c r="C143" s="980"/>
      <c r="E143" s="980"/>
      <c r="G143" s="980"/>
      <c r="I143" s="980"/>
      <c r="K143" s="980"/>
      <c r="M143" s="980"/>
      <c r="O143" s="980"/>
      <c r="Q143" s="980"/>
      <c r="S143" s="980"/>
      <c r="U143" s="980"/>
      <c r="W143" s="980"/>
      <c r="Y143" s="980"/>
      <c r="AA143" s="1015"/>
      <c r="AB143" s="980"/>
      <c r="AD143" s="1015"/>
      <c r="AE143" s="980"/>
      <c r="AH143" s="1668"/>
      <c r="AI143" s="1668"/>
      <c r="AJ143" s="1668"/>
    </row>
    <row r="144" spans="1:59" ht="16.5" customHeight="1" thickBot="1">
      <c r="A144" s="1016" t="s">
        <v>146</v>
      </c>
      <c r="C144" s="1017">
        <f>ROUND(SUM(C16+C142),1)</f>
        <v>14231.2</v>
      </c>
      <c r="D144" s="471"/>
      <c r="E144" s="1017">
        <f>ROUND(SUM(E16+E142),1)</f>
        <v>0</v>
      </c>
      <c r="F144" s="471"/>
      <c r="G144" s="1017">
        <f>ROUND(SUM(G16+G142),1)</f>
        <v>0</v>
      </c>
      <c r="H144" s="471"/>
      <c r="I144" s="1017">
        <f>ROUND(SUM(I16+I142),1)</f>
        <v>0</v>
      </c>
      <c r="J144" s="1018"/>
      <c r="K144" s="1017">
        <f>ROUND(SUM(K16+K142),1)</f>
        <v>0</v>
      </c>
      <c r="L144" s="1018"/>
      <c r="M144" s="1017">
        <f>ROUND(SUM(M16+M142),1)</f>
        <v>0</v>
      </c>
      <c r="N144" s="1018"/>
      <c r="O144" s="1017">
        <f>ROUND(SUM(O16+O142),1)</f>
        <v>0</v>
      </c>
      <c r="P144" s="1018"/>
      <c r="Q144" s="1017">
        <f>ROUND(SUM(Q16+Q142),1)</f>
        <v>0</v>
      </c>
      <c r="R144" s="1018"/>
      <c r="S144" s="1017">
        <f>ROUND(SUM(S16+S142),1)</f>
        <v>0</v>
      </c>
      <c r="T144" s="1018"/>
      <c r="U144" s="1017">
        <f>ROUND(SUM(U16+U142),1)</f>
        <v>0</v>
      </c>
      <c r="V144" s="1018"/>
      <c r="W144" s="1017">
        <f>ROUND(SUM(W16+W142),1)</f>
        <v>0</v>
      </c>
      <c r="X144" s="1018"/>
      <c r="Y144" s="1017">
        <f>ROUND(SUM(Y16+Y142),1)</f>
        <v>0</v>
      </c>
      <c r="Z144" s="471"/>
      <c r="AA144" s="1019"/>
      <c r="AB144" s="1017">
        <f>ROUND(SUM(AB16+AB142),1)</f>
        <v>14231.2</v>
      </c>
      <c r="AC144" s="471"/>
      <c r="AD144" s="1019"/>
      <c r="AE144" s="1017">
        <f>AE16+AE142</f>
        <v>12663.6</v>
      </c>
      <c r="AF144" s="471"/>
      <c r="AG144" s="471"/>
      <c r="AH144" s="1017">
        <f>ROUND(SUM(AB144-AE144),1)</f>
        <v>1567.6</v>
      </c>
      <c r="AI144" s="409"/>
      <c r="AJ144" s="127">
        <f>ROUND(IF(AE144=0,0,AH144/ABS(AE144)),3)</f>
        <v>0.124</v>
      </c>
      <c r="AK144" s="793"/>
    </row>
    <row r="145" spans="1:36" ht="16.5" customHeight="1" thickTop="1">
      <c r="A145" s="1020"/>
      <c r="C145" s="417"/>
      <c r="AH145" s="1668"/>
      <c r="AI145" s="1668"/>
      <c r="AJ145" s="1668"/>
    </row>
    <row r="146" spans="1:36" ht="16.5" customHeight="1">
      <c r="A146" s="680" t="s">
        <v>147</v>
      </c>
      <c r="AH146" s="1668"/>
      <c r="AI146" s="1668"/>
      <c r="AJ146" s="1668"/>
    </row>
    <row r="147" spans="1:36" ht="16.5" customHeight="1">
      <c r="A147" s="222"/>
      <c r="AH147" s="1668"/>
      <c r="AI147" s="1668"/>
      <c r="AJ147" s="1668"/>
    </row>
    <row r="148" spans="1:36" ht="16.5" customHeight="1">
      <c r="A148" s="222"/>
      <c r="AH148" s="1668"/>
      <c r="AI148" s="1668"/>
      <c r="AJ148" s="1668"/>
    </row>
    <row r="149" spans="1:36" ht="16.5" customHeight="1">
      <c r="A149" s="222"/>
      <c r="AH149" s="1668"/>
      <c r="AI149" s="1668"/>
      <c r="AJ149" s="1668"/>
    </row>
    <row r="150" spans="1:36" ht="16.5" customHeight="1">
      <c r="AH150" s="1668"/>
      <c r="AI150" s="1668"/>
      <c r="AJ150" s="1668"/>
    </row>
    <row r="151" spans="1:36" ht="16.5" customHeight="1">
      <c r="AH151" s="1668"/>
      <c r="AI151" s="1668"/>
      <c r="AJ151" s="1668"/>
    </row>
    <row r="152" spans="1:36" ht="16.5" customHeight="1">
      <c r="AH152" s="1668"/>
      <c r="AI152" s="1668"/>
      <c r="AJ152" s="1668"/>
    </row>
    <row r="153" spans="1:36" ht="16.5" customHeight="1">
      <c r="AH153" s="1668"/>
      <c r="AI153" s="1668"/>
      <c r="AJ153" s="1668"/>
    </row>
    <row r="154" spans="1:36" ht="16.5" customHeight="1">
      <c r="AH154" s="1668"/>
      <c r="AI154" s="1668"/>
      <c r="AJ154" s="1668"/>
    </row>
    <row r="155" spans="1:36" ht="16.5" customHeight="1">
      <c r="AH155" s="1668"/>
      <c r="AI155" s="1668"/>
      <c r="AJ155" s="1668"/>
    </row>
    <row r="156" spans="1:36" ht="16.5" customHeight="1">
      <c r="AH156" s="1668"/>
      <c r="AI156" s="1668"/>
      <c r="AJ156" s="1668"/>
    </row>
    <row r="157" spans="1:36" ht="16.5" customHeight="1">
      <c r="AH157" s="1668"/>
      <c r="AI157" s="1668"/>
      <c r="AJ157" s="1668"/>
    </row>
    <row r="158" spans="1:36" ht="16.5" customHeight="1">
      <c r="AH158" s="1668"/>
      <c r="AI158" s="1668"/>
      <c r="AJ158" s="1668"/>
    </row>
  </sheetData>
  <customSheetViews>
    <customSheetView guid="{8EE6466D-211E-4E05-9F84-CC0A1C6F79F4}" scale="75" showGridLines="0" outlineSymbols="0" fitToPage="1" topLeftCell="A112">
      <selection activeCell="C30" sqref="C30"/>
      <rowBreaks count="1" manualBreakCount="1">
        <brk id="104" max="35" man="1"/>
      </rowBreaks>
      <pageMargins left="0.25" right="0" top="0.5" bottom="0.4" header="0" footer="0.25"/>
      <printOptions horizontalCentered="1"/>
      <pageSetup scale="40" firstPageNumber="16" fitToHeight="2" orientation="landscape" useFirstPageNumber="1" r:id="rId1"/>
      <headerFooter scaleWithDoc="0" alignWithMargins="0">
        <oddFooter>&amp;C&amp;8 &amp;P</oddFooter>
      </headerFooter>
    </customSheetView>
  </customSheetViews>
  <mergeCells count="2">
    <mergeCell ref="AC5:AJ5"/>
    <mergeCell ref="AB12:AJ12"/>
  </mergeCells>
  <pageMargins left="0.25" right="0" top="0.5" bottom="0.4" header="0" footer="0.25"/>
  <pageSetup scale="38" firstPageNumber="16" fitToHeight="2" orientation="landscape" useFirstPageNumber="1" r:id="rId2"/>
  <headerFooter scaleWithDoc="0" alignWithMargins="0">
    <oddFooter>&amp;C&amp;8&amp;P</oddFooter>
  </headerFooter>
  <ignoredErrors>
    <ignoredError sqref="AJ72:AJ144 AJ36:AJ69 AJ21:AJ34 AJ70:AJ71" unlockedFormula="1"/>
    <ignoredError sqref="AH24:AH26 AH35:AI35" formula="1"/>
    <ignoredError sqref="AJ35" formula="1" unlockedFormula="1"/>
  </ignoredError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G161"/>
  <sheetViews>
    <sheetView zoomScale="70" zoomScaleNormal="70" workbookViewId="0"/>
  </sheetViews>
  <sheetFormatPr defaultColWidth="8.90625" defaultRowHeight="16.5" customHeight="1"/>
  <cols>
    <col min="1" max="1" width="43" style="418" customWidth="1"/>
    <col min="2" max="2" width="1.6328125" style="418" customWidth="1"/>
    <col min="3" max="3" width="13.1796875" style="418" bestFit="1" customWidth="1"/>
    <col min="4" max="4" width="1.6328125" style="418" customWidth="1"/>
    <col min="5" max="5" width="13.1796875" style="418" bestFit="1" customWidth="1"/>
    <col min="6" max="6" width="1.6328125" style="418" customWidth="1"/>
    <col min="7" max="7" width="13.54296875" style="418" customWidth="1"/>
    <col min="8" max="8" width="1.6328125" style="418" customWidth="1"/>
    <col min="9" max="9" width="13.6328125" style="418" customWidth="1"/>
    <col min="10" max="10" width="1.6328125" style="418" customWidth="1"/>
    <col min="11" max="11" width="14.54296875" style="418" customWidth="1"/>
    <col min="12" max="12" width="1.6328125" style="418" customWidth="1"/>
    <col min="13" max="13" width="13.36328125" style="418" customWidth="1"/>
    <col min="14" max="14" width="1.6328125" style="418" customWidth="1"/>
    <col min="15" max="15" width="14.1796875" style="418" customWidth="1"/>
    <col min="16" max="16" width="1.6328125" style="418" customWidth="1"/>
    <col min="17" max="17" width="13.1796875" style="418" customWidth="1"/>
    <col min="18" max="18" width="1.6328125" style="418" customWidth="1"/>
    <col min="19" max="19" width="13.90625" style="418" customWidth="1"/>
    <col min="20" max="20" width="1.6328125" style="418" customWidth="1"/>
    <col min="21" max="21" width="13" style="418" customWidth="1"/>
    <col min="22" max="22" width="1.6328125" style="418" customWidth="1"/>
    <col min="23" max="23" width="13.1796875" style="418" customWidth="1"/>
    <col min="24" max="24" width="1.6328125" style="418" customWidth="1"/>
    <col min="25" max="25" width="13.1796875" style="418" bestFit="1" customWidth="1"/>
    <col min="26" max="27" width="1.6328125" style="418" customWidth="1"/>
    <col min="28" max="28" width="15" style="418" customWidth="1"/>
    <col min="29" max="30" width="1.6328125" style="418" customWidth="1"/>
    <col min="31" max="31" width="12.36328125" style="418" customWidth="1"/>
    <col min="32" max="32" width="1.36328125" style="418" customWidth="1"/>
    <col min="33" max="33" width="1.6328125" style="418" customWidth="1"/>
    <col min="34" max="34" width="12.81640625" style="418" bestFit="1" customWidth="1"/>
    <col min="35" max="35" width="1" style="418" customWidth="1"/>
    <col min="36" max="36" width="12.36328125" style="418" bestFit="1" customWidth="1"/>
    <col min="37" max="16384" width="8.90625" style="418"/>
  </cols>
  <sheetData>
    <row r="1" spans="1:37" ht="15">
      <c r="A1" s="1854" t="s">
        <v>1103</v>
      </c>
    </row>
    <row r="2" spans="1:37" ht="15">
      <c r="A2" s="1685"/>
    </row>
    <row r="3" spans="1:37" ht="22.8">
      <c r="A3" s="426" t="s">
        <v>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I3" s="429"/>
    </row>
    <row r="4" spans="1:37" ht="22.8">
      <c r="A4" s="426" t="s">
        <v>1334</v>
      </c>
      <c r="B4" s="429"/>
      <c r="C4" s="429"/>
      <c r="D4" s="429"/>
      <c r="E4" s="429"/>
      <c r="F4" s="429"/>
      <c r="G4" s="429"/>
      <c r="H4" s="429"/>
      <c r="I4" s="429" t="s">
        <v>16</v>
      </c>
      <c r="J4" s="429"/>
      <c r="K4" s="429"/>
      <c r="L4" s="429"/>
      <c r="M4" s="429"/>
      <c r="N4" s="429"/>
      <c r="O4" s="429"/>
      <c r="P4" s="429"/>
      <c r="Q4" s="429"/>
      <c r="R4" s="429"/>
      <c r="S4" s="429"/>
      <c r="T4" s="429"/>
      <c r="U4" s="429"/>
      <c r="V4" s="429"/>
      <c r="W4" s="429"/>
      <c r="X4" s="429"/>
      <c r="Y4" s="429" t="s">
        <v>16</v>
      </c>
      <c r="Z4" s="429"/>
      <c r="AA4" s="429"/>
      <c r="AB4" s="429"/>
      <c r="AC4" s="429"/>
      <c r="AD4" s="429"/>
      <c r="AE4" s="429"/>
      <c r="AF4" s="429"/>
      <c r="AG4" s="429"/>
      <c r="AI4" s="429"/>
    </row>
    <row r="5" spans="1:37" ht="22.8">
      <c r="A5" s="428" t="s">
        <v>1335</v>
      </c>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C5" s="3400"/>
      <c r="AD5" s="3403"/>
      <c r="AE5" s="3403"/>
      <c r="AF5" s="3403"/>
      <c r="AG5" s="3403"/>
      <c r="AH5" s="3403"/>
      <c r="AI5" s="3403"/>
      <c r="AJ5" s="3403"/>
    </row>
    <row r="6" spans="1:37" ht="22.8">
      <c r="A6" s="428" t="s">
        <v>1472</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I6" s="429"/>
    </row>
    <row r="7" spans="1:37" ht="22.8">
      <c r="A7" s="426" t="s">
        <v>991</v>
      </c>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I7" s="429"/>
    </row>
    <row r="8" spans="1:37" ht="15">
      <c r="A8" s="429"/>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I8" s="429"/>
    </row>
    <row r="9" spans="1:37" ht="15">
      <c r="A9" s="429"/>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I9" s="429"/>
    </row>
    <row r="10" spans="1:37" ht="15">
      <c r="A10" s="429"/>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I10" s="429"/>
    </row>
    <row r="11" spans="1:37" ht="15">
      <c r="A11" s="429"/>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C11" s="429"/>
      <c r="AD11" s="429"/>
      <c r="AE11" s="429"/>
      <c r="AF11" s="429"/>
      <c r="AG11" s="429"/>
      <c r="AI11" s="429"/>
    </row>
    <row r="12" spans="1:37" ht="15.6">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Z12" s="429"/>
      <c r="AA12" s="979"/>
      <c r="AB12" s="3404" t="str">
        <f>+'Cashflow Governmental'!AB12:AJ12</f>
        <v xml:space="preserve">                                   1 Month Ended April 30</v>
      </c>
      <c r="AC12" s="3404"/>
      <c r="AD12" s="3404"/>
      <c r="AE12" s="3404"/>
      <c r="AF12" s="3404"/>
      <c r="AG12" s="3404"/>
      <c r="AH12" s="3404"/>
      <c r="AI12" s="3404"/>
      <c r="AJ12" s="3404"/>
    </row>
    <row r="13" spans="1:37" ht="15.6">
      <c r="A13" s="429"/>
      <c r="B13" s="429"/>
      <c r="C13" s="3114">
        <v>2016</v>
      </c>
      <c r="D13" s="977"/>
      <c r="E13" s="977"/>
      <c r="F13" s="977"/>
      <c r="G13" s="977"/>
      <c r="H13" s="977"/>
      <c r="I13" s="977"/>
      <c r="J13" s="977"/>
      <c r="K13" s="977"/>
      <c r="L13" s="977"/>
      <c r="M13" s="977"/>
      <c r="N13" s="977"/>
      <c r="O13" s="977"/>
      <c r="P13" s="977"/>
      <c r="Q13" s="977"/>
      <c r="R13" s="977"/>
      <c r="S13" s="977"/>
      <c r="T13" s="977"/>
      <c r="U13" s="3114">
        <v>2017</v>
      </c>
      <c r="V13" s="977"/>
      <c r="W13" s="977"/>
      <c r="X13" s="977"/>
      <c r="Y13" s="977"/>
      <c r="Z13" s="977"/>
      <c r="AA13" s="977"/>
      <c r="AB13" s="977"/>
      <c r="AC13" s="1472"/>
      <c r="AD13" s="1472"/>
      <c r="AE13" s="1472"/>
      <c r="AF13" s="977"/>
      <c r="AG13" s="977"/>
      <c r="AH13" s="1473" t="s">
        <v>8</v>
      </c>
      <c r="AI13" s="1471"/>
      <c r="AJ13" s="1473" t="s">
        <v>9</v>
      </c>
    </row>
    <row r="14" spans="1:37" ht="15.6">
      <c r="A14" s="429"/>
      <c r="B14" s="429"/>
      <c r="C14" s="1473" t="s">
        <v>129</v>
      </c>
      <c r="D14" s="977"/>
      <c r="E14" s="1473" t="s">
        <v>130</v>
      </c>
      <c r="F14" s="977"/>
      <c r="G14" s="1473" t="s">
        <v>131</v>
      </c>
      <c r="H14" s="977"/>
      <c r="I14" s="1473" t="s">
        <v>132</v>
      </c>
      <c r="J14" s="977"/>
      <c r="K14" s="1473" t="s">
        <v>133</v>
      </c>
      <c r="L14" s="977"/>
      <c r="M14" s="1473" t="s">
        <v>134</v>
      </c>
      <c r="N14" s="977"/>
      <c r="O14" s="1473" t="s">
        <v>135</v>
      </c>
      <c r="P14" s="977"/>
      <c r="Q14" s="1473" t="s">
        <v>136</v>
      </c>
      <c r="R14" s="977"/>
      <c r="S14" s="1473" t="s">
        <v>137</v>
      </c>
      <c r="T14" s="977"/>
      <c r="U14" s="1473" t="s">
        <v>138</v>
      </c>
      <c r="V14" s="977"/>
      <c r="W14" s="1473" t="s">
        <v>139</v>
      </c>
      <c r="X14" s="977"/>
      <c r="Y14" s="1473" t="s">
        <v>140</v>
      </c>
      <c r="Z14" s="977"/>
      <c r="AA14" s="977"/>
      <c r="AB14" s="1474">
        <v>2016</v>
      </c>
      <c r="AC14" s="977"/>
      <c r="AD14" s="977"/>
      <c r="AE14" s="1474">
        <v>2015</v>
      </c>
      <c r="AF14" s="1472"/>
      <c r="AG14" s="1472"/>
      <c r="AH14" s="1880" t="s">
        <v>13</v>
      </c>
      <c r="AI14" s="1471"/>
      <c r="AJ14" s="1880" t="s">
        <v>14</v>
      </c>
    </row>
    <row r="15" spans="1:37" ht="5.25" customHeight="1">
      <c r="A15" s="429"/>
      <c r="B15" s="429"/>
      <c r="C15" s="980"/>
      <c r="D15" s="429"/>
      <c r="E15" s="980"/>
      <c r="F15" s="429"/>
      <c r="G15" s="980"/>
      <c r="H15" s="429"/>
      <c r="I15" s="980"/>
      <c r="J15" s="429"/>
      <c r="K15" s="980"/>
      <c r="L15" s="429"/>
      <c r="M15" s="980"/>
      <c r="N15" s="429"/>
      <c r="O15" s="980" t="s">
        <v>16</v>
      </c>
      <c r="P15" s="429"/>
      <c r="Q15" s="980"/>
      <c r="R15" s="429"/>
      <c r="S15" s="980"/>
      <c r="T15" s="429"/>
      <c r="U15" s="980" t="s">
        <v>16</v>
      </c>
      <c r="V15" s="429"/>
      <c r="W15" s="980"/>
      <c r="X15" s="429"/>
      <c r="Y15" s="980"/>
      <c r="Z15" s="429"/>
      <c r="AA15" s="429"/>
      <c r="AB15" s="980"/>
      <c r="AC15" s="429"/>
      <c r="AD15" s="429"/>
      <c r="AE15" s="980"/>
      <c r="AF15" s="2062"/>
      <c r="AG15" s="2062"/>
      <c r="AI15" s="429"/>
    </row>
    <row r="16" spans="1:37" ht="15.6">
      <c r="A16" s="978" t="s">
        <v>141</v>
      </c>
      <c r="B16" s="429"/>
      <c r="C16" s="1314">
        <v>12641.2</v>
      </c>
      <c r="D16" s="981"/>
      <c r="E16" s="981"/>
      <c r="F16" s="981"/>
      <c r="G16" s="981"/>
      <c r="H16" s="981"/>
      <c r="I16" s="981"/>
      <c r="J16" s="981"/>
      <c r="K16" s="981"/>
      <c r="L16" s="981"/>
      <c r="M16" s="981"/>
      <c r="N16" s="981"/>
      <c r="O16" s="981"/>
      <c r="P16" s="981"/>
      <c r="Q16" s="981"/>
      <c r="R16" s="981"/>
      <c r="S16" s="981"/>
      <c r="T16" s="981"/>
      <c r="U16" s="981"/>
      <c r="V16" s="981"/>
      <c r="W16" s="981"/>
      <c r="X16" s="981"/>
      <c r="Y16" s="981"/>
      <c r="Z16" s="981"/>
      <c r="AA16" s="1881"/>
      <c r="AB16" s="981">
        <f>C16</f>
        <v>12641.2</v>
      </c>
      <c r="AC16" s="981"/>
      <c r="AD16" s="983"/>
      <c r="AE16" s="981">
        <v>9890.7999999999993</v>
      </c>
      <c r="AF16" s="2063"/>
      <c r="AG16" s="2063"/>
      <c r="AH16" s="981">
        <f>ROUND(SUM(AB16-AE16),1)</f>
        <v>2750.4</v>
      </c>
      <c r="AI16" s="977"/>
      <c r="AJ16" s="512">
        <f>ROUND(SUM(AH16/AE16),3)</f>
        <v>0.27800000000000002</v>
      </c>
      <c r="AK16" s="793"/>
    </row>
    <row r="17" spans="1:36" ht="15">
      <c r="A17" s="429"/>
      <c r="B17" s="429"/>
      <c r="C17" s="429" t="s">
        <v>16</v>
      </c>
      <c r="D17" s="429"/>
      <c r="E17" s="984"/>
      <c r="F17" s="429"/>
      <c r="G17" s="984"/>
      <c r="H17" s="429"/>
      <c r="I17" s="984"/>
      <c r="J17" s="429"/>
      <c r="K17" s="984"/>
      <c r="L17" s="429"/>
      <c r="M17" s="984"/>
      <c r="N17" s="429"/>
      <c r="O17" s="984"/>
      <c r="P17" s="429"/>
      <c r="Q17" s="984"/>
      <c r="R17" s="429"/>
      <c r="S17" s="984"/>
      <c r="T17" s="429"/>
      <c r="U17" s="984"/>
      <c r="V17" s="429"/>
      <c r="W17" s="984"/>
      <c r="X17" s="429"/>
      <c r="Y17" s="984"/>
      <c r="Z17" s="429"/>
      <c r="AA17" s="1882"/>
      <c r="AB17" s="429" t="s">
        <v>16</v>
      </c>
      <c r="AC17" s="429"/>
      <c r="AD17" s="986"/>
      <c r="AE17" s="429" t="s">
        <v>16</v>
      </c>
      <c r="AF17" s="2062"/>
      <c r="AG17" s="2062"/>
      <c r="AH17" s="1668"/>
      <c r="AI17" s="429"/>
      <c r="AJ17" s="1668"/>
    </row>
    <row r="18" spans="1:36" ht="15.6">
      <c r="A18" s="409" t="s">
        <v>15</v>
      </c>
      <c r="B18" s="429"/>
      <c r="C18" s="429"/>
      <c r="D18" s="429"/>
      <c r="E18" s="984"/>
      <c r="F18" s="429"/>
      <c r="G18" s="984"/>
      <c r="H18" s="429"/>
      <c r="I18" s="984"/>
      <c r="J18" s="429"/>
      <c r="K18" s="984"/>
      <c r="L18" s="429"/>
      <c r="M18" s="984"/>
      <c r="N18" s="429"/>
      <c r="O18" s="984"/>
      <c r="P18" s="429"/>
      <c r="Q18" s="984"/>
      <c r="R18" s="429"/>
      <c r="S18" s="984"/>
      <c r="T18" s="429"/>
      <c r="U18" s="984"/>
      <c r="V18" s="429"/>
      <c r="W18" s="984"/>
      <c r="X18" s="429"/>
      <c r="Y18" s="984"/>
      <c r="Z18" s="429"/>
      <c r="AA18" s="1882"/>
      <c r="AB18" s="429"/>
      <c r="AC18" s="429"/>
      <c r="AD18" s="986"/>
      <c r="AE18" s="429"/>
      <c r="AF18" s="2062"/>
      <c r="AG18" s="2062"/>
      <c r="AH18" s="1668"/>
      <c r="AI18" s="429"/>
      <c r="AJ18" s="1668"/>
    </row>
    <row r="19" spans="1:36" ht="15.6">
      <c r="A19" s="489" t="s">
        <v>1238</v>
      </c>
      <c r="B19" s="429"/>
      <c r="C19" s="429"/>
      <c r="D19" s="429"/>
      <c r="E19" s="984"/>
      <c r="F19" s="429"/>
      <c r="G19" s="984"/>
      <c r="H19" s="429"/>
      <c r="I19" s="984"/>
      <c r="J19" s="429"/>
      <c r="K19" s="984"/>
      <c r="L19" s="429"/>
      <c r="M19" s="984"/>
      <c r="N19" s="429"/>
      <c r="O19" s="984"/>
      <c r="P19" s="429"/>
      <c r="Q19" s="984"/>
      <c r="R19" s="429"/>
      <c r="S19" s="984"/>
      <c r="T19" s="429"/>
      <c r="U19" s="984"/>
      <c r="V19" s="429"/>
      <c r="W19" s="984"/>
      <c r="X19" s="429"/>
      <c r="Y19" s="984"/>
      <c r="Z19" s="429"/>
      <c r="AA19" s="985"/>
      <c r="AB19" s="429"/>
      <c r="AC19" s="429"/>
      <c r="AD19" s="986"/>
      <c r="AE19" s="429"/>
      <c r="AF19" s="2062"/>
      <c r="AG19" s="2062"/>
      <c r="AH19" s="1668"/>
      <c r="AI19" s="429"/>
      <c r="AJ19" s="1668"/>
    </row>
    <row r="20" spans="1:36" ht="15">
      <c r="A20" s="2027" t="s">
        <v>1312</v>
      </c>
      <c r="B20" s="429"/>
      <c r="C20" s="429"/>
      <c r="D20" s="429"/>
      <c r="E20" s="984"/>
      <c r="F20" s="429"/>
      <c r="G20" s="984"/>
      <c r="H20" s="429"/>
      <c r="I20" s="984"/>
      <c r="J20" s="429"/>
      <c r="K20" s="984"/>
      <c r="L20" s="429"/>
      <c r="M20" s="984"/>
      <c r="N20" s="429"/>
      <c r="O20" s="984"/>
      <c r="P20" s="429"/>
      <c r="Q20" s="984"/>
      <c r="R20" s="429"/>
      <c r="S20" s="984"/>
      <c r="T20" s="429"/>
      <c r="U20" s="984"/>
      <c r="V20" s="429"/>
      <c r="W20" s="984"/>
      <c r="X20" s="429"/>
      <c r="Y20" s="984"/>
      <c r="Z20" s="429"/>
      <c r="AA20" s="1882"/>
      <c r="AB20" s="429"/>
      <c r="AC20" s="429"/>
      <c r="AD20" s="986"/>
      <c r="AE20" s="429"/>
      <c r="AF20" s="2062"/>
      <c r="AG20" s="2062"/>
      <c r="AH20" s="1668"/>
      <c r="AI20" s="429"/>
      <c r="AJ20" s="1668"/>
    </row>
    <row r="21" spans="1:36" ht="15">
      <c r="A21" s="1256" t="s">
        <v>1246</v>
      </c>
      <c r="B21" s="429"/>
      <c r="C21" s="987">
        <f>+'Exhibit F'!D19</f>
        <v>2649.4</v>
      </c>
      <c r="D21" s="987"/>
      <c r="E21" s="987"/>
      <c r="F21" s="987"/>
      <c r="G21" s="987"/>
      <c r="H21" s="987"/>
      <c r="I21" s="987"/>
      <c r="J21" s="987"/>
      <c r="K21" s="987"/>
      <c r="L21" s="987"/>
      <c r="M21" s="987"/>
      <c r="N21" s="987"/>
      <c r="O21" s="987"/>
      <c r="P21" s="429"/>
      <c r="Q21" s="987"/>
      <c r="R21" s="429"/>
      <c r="S21" s="987"/>
      <c r="T21" s="429"/>
      <c r="U21" s="987"/>
      <c r="V21" s="429"/>
      <c r="W21" s="987"/>
      <c r="X21" s="429"/>
      <c r="Y21" s="987"/>
      <c r="Z21" s="429"/>
      <c r="AA21" s="1882"/>
      <c r="AB21" s="987">
        <f t="shared" ref="AB21:AB29" si="0">ROUND(SUM(C21:Y21),1)</f>
        <v>2649.4</v>
      </c>
      <c r="AC21" s="429"/>
      <c r="AD21" s="986"/>
      <c r="AE21" s="429">
        <f>+'Exhibit F'!AF19</f>
        <v>2961.1</v>
      </c>
      <c r="AF21" s="2062"/>
      <c r="AG21" s="2062"/>
      <c r="AH21" s="1159">
        <f>ROUND(SUM(+AB21-AE21),1)</f>
        <v>-311.7</v>
      </c>
      <c r="AI21" s="2042"/>
      <c r="AJ21" s="1884">
        <f t="shared" ref="AJ21:AJ26" si="1">ROUND(SUM(+AH21/ABS(AE21)),3)</f>
        <v>-0.105</v>
      </c>
    </row>
    <row r="22" spans="1:36" ht="15">
      <c r="A22" s="1256" t="s">
        <v>1247</v>
      </c>
      <c r="B22" s="429"/>
      <c r="C22" s="987">
        <f>+'Exhibit F'!D20</f>
        <v>4784</v>
      </c>
      <c r="D22" s="987"/>
      <c r="E22" s="987"/>
      <c r="F22" s="987"/>
      <c r="G22" s="987"/>
      <c r="H22" s="987"/>
      <c r="I22" s="987"/>
      <c r="J22" s="987"/>
      <c r="K22" s="987"/>
      <c r="L22" s="987"/>
      <c r="M22" s="987"/>
      <c r="N22" s="987"/>
      <c r="O22" s="987"/>
      <c r="P22" s="429"/>
      <c r="Q22" s="987"/>
      <c r="R22" s="429"/>
      <c r="S22" s="987"/>
      <c r="T22" s="429"/>
      <c r="U22" s="987"/>
      <c r="V22" s="429"/>
      <c r="W22" s="987"/>
      <c r="X22" s="429"/>
      <c r="Y22" s="987"/>
      <c r="Z22" s="429"/>
      <c r="AA22" s="1882"/>
      <c r="AB22" s="987">
        <f t="shared" si="0"/>
        <v>4784</v>
      </c>
      <c r="AC22" s="429"/>
      <c r="AD22" s="986"/>
      <c r="AE22" s="429">
        <f>+'Exhibit F'!AF20</f>
        <v>5313.5</v>
      </c>
      <c r="AF22" s="2062"/>
      <c r="AG22" s="2062"/>
      <c r="AH22" s="1159">
        <f t="shared" ref="AH22:AH28" si="2">ROUND(SUM(+AB22-AE22),1)</f>
        <v>-529.5</v>
      </c>
      <c r="AI22" s="2042"/>
      <c r="AJ22" s="1884">
        <f t="shared" si="1"/>
        <v>-0.1</v>
      </c>
    </row>
    <row r="23" spans="1:36" ht="15">
      <c r="A23" s="1256" t="s">
        <v>1248</v>
      </c>
      <c r="B23" s="429"/>
      <c r="C23" s="987">
        <f>+'Exhibit F'!D21</f>
        <v>1717.3</v>
      </c>
      <c r="D23" s="987"/>
      <c r="E23" s="987"/>
      <c r="F23" s="987"/>
      <c r="G23" s="987"/>
      <c r="H23" s="987"/>
      <c r="I23" s="987"/>
      <c r="J23" s="987"/>
      <c r="K23" s="987"/>
      <c r="L23" s="987"/>
      <c r="M23" s="987"/>
      <c r="N23" s="987"/>
      <c r="O23" s="987"/>
      <c r="P23" s="429"/>
      <c r="Q23" s="987"/>
      <c r="R23" s="429"/>
      <c r="S23" s="987"/>
      <c r="T23" s="429"/>
      <c r="U23" s="987"/>
      <c r="V23" s="429"/>
      <c r="W23" s="987"/>
      <c r="X23" s="429"/>
      <c r="Y23" s="987"/>
      <c r="Z23" s="429"/>
      <c r="AA23" s="1882"/>
      <c r="AB23" s="987">
        <f t="shared" si="0"/>
        <v>1717.3</v>
      </c>
      <c r="AC23" s="429"/>
      <c r="AD23" s="986"/>
      <c r="AE23" s="429">
        <f>+'Exhibit F'!AF21</f>
        <v>1687.1</v>
      </c>
      <c r="AF23" s="2062"/>
      <c r="AG23" s="2062"/>
      <c r="AH23" s="1159">
        <f t="shared" si="2"/>
        <v>30.2</v>
      </c>
      <c r="AI23" s="2042"/>
      <c r="AJ23" s="1884">
        <f t="shared" si="1"/>
        <v>1.7999999999999999E-2</v>
      </c>
    </row>
    <row r="24" spans="1:36" ht="15">
      <c r="A24" s="2065" t="s">
        <v>1249</v>
      </c>
      <c r="B24" s="429"/>
      <c r="C24" s="987">
        <f>+'Exhibit F'!D22</f>
        <v>-184.9</v>
      </c>
      <c r="D24" s="987"/>
      <c r="E24" s="987"/>
      <c r="F24" s="987"/>
      <c r="G24" s="987"/>
      <c r="H24" s="987"/>
      <c r="I24" s="987"/>
      <c r="J24" s="987"/>
      <c r="K24" s="987"/>
      <c r="L24" s="987"/>
      <c r="M24" s="987"/>
      <c r="N24" s="987"/>
      <c r="O24" s="987"/>
      <c r="P24" s="429"/>
      <c r="Q24" s="987"/>
      <c r="R24" s="429"/>
      <c r="S24" s="987"/>
      <c r="T24" s="429"/>
      <c r="U24" s="987"/>
      <c r="V24" s="429"/>
      <c r="W24" s="987"/>
      <c r="X24" s="429"/>
      <c r="Y24" s="987"/>
      <c r="Z24" s="429"/>
      <c r="AA24" s="1882"/>
      <c r="AB24" s="987">
        <f t="shared" si="0"/>
        <v>-184.9</v>
      </c>
      <c r="AC24" s="429"/>
      <c r="AD24" s="986"/>
      <c r="AE24" s="429">
        <f>+'Exhibit F'!AF22</f>
        <v>-144.80000000000001</v>
      </c>
      <c r="AF24" s="2062"/>
      <c r="AG24" s="2062"/>
      <c r="AH24" s="1159">
        <f>-ROUND(SUM(+AB24-AE24),1)</f>
        <v>40.1</v>
      </c>
      <c r="AI24" s="2042"/>
      <c r="AJ24" s="1884">
        <f t="shared" si="1"/>
        <v>0.27700000000000002</v>
      </c>
    </row>
    <row r="25" spans="1:36" ht="15">
      <c r="A25" s="2065" t="s">
        <v>1250</v>
      </c>
      <c r="B25" s="429"/>
      <c r="C25" s="987">
        <f>+'Exhibit F'!D23</f>
        <v>170.4</v>
      </c>
      <c r="D25" s="987"/>
      <c r="E25" s="987"/>
      <c r="F25" s="987"/>
      <c r="G25" s="987"/>
      <c r="H25" s="987"/>
      <c r="I25" s="987"/>
      <c r="J25" s="987"/>
      <c r="K25" s="987"/>
      <c r="L25" s="987"/>
      <c r="M25" s="987"/>
      <c r="N25" s="987"/>
      <c r="O25" s="987"/>
      <c r="P25" s="429"/>
      <c r="Q25" s="987"/>
      <c r="R25" s="429"/>
      <c r="S25" s="987"/>
      <c r="T25" s="429"/>
      <c r="U25" s="987"/>
      <c r="V25" s="429"/>
      <c r="W25" s="987"/>
      <c r="X25" s="429"/>
      <c r="Y25" s="987"/>
      <c r="Z25" s="429"/>
      <c r="AA25" s="1882"/>
      <c r="AB25" s="987">
        <f t="shared" si="0"/>
        <v>170.4</v>
      </c>
      <c r="AC25" s="429"/>
      <c r="AD25" s="986"/>
      <c r="AE25" s="429">
        <f>+'Exhibit F'!AF23</f>
        <v>143.69999999999999</v>
      </c>
      <c r="AF25" s="2062"/>
      <c r="AG25" s="2062"/>
      <c r="AH25" s="1159">
        <f t="shared" si="2"/>
        <v>26.7</v>
      </c>
      <c r="AI25" s="2042"/>
      <c r="AJ25" s="1884">
        <f t="shared" si="1"/>
        <v>0.186</v>
      </c>
    </row>
    <row r="26" spans="1:36" ht="15.6">
      <c r="A26" s="1257" t="s">
        <v>1251</v>
      </c>
      <c r="B26" s="429"/>
      <c r="C26" s="483">
        <f>ROUND(SUM(C21:C25),1)</f>
        <v>9136.2000000000007</v>
      </c>
      <c r="D26" s="429"/>
      <c r="E26" s="483">
        <f>ROUND(SUM(E21:E25),1)</f>
        <v>0</v>
      </c>
      <c r="F26" s="429"/>
      <c r="G26" s="483">
        <f>ROUND(SUM(G21:G25),1)</f>
        <v>0</v>
      </c>
      <c r="H26" s="429"/>
      <c r="I26" s="483">
        <f>ROUND(SUM(I21:I25),1)</f>
        <v>0</v>
      </c>
      <c r="J26" s="429"/>
      <c r="K26" s="483">
        <f>ROUND(SUM(K21:K25),1)</f>
        <v>0</v>
      </c>
      <c r="L26" s="429"/>
      <c r="M26" s="483">
        <f>ROUND(SUM(M21:M25),1)</f>
        <v>0</v>
      </c>
      <c r="N26" s="429"/>
      <c r="O26" s="483">
        <f>ROUND(SUM(O21:O25),1)</f>
        <v>0</v>
      </c>
      <c r="P26" s="429"/>
      <c r="Q26" s="483">
        <f>ROUND(SUM(Q21:Q25),1)</f>
        <v>0</v>
      </c>
      <c r="R26" s="429"/>
      <c r="S26" s="483">
        <f>ROUND(SUM(S21:S25),1)</f>
        <v>0</v>
      </c>
      <c r="T26" s="429"/>
      <c r="U26" s="483">
        <f>ROUND(SUM(U21:U25),1)</f>
        <v>0</v>
      </c>
      <c r="V26" s="429"/>
      <c r="W26" s="483">
        <f>ROUND(SUM(W21:W25),1)</f>
        <v>0</v>
      </c>
      <c r="X26" s="429"/>
      <c r="Y26" s="483">
        <f>ROUND(SUM(Y21:Y25),1)</f>
        <v>0</v>
      </c>
      <c r="Z26" s="429"/>
      <c r="AA26" s="1882"/>
      <c r="AB26" s="483">
        <f>ROUND(SUM(AB21:AB25),1)</f>
        <v>9136.2000000000007</v>
      </c>
      <c r="AC26" s="429"/>
      <c r="AD26" s="986"/>
      <c r="AE26" s="483">
        <f>ROUND(SUM(AE21:AE25),1)</f>
        <v>9960.6</v>
      </c>
      <c r="AF26" s="2062"/>
      <c r="AG26" s="2062"/>
      <c r="AH26" s="256">
        <f t="shared" si="2"/>
        <v>-824.4</v>
      </c>
      <c r="AI26" s="2042"/>
      <c r="AJ26" s="527">
        <f t="shared" si="1"/>
        <v>-8.3000000000000004E-2</v>
      </c>
    </row>
    <row r="27" spans="1:36" ht="15">
      <c r="A27" s="2065" t="s">
        <v>1253</v>
      </c>
      <c r="B27" s="429"/>
      <c r="C27" s="987">
        <f>+'Exhibit F'!D25+'Exhibit G state'!D16</f>
        <v>0</v>
      </c>
      <c r="D27" s="429"/>
      <c r="E27" s="987"/>
      <c r="F27" s="429"/>
      <c r="G27" s="987"/>
      <c r="H27" s="429"/>
      <c r="I27" s="987"/>
      <c r="J27" s="429"/>
      <c r="K27" s="987"/>
      <c r="L27" s="429"/>
      <c r="M27" s="987"/>
      <c r="N27" s="429"/>
      <c r="O27" s="987"/>
      <c r="P27" s="429"/>
      <c r="Q27" s="987"/>
      <c r="R27" s="429"/>
      <c r="S27" s="987"/>
      <c r="T27" s="429"/>
      <c r="U27" s="987"/>
      <c r="V27" s="429"/>
      <c r="W27" s="987"/>
      <c r="X27" s="429"/>
      <c r="Y27" s="987"/>
      <c r="Z27" s="429"/>
      <c r="AA27" s="1882"/>
      <c r="AB27" s="987">
        <f t="shared" si="0"/>
        <v>0</v>
      </c>
      <c r="AC27" s="429"/>
      <c r="AD27" s="986"/>
      <c r="AE27" s="987">
        <f>+'Exhibit F'!AF25+'Exhibit G state'!AH16</f>
        <v>0</v>
      </c>
      <c r="AF27" s="2062"/>
      <c r="AG27" s="2062"/>
      <c r="AH27" s="1159">
        <f t="shared" si="2"/>
        <v>0</v>
      </c>
      <c r="AI27" s="2042"/>
      <c r="AJ27" s="1816">
        <f>ROUND(IF(AE27=0,0,AH27/ABS(AE27)),3)</f>
        <v>0</v>
      </c>
    </row>
    <row r="28" spans="1:36" ht="15">
      <c r="A28" s="2065" t="s">
        <v>1254</v>
      </c>
      <c r="B28" s="429"/>
      <c r="C28" s="987">
        <f>+'Exhibit F'!D26+'Exhibit H'!B16</f>
        <v>0</v>
      </c>
      <c r="D28" s="429"/>
      <c r="E28" s="987"/>
      <c r="F28" s="429"/>
      <c r="G28" s="987"/>
      <c r="H28" s="429"/>
      <c r="I28" s="987"/>
      <c r="J28" s="429"/>
      <c r="K28" s="987"/>
      <c r="L28" s="429"/>
      <c r="M28" s="987"/>
      <c r="N28" s="429"/>
      <c r="O28" s="987"/>
      <c r="P28" s="429"/>
      <c r="Q28" s="987"/>
      <c r="R28" s="429"/>
      <c r="S28" s="987"/>
      <c r="T28" s="429"/>
      <c r="U28" s="987"/>
      <c r="V28" s="429"/>
      <c r="W28" s="987"/>
      <c r="X28" s="429"/>
      <c r="Y28" s="987"/>
      <c r="Z28" s="429"/>
      <c r="AA28" s="1882"/>
      <c r="AB28" s="987">
        <f t="shared" si="0"/>
        <v>0</v>
      </c>
      <c r="AC28" s="429"/>
      <c r="AD28" s="986"/>
      <c r="AE28" s="987">
        <f>+'Exhibit F'!AF26+'Exhibit H'!AD16</f>
        <v>0</v>
      </c>
      <c r="AF28" s="2062"/>
      <c r="AG28" s="2062"/>
      <c r="AH28" s="1159">
        <f t="shared" si="2"/>
        <v>0</v>
      </c>
      <c r="AI28" s="2042"/>
      <c r="AJ28" s="1816">
        <f>ROUND(IF(AE28=0,0,AH28/ABS(AE28)),3)</f>
        <v>0</v>
      </c>
    </row>
    <row r="29" spans="1:36" ht="15">
      <c r="A29" s="1256" t="s">
        <v>1255</v>
      </c>
      <c r="B29" s="987"/>
      <c r="C29" s="987">
        <f>+'Exhibit F'!D27</f>
        <v>-2752.5</v>
      </c>
      <c r="D29" s="987"/>
      <c r="E29" s="987"/>
      <c r="F29" s="987"/>
      <c r="G29" s="987"/>
      <c r="H29" s="987"/>
      <c r="I29" s="987"/>
      <c r="J29" s="987"/>
      <c r="K29" s="987"/>
      <c r="L29" s="429"/>
      <c r="M29" s="987"/>
      <c r="N29" s="429"/>
      <c r="O29" s="987"/>
      <c r="P29" s="429"/>
      <c r="Q29" s="987"/>
      <c r="R29" s="429"/>
      <c r="S29" s="987"/>
      <c r="T29" s="429"/>
      <c r="U29" s="987"/>
      <c r="V29" s="429"/>
      <c r="W29" s="987"/>
      <c r="X29" s="429"/>
      <c r="Y29" s="987"/>
      <c r="Z29" s="429"/>
      <c r="AA29" s="1882"/>
      <c r="AB29" s="987">
        <f t="shared" si="0"/>
        <v>-2752.5</v>
      </c>
      <c r="AC29" s="429"/>
      <c r="AD29" s="986"/>
      <c r="AE29" s="429">
        <f>+'Exhibit F'!AF27</f>
        <v>-3242.2</v>
      </c>
      <c r="AF29" s="2062"/>
      <c r="AG29" s="2062"/>
      <c r="AH29" s="1159">
        <f>-ROUND(SUM(+AB29-AE29),1)</f>
        <v>-489.7</v>
      </c>
      <c r="AI29" s="2042"/>
      <c r="AJ29" s="1884">
        <f>ROUND(SUM(+AH29/ABS(AE29)),3)</f>
        <v>-0.151</v>
      </c>
    </row>
    <row r="30" spans="1:36" ht="15.6">
      <c r="A30" s="588" t="s">
        <v>1252</v>
      </c>
      <c r="B30" s="429"/>
      <c r="C30" s="483">
        <f>ROUND(SUM(C26+C27+C28+C29),1)</f>
        <v>6383.7</v>
      </c>
      <c r="D30" s="429"/>
      <c r="E30" s="483">
        <f>ROUND(SUM(E26+E27+E28+E29),1)</f>
        <v>0</v>
      </c>
      <c r="F30" s="429"/>
      <c r="G30" s="483">
        <f>ROUND(SUM(G26+G27+G28+G29),1)</f>
        <v>0</v>
      </c>
      <c r="H30" s="429"/>
      <c r="I30" s="483">
        <f>ROUND(SUM(I26+I27+I28+I29),1)</f>
        <v>0</v>
      </c>
      <c r="J30" s="429"/>
      <c r="K30" s="483">
        <f>ROUND(SUM(K26+K27+K28+K29),1)</f>
        <v>0</v>
      </c>
      <c r="L30" s="429"/>
      <c r="M30" s="483">
        <f>ROUND(SUM(M26+M27+M28+M29),1)</f>
        <v>0</v>
      </c>
      <c r="N30" s="429"/>
      <c r="O30" s="483">
        <f>ROUND(SUM(O26+O27+O28+O29),1)</f>
        <v>0</v>
      </c>
      <c r="P30" s="429"/>
      <c r="Q30" s="483">
        <f>ROUND(SUM(Q26+Q27+Q28+Q29),1)</f>
        <v>0</v>
      </c>
      <c r="R30" s="429"/>
      <c r="S30" s="483">
        <f>ROUND(SUM(S26+S27+S28+S29),1)</f>
        <v>0</v>
      </c>
      <c r="T30" s="429"/>
      <c r="U30" s="483">
        <f>ROUND(SUM(U26+U27+U28+U29),1)</f>
        <v>0</v>
      </c>
      <c r="V30" s="429"/>
      <c r="W30" s="483">
        <f>ROUND(SUM(W26+W27+W28+W29),1)</f>
        <v>0</v>
      </c>
      <c r="X30" s="429"/>
      <c r="Y30" s="483">
        <f>ROUND(SUM(Y26+Y27+Y28+Y29),1)</f>
        <v>0</v>
      </c>
      <c r="Z30" s="429"/>
      <c r="AA30" s="1882"/>
      <c r="AB30" s="483">
        <f>ROUND(SUM(AB26+AB27+AB28+AB29),1)</f>
        <v>6383.7</v>
      </c>
      <c r="AC30" s="429"/>
      <c r="AD30" s="986"/>
      <c r="AE30" s="483">
        <f>ROUND(SUM(AE26+AE27+AE28+AE29),1)</f>
        <v>6718.4</v>
      </c>
      <c r="AF30" s="2062"/>
      <c r="AG30" s="2062"/>
      <c r="AH30" s="483">
        <f>ROUND(SUM(AH26+AH27+AH28-AH29),1)</f>
        <v>-334.7</v>
      </c>
      <c r="AI30" s="2041"/>
      <c r="AJ30" s="527">
        <f>ROUND(SUM(+AH30/ABS(AE30)),3)</f>
        <v>-0.05</v>
      </c>
    </row>
    <row r="31" spans="1:36" ht="15">
      <c r="A31" s="2027" t="s">
        <v>1309</v>
      </c>
      <c r="B31" s="429"/>
      <c r="C31" s="429"/>
      <c r="D31" s="429"/>
      <c r="E31" s="429"/>
      <c r="F31" s="429"/>
      <c r="G31" s="429"/>
      <c r="H31" s="429"/>
      <c r="I31" s="429"/>
      <c r="J31" s="429"/>
      <c r="K31" s="429"/>
      <c r="L31" s="429"/>
      <c r="M31" s="429"/>
      <c r="N31" s="429"/>
      <c r="O31" s="984"/>
      <c r="P31" s="429"/>
      <c r="Q31" s="984"/>
      <c r="R31" s="429"/>
      <c r="S31" s="984"/>
      <c r="T31" s="429"/>
      <c r="U31" s="984"/>
      <c r="V31" s="429"/>
      <c r="W31" s="984"/>
      <c r="X31" s="429"/>
      <c r="Y31" s="984"/>
      <c r="Z31" s="429"/>
      <c r="AA31" s="1882"/>
      <c r="AB31" s="429"/>
      <c r="AC31" s="429"/>
      <c r="AD31" s="986"/>
      <c r="AE31" s="429"/>
      <c r="AF31" s="2062"/>
      <c r="AG31" s="2062"/>
      <c r="AH31" s="1668"/>
      <c r="AI31" s="429"/>
      <c r="AJ31" s="1668"/>
    </row>
    <row r="32" spans="1:36" ht="15">
      <c r="A32" s="1256" t="s">
        <v>1258</v>
      </c>
      <c r="B32" s="429"/>
      <c r="C32" s="987">
        <f>+'Exhibit F'!D30+'Exhibit H'!B19+'Exhibit G state'!D20</f>
        <v>1087</v>
      </c>
      <c r="D32" s="987"/>
      <c r="E32" s="987"/>
      <c r="F32" s="987"/>
      <c r="G32" s="987"/>
      <c r="H32" s="987"/>
      <c r="I32" s="987"/>
      <c r="J32" s="987"/>
      <c r="K32" s="987"/>
      <c r="L32" s="429"/>
      <c r="M32" s="987"/>
      <c r="N32" s="429"/>
      <c r="O32" s="987"/>
      <c r="P32" s="429"/>
      <c r="Q32" s="987"/>
      <c r="R32" s="429"/>
      <c r="S32" s="987"/>
      <c r="T32" s="429"/>
      <c r="U32" s="987"/>
      <c r="V32" s="429"/>
      <c r="W32" s="987"/>
      <c r="X32" s="429"/>
      <c r="Y32" s="987"/>
      <c r="Z32" s="429"/>
      <c r="AA32" s="1882"/>
      <c r="AB32" s="987">
        <f t="shared" ref="AB32:AB39" si="3">ROUND(SUM(C32:Y32),1)</f>
        <v>1087</v>
      </c>
      <c r="AC32" s="429"/>
      <c r="AD32" s="986"/>
      <c r="AE32" s="429">
        <f>+'Exhibit F'!AF30+'Exhibit H'!AD19+'Exhibit G state'!AH20</f>
        <v>1046.0999999999999</v>
      </c>
      <c r="AF32" s="2062"/>
      <c r="AG32" s="2062"/>
      <c r="AH32" s="1159">
        <f t="shared" ref="AH32:AH39" si="4">ROUND(SUM(+AB32-AE32),1)</f>
        <v>40.9</v>
      </c>
      <c r="AI32" s="2042"/>
      <c r="AJ32" s="1884">
        <f>ROUND(SUM(+AH32/ABS(AE32)),3)</f>
        <v>3.9E-2</v>
      </c>
    </row>
    <row r="33" spans="1:36" ht="15">
      <c r="A33" s="1256" t="s">
        <v>1259</v>
      </c>
      <c r="B33" s="429"/>
      <c r="C33" s="987">
        <f>+'Exhibit F'!D31+'Exhibit G state'!D21</f>
        <v>0.7</v>
      </c>
      <c r="D33" s="987"/>
      <c r="E33" s="987"/>
      <c r="F33" s="987"/>
      <c r="G33" s="987"/>
      <c r="H33" s="987"/>
      <c r="I33" s="987"/>
      <c r="J33" s="987"/>
      <c r="K33" s="987"/>
      <c r="L33" s="429"/>
      <c r="M33" s="987"/>
      <c r="N33" s="429"/>
      <c r="O33" s="987"/>
      <c r="P33" s="429"/>
      <c r="Q33" s="987"/>
      <c r="R33" s="429"/>
      <c r="S33" s="987"/>
      <c r="T33" s="429"/>
      <c r="U33" s="987"/>
      <c r="V33" s="429"/>
      <c r="W33" s="987"/>
      <c r="X33" s="429"/>
      <c r="Y33" s="987"/>
      <c r="Z33" s="429"/>
      <c r="AA33" s="1882"/>
      <c r="AB33" s="987">
        <f t="shared" si="3"/>
        <v>0.7</v>
      </c>
      <c r="AC33" s="429"/>
      <c r="AD33" s="986"/>
      <c r="AE33" s="429">
        <f>+'Exhibit F'!AF31+'Exhibit G state'!AH21</f>
        <v>1.5</v>
      </c>
      <c r="AF33" s="2062"/>
      <c r="AG33" s="2062"/>
      <c r="AH33" s="1159">
        <f t="shared" si="4"/>
        <v>-0.8</v>
      </c>
      <c r="AI33" s="2042"/>
      <c r="AJ33" s="1884">
        <f>ROUND(SUM(+AH33/ABS(AE33)),3)</f>
        <v>-0.53300000000000003</v>
      </c>
    </row>
    <row r="34" spans="1:36" ht="15">
      <c r="A34" s="1256" t="s">
        <v>1260</v>
      </c>
      <c r="B34" s="429"/>
      <c r="C34" s="987">
        <f>+'Exhibit F'!D32+'Exhibit G state'!D22</f>
        <v>98.600000000000009</v>
      </c>
      <c r="D34" s="987"/>
      <c r="E34" s="987"/>
      <c r="F34" s="987"/>
      <c r="G34" s="987"/>
      <c r="H34" s="987"/>
      <c r="I34" s="987"/>
      <c r="J34" s="987"/>
      <c r="K34" s="987"/>
      <c r="L34" s="429"/>
      <c r="M34" s="987"/>
      <c r="N34" s="429"/>
      <c r="O34" s="987"/>
      <c r="P34" s="429"/>
      <c r="Q34" s="987"/>
      <c r="R34" s="429"/>
      <c r="S34" s="987"/>
      <c r="T34" s="429"/>
      <c r="U34" s="987"/>
      <c r="V34" s="429"/>
      <c r="W34" s="987"/>
      <c r="X34" s="429"/>
      <c r="Y34" s="987"/>
      <c r="Z34" s="429"/>
      <c r="AA34" s="1882"/>
      <c r="AB34" s="987">
        <f t="shared" si="3"/>
        <v>98.6</v>
      </c>
      <c r="AC34" s="429"/>
      <c r="AD34" s="986"/>
      <c r="AE34" s="429">
        <f>+'Exhibit F'!AF32+'Exhibit G state'!AH22</f>
        <v>95.100000000000009</v>
      </c>
      <c r="AF34" s="2062"/>
      <c r="AG34" s="2062"/>
      <c r="AH34" s="1159">
        <f t="shared" si="4"/>
        <v>3.5</v>
      </c>
      <c r="AI34" s="2042"/>
      <c r="AJ34" s="1884">
        <f>ROUND(SUM(+AH34/ABS(AE34)),3)</f>
        <v>3.6999999999999998E-2</v>
      </c>
    </row>
    <row r="35" spans="1:36" ht="15">
      <c r="A35" s="1256" t="s">
        <v>1454</v>
      </c>
      <c r="B35" s="2995"/>
      <c r="C35" s="987">
        <f>'Exhibit G state'!D23</f>
        <v>0</v>
      </c>
      <c r="D35" s="987"/>
      <c r="E35" s="987"/>
      <c r="F35" s="987"/>
      <c r="G35" s="987"/>
      <c r="H35" s="987"/>
      <c r="I35" s="987"/>
      <c r="J35" s="987"/>
      <c r="K35" s="987"/>
      <c r="L35" s="2995"/>
      <c r="M35" s="987"/>
      <c r="N35" s="2995"/>
      <c r="O35" s="987"/>
      <c r="P35" s="2995"/>
      <c r="Q35" s="987"/>
      <c r="R35" s="2995"/>
      <c r="S35" s="987"/>
      <c r="T35" s="2995"/>
      <c r="U35" s="987"/>
      <c r="V35" s="2995"/>
      <c r="W35" s="987"/>
      <c r="X35" s="2995"/>
      <c r="Y35" s="987"/>
      <c r="Z35" s="2995"/>
      <c r="AA35" s="1882"/>
      <c r="AB35" s="987">
        <f t="shared" si="3"/>
        <v>0</v>
      </c>
      <c r="AC35" s="2995"/>
      <c r="AD35" s="986"/>
      <c r="AE35" s="987">
        <v>0</v>
      </c>
      <c r="AF35" s="2062"/>
      <c r="AG35" s="2062"/>
      <c r="AH35" s="2993">
        <f t="shared" ref="AH35" si="5">ROUND(SUM(+AB35-AE35),1)</f>
        <v>0</v>
      </c>
      <c r="AI35" s="2042"/>
      <c r="AJ35" s="2741">
        <f>ROUND(IF(AE35=0,0,AH35/ABS(AE35)),3)</f>
        <v>0</v>
      </c>
    </row>
    <row r="36" spans="1:36" ht="15">
      <c r="A36" s="1256" t="s">
        <v>1261</v>
      </c>
      <c r="B36" s="429"/>
      <c r="C36" s="987">
        <f>+'Exhibit F'!D33+'Exhibit G state'!D24</f>
        <v>8.1999999999999993</v>
      </c>
      <c r="D36" s="987"/>
      <c r="E36" s="987"/>
      <c r="F36" s="987"/>
      <c r="G36" s="987"/>
      <c r="H36" s="987"/>
      <c r="I36" s="987"/>
      <c r="J36" s="987"/>
      <c r="K36" s="987"/>
      <c r="L36" s="429"/>
      <c r="M36" s="987"/>
      <c r="N36" s="429"/>
      <c r="O36" s="987"/>
      <c r="P36" s="429"/>
      <c r="Q36" s="987"/>
      <c r="R36" s="429"/>
      <c r="S36" s="987"/>
      <c r="T36" s="429"/>
      <c r="U36" s="987"/>
      <c r="V36" s="429"/>
      <c r="W36" s="987"/>
      <c r="X36" s="429"/>
      <c r="Y36" s="987"/>
      <c r="Z36" s="429"/>
      <c r="AA36" s="1882"/>
      <c r="AB36" s="987">
        <f t="shared" si="3"/>
        <v>8.1999999999999993</v>
      </c>
      <c r="AC36" s="429"/>
      <c r="AD36" s="986"/>
      <c r="AE36" s="429">
        <f>+'Exhibit F'!AF33+'Exhibit G state'!AH24</f>
        <v>8.6999999999999993</v>
      </c>
      <c r="AF36" s="2062"/>
      <c r="AG36" s="2062"/>
      <c r="AH36" s="1159">
        <f t="shared" si="4"/>
        <v>-0.5</v>
      </c>
      <c r="AI36" s="2042"/>
      <c r="AJ36" s="1884">
        <f>ROUND(SUM(+AH36/ABS(AE36)),3)</f>
        <v>-5.7000000000000002E-2</v>
      </c>
    </row>
    <row r="37" spans="1:36" ht="15">
      <c r="A37" s="1256" t="s">
        <v>1262</v>
      </c>
      <c r="B37" s="429"/>
      <c r="C37" s="987">
        <f>+'Exhibit F'!D34+'Exhibit G state'!D25</f>
        <v>20.399999999999999</v>
      </c>
      <c r="D37" s="987"/>
      <c r="E37" s="987"/>
      <c r="F37" s="987"/>
      <c r="G37" s="987"/>
      <c r="H37" s="987"/>
      <c r="I37" s="987"/>
      <c r="J37" s="987"/>
      <c r="K37" s="987"/>
      <c r="L37" s="429"/>
      <c r="M37" s="987"/>
      <c r="N37" s="429"/>
      <c r="O37" s="987"/>
      <c r="P37" s="429"/>
      <c r="Q37" s="987"/>
      <c r="R37" s="429"/>
      <c r="S37" s="987"/>
      <c r="T37" s="429"/>
      <c r="U37" s="987"/>
      <c r="V37" s="429"/>
      <c r="W37" s="987"/>
      <c r="X37" s="429"/>
      <c r="Y37" s="987"/>
      <c r="Z37" s="429"/>
      <c r="AA37" s="1882"/>
      <c r="AB37" s="987">
        <f t="shared" si="3"/>
        <v>20.399999999999999</v>
      </c>
      <c r="AC37" s="429"/>
      <c r="AD37" s="986"/>
      <c r="AE37" s="429">
        <f>+'Exhibit F'!AF34+'Exhibit G state'!AH25</f>
        <v>19.899999999999999</v>
      </c>
      <c r="AF37" s="2062"/>
      <c r="AG37" s="2062"/>
      <c r="AH37" s="1159">
        <f t="shared" si="4"/>
        <v>0.5</v>
      </c>
      <c r="AI37" s="2042"/>
      <c r="AJ37" s="1884">
        <f>ROUND(SUM(+AH37/ABS(AE37)),3)</f>
        <v>2.5000000000000001E-2</v>
      </c>
    </row>
    <row r="38" spans="1:36" ht="15">
      <c r="A38" s="1256" t="s">
        <v>1263</v>
      </c>
      <c r="B38" s="429"/>
      <c r="C38" s="987">
        <f>+'Exhibit F'!D35+'Exhibit G state'!D26</f>
        <v>0</v>
      </c>
      <c r="D38" s="987"/>
      <c r="E38" s="987"/>
      <c r="F38" s="987"/>
      <c r="G38" s="987"/>
      <c r="H38" s="987"/>
      <c r="I38" s="987"/>
      <c r="J38" s="987"/>
      <c r="K38" s="987"/>
      <c r="L38" s="429"/>
      <c r="M38" s="987"/>
      <c r="N38" s="429"/>
      <c r="O38" s="987"/>
      <c r="P38" s="429"/>
      <c r="Q38" s="987"/>
      <c r="R38" s="429"/>
      <c r="S38" s="987"/>
      <c r="T38" s="429"/>
      <c r="U38" s="987"/>
      <c r="V38" s="429"/>
      <c r="W38" s="987"/>
      <c r="X38" s="429"/>
      <c r="Y38" s="987"/>
      <c r="Z38" s="429"/>
      <c r="AA38" s="1882"/>
      <c r="AB38" s="987">
        <f t="shared" si="3"/>
        <v>0</v>
      </c>
      <c r="AC38" s="429"/>
      <c r="AD38" s="986"/>
      <c r="AE38" s="987">
        <f>+'Exhibit F'!AF35+'Exhibit G state'!AH26</f>
        <v>0</v>
      </c>
      <c r="AF38" s="2062"/>
      <c r="AG38" s="2062"/>
      <c r="AH38" s="1159">
        <f t="shared" si="4"/>
        <v>0</v>
      </c>
      <c r="AI38" s="2042"/>
      <c r="AJ38" s="1816">
        <f>ROUND(IF(AE38=0,0,AH38/ABS(AE38)),3)</f>
        <v>0</v>
      </c>
    </row>
    <row r="39" spans="1:36" ht="15">
      <c r="A39" s="2066" t="s">
        <v>1264</v>
      </c>
      <c r="B39" s="429"/>
      <c r="C39" s="987">
        <f>+'Exhibit F'!D36+'Exhibit G state'!D27</f>
        <v>15.7</v>
      </c>
      <c r="D39" s="987"/>
      <c r="E39" s="987"/>
      <c r="F39" s="987"/>
      <c r="G39" s="987"/>
      <c r="H39" s="987"/>
      <c r="I39" s="987"/>
      <c r="J39" s="987"/>
      <c r="K39" s="987"/>
      <c r="L39" s="429"/>
      <c r="M39" s="987"/>
      <c r="N39" s="429"/>
      <c r="O39" s="987"/>
      <c r="P39" s="429"/>
      <c r="Q39" s="987"/>
      <c r="R39" s="429"/>
      <c r="S39" s="987"/>
      <c r="T39" s="429"/>
      <c r="U39" s="987"/>
      <c r="V39" s="429"/>
      <c r="W39" s="987"/>
      <c r="X39" s="429"/>
      <c r="Y39" s="987"/>
      <c r="Z39" s="429"/>
      <c r="AA39" s="1882"/>
      <c r="AB39" s="987">
        <f t="shared" si="3"/>
        <v>15.7</v>
      </c>
      <c r="AC39" s="429"/>
      <c r="AD39" s="986"/>
      <c r="AE39" s="429">
        <f>+'Exhibit F'!AF36+'Exhibit G state'!AH27</f>
        <v>19.2</v>
      </c>
      <c r="AF39" s="2062"/>
      <c r="AG39" s="2062"/>
      <c r="AH39" s="1159">
        <f t="shared" si="4"/>
        <v>-3.5</v>
      </c>
      <c r="AI39" s="2042"/>
      <c r="AJ39" s="1884">
        <f>ROUND(SUM(+AH39/ABS(AE39)),3)</f>
        <v>-0.182</v>
      </c>
    </row>
    <row r="40" spans="1:36" ht="15.6">
      <c r="A40" s="588" t="s">
        <v>1257</v>
      </c>
      <c r="B40" s="429"/>
      <c r="C40" s="483">
        <f>ROUND(SUM(C32:C39),1)</f>
        <v>1230.5999999999999</v>
      </c>
      <c r="D40" s="429"/>
      <c r="E40" s="483">
        <f>ROUND(SUM(E32:E39),1)</f>
        <v>0</v>
      </c>
      <c r="F40" s="429"/>
      <c r="G40" s="483">
        <f>ROUND(SUM(G32:G39),1)</f>
        <v>0</v>
      </c>
      <c r="H40" s="429"/>
      <c r="I40" s="483">
        <f>ROUND(SUM(I32:I39),1)</f>
        <v>0</v>
      </c>
      <c r="J40" s="429"/>
      <c r="K40" s="483">
        <f>ROUND(SUM(K32:K39),1)</f>
        <v>0</v>
      </c>
      <c r="L40" s="429"/>
      <c r="M40" s="483">
        <f>ROUND(SUM(M32:M39),1)</f>
        <v>0</v>
      </c>
      <c r="N40" s="429"/>
      <c r="O40" s="483">
        <f>ROUND(SUM(O32:O39),1)</f>
        <v>0</v>
      </c>
      <c r="P40" s="429"/>
      <c r="Q40" s="483">
        <f>ROUND(SUM(Q32:Q39),1)</f>
        <v>0</v>
      </c>
      <c r="R40" s="429"/>
      <c r="S40" s="483">
        <f>ROUND(SUM(S32:S39),1)</f>
        <v>0</v>
      </c>
      <c r="T40" s="429"/>
      <c r="U40" s="483">
        <f>ROUND(SUM(U32:U39),1)</f>
        <v>0</v>
      </c>
      <c r="V40" s="429"/>
      <c r="W40" s="483">
        <f>ROUND(SUM(W32:W39),1)</f>
        <v>0</v>
      </c>
      <c r="X40" s="429"/>
      <c r="Y40" s="483">
        <f>ROUND(SUM(Y32:Y39),1)</f>
        <v>0</v>
      </c>
      <c r="Z40" s="429"/>
      <c r="AA40" s="1882"/>
      <c r="AB40" s="483">
        <f>ROUND(SUM(AB32:AB39),1)</f>
        <v>1230.5999999999999</v>
      </c>
      <c r="AC40" s="429"/>
      <c r="AD40" s="986"/>
      <c r="AE40" s="483">
        <f>ROUND(SUM(AE32:AE39),1)</f>
        <v>1190.5</v>
      </c>
      <c r="AF40" s="2062"/>
      <c r="AG40" s="2062"/>
      <c r="AH40" s="483">
        <f>ROUND(SUM(AH32:AH39),1)</f>
        <v>40.1</v>
      </c>
      <c r="AI40" s="2041"/>
      <c r="AJ40" s="527">
        <f>ROUND(SUM(+AH40/ABS(AE40)),3)</f>
        <v>3.4000000000000002E-2</v>
      </c>
    </row>
    <row r="41" spans="1:36" ht="15">
      <c r="A41" s="2027" t="s">
        <v>1310</v>
      </c>
      <c r="B41" s="429"/>
      <c r="C41" s="429"/>
      <c r="D41" s="429"/>
      <c r="E41" s="429"/>
      <c r="F41" s="429"/>
      <c r="G41" s="429"/>
      <c r="H41" s="429"/>
      <c r="I41" s="429"/>
      <c r="J41" s="429"/>
      <c r="K41" s="429"/>
      <c r="L41" s="429"/>
      <c r="M41" s="429"/>
      <c r="N41" s="429"/>
      <c r="O41" s="984"/>
      <c r="P41" s="429"/>
      <c r="Q41" s="984"/>
      <c r="R41" s="429"/>
      <c r="S41" s="984"/>
      <c r="T41" s="429"/>
      <c r="U41" s="984"/>
      <c r="V41" s="429"/>
      <c r="W41" s="984"/>
      <c r="X41" s="429"/>
      <c r="Y41" s="984"/>
      <c r="Z41" s="429"/>
      <c r="AA41" s="1882"/>
      <c r="AB41" s="429"/>
      <c r="AC41" s="429"/>
      <c r="AD41" s="986"/>
      <c r="AE41" s="429"/>
      <c r="AF41" s="2062"/>
      <c r="AG41" s="2062"/>
      <c r="AH41" s="1668"/>
      <c r="AI41" s="429"/>
      <c r="AJ41" s="1668"/>
    </row>
    <row r="42" spans="1:36" ht="15">
      <c r="A42" s="1256" t="s">
        <v>1266</v>
      </c>
      <c r="B42" s="429"/>
      <c r="C42" s="987">
        <f>+'Exhibit F'!D39+'Exhibit G state'!D30</f>
        <v>155.69999999999999</v>
      </c>
      <c r="D42" s="987"/>
      <c r="E42" s="987"/>
      <c r="F42" s="987"/>
      <c r="G42" s="987"/>
      <c r="H42" s="987"/>
      <c r="I42" s="987"/>
      <c r="J42" s="987"/>
      <c r="K42" s="987"/>
      <c r="L42" s="987"/>
      <c r="M42" s="987"/>
      <c r="N42" s="429"/>
      <c r="O42" s="987"/>
      <c r="P42" s="429"/>
      <c r="Q42" s="987"/>
      <c r="R42" s="429"/>
      <c r="S42" s="987"/>
      <c r="T42" s="429"/>
      <c r="U42" s="987"/>
      <c r="V42" s="429"/>
      <c r="W42" s="987"/>
      <c r="X42" s="429"/>
      <c r="Y42" s="987"/>
      <c r="Z42" s="429"/>
      <c r="AA42" s="1882"/>
      <c r="AB42" s="987">
        <f>ROUND(SUM(C42:Y42),1)</f>
        <v>155.69999999999999</v>
      </c>
      <c r="AC42" s="429"/>
      <c r="AD42" s="986"/>
      <c r="AE42" s="429">
        <f>+'Exhibit F'!AF39+'Exhibit G state'!AH30</f>
        <v>181.7</v>
      </c>
      <c r="AF42" s="2062"/>
      <c r="AG42" s="2062"/>
      <c r="AH42" s="1159">
        <f t="shared" ref="AH42:AH54" si="6">ROUND(SUM(+AB42-AE42),1)</f>
        <v>-26</v>
      </c>
      <c r="AI42" s="2042"/>
      <c r="AJ42" s="1884">
        <f t="shared" ref="AJ42:AJ47" si="7">ROUND(SUM(+AH42/ABS(AE42)),3)</f>
        <v>-0.14299999999999999</v>
      </c>
    </row>
    <row r="43" spans="1:36" ht="15">
      <c r="A43" s="1256" t="s">
        <v>1267</v>
      </c>
      <c r="B43" s="429"/>
      <c r="C43" s="987">
        <f>+'Exhibit G state'!D31+'Exhibit F'!D40</f>
        <v>10.399999999999999</v>
      </c>
      <c r="D43" s="987"/>
      <c r="E43" s="987"/>
      <c r="F43" s="987"/>
      <c r="G43" s="987"/>
      <c r="H43" s="987"/>
      <c r="I43" s="987"/>
      <c r="J43" s="987"/>
      <c r="K43" s="987"/>
      <c r="L43" s="987"/>
      <c r="M43" s="987"/>
      <c r="N43" s="429"/>
      <c r="O43" s="987"/>
      <c r="P43" s="429"/>
      <c r="Q43" s="987"/>
      <c r="R43" s="429"/>
      <c r="S43" s="987"/>
      <c r="T43" s="429"/>
      <c r="U43" s="987"/>
      <c r="V43" s="429"/>
      <c r="W43" s="987"/>
      <c r="X43" s="429"/>
      <c r="Y43" s="987"/>
      <c r="Z43" s="429"/>
      <c r="AA43" s="1882"/>
      <c r="AB43" s="987">
        <f>ROUND(SUM(C43:Y43),1)</f>
        <v>10.4</v>
      </c>
      <c r="AC43" s="429"/>
      <c r="AD43" s="986"/>
      <c r="AE43" s="429">
        <f>+'Exhibit G state'!AH31+'Exhibit F'!AF40</f>
        <v>4.9000000000000004</v>
      </c>
      <c r="AF43" s="2062"/>
      <c r="AG43" s="2062"/>
      <c r="AH43" s="1159">
        <f t="shared" si="6"/>
        <v>5.5</v>
      </c>
      <c r="AI43" s="2042"/>
      <c r="AJ43" s="1884">
        <f t="shared" si="7"/>
        <v>1.1220000000000001</v>
      </c>
    </row>
    <row r="44" spans="1:36" ht="15">
      <c r="A44" s="1256" t="s">
        <v>1268</v>
      </c>
      <c r="B44" s="429"/>
      <c r="C44" s="987">
        <f>+'Exhibit F'!D41+'Exhibit G state'!D32</f>
        <v>19.7</v>
      </c>
      <c r="D44" s="987"/>
      <c r="E44" s="987"/>
      <c r="F44" s="987"/>
      <c r="G44" s="987"/>
      <c r="H44" s="987"/>
      <c r="I44" s="987"/>
      <c r="J44" s="987"/>
      <c r="K44" s="987"/>
      <c r="L44" s="987"/>
      <c r="M44" s="987"/>
      <c r="N44" s="429"/>
      <c r="O44" s="987"/>
      <c r="P44" s="429"/>
      <c r="Q44" s="987"/>
      <c r="R44" s="429"/>
      <c r="S44" s="987"/>
      <c r="T44" s="429"/>
      <c r="U44" s="987"/>
      <c r="V44" s="429"/>
      <c r="W44" s="987"/>
      <c r="X44" s="429"/>
      <c r="Y44" s="987"/>
      <c r="Z44" s="429"/>
      <c r="AA44" s="1882"/>
      <c r="AB44" s="987">
        <f>ROUND(SUM(C44:Y44),1)</f>
        <v>19.7</v>
      </c>
      <c r="AC44" s="429"/>
      <c r="AD44" s="986"/>
      <c r="AE44" s="429">
        <f>+'Exhibit F'!AF41+'Exhibit G state'!AH32</f>
        <v>6.2</v>
      </c>
      <c r="AF44" s="2062"/>
      <c r="AG44" s="2062"/>
      <c r="AH44" s="1159">
        <f t="shared" si="6"/>
        <v>13.5</v>
      </c>
      <c r="AI44" s="2042"/>
      <c r="AJ44" s="1884">
        <f t="shared" si="7"/>
        <v>2.177</v>
      </c>
    </row>
    <row r="45" spans="1:36" ht="15">
      <c r="A45" s="1256" t="s">
        <v>1269</v>
      </c>
      <c r="B45" s="429"/>
      <c r="C45" s="987">
        <f>+'Exhibit F'!D42+'Exhibit G state'!D33</f>
        <v>6.2</v>
      </c>
      <c r="D45" s="987"/>
      <c r="E45" s="987"/>
      <c r="F45" s="987"/>
      <c r="G45" s="987"/>
      <c r="H45" s="987"/>
      <c r="I45" s="987"/>
      <c r="J45" s="987"/>
      <c r="K45" s="987"/>
      <c r="L45" s="987"/>
      <c r="M45" s="987"/>
      <c r="N45" s="429"/>
      <c r="O45" s="987"/>
      <c r="P45" s="429"/>
      <c r="Q45" s="987"/>
      <c r="R45" s="429"/>
      <c r="S45" s="987"/>
      <c r="T45" s="429"/>
      <c r="U45" s="987"/>
      <c r="V45" s="429"/>
      <c r="W45" s="987"/>
      <c r="X45" s="429"/>
      <c r="Y45" s="987"/>
      <c r="Z45" s="429"/>
      <c r="AA45" s="1882"/>
      <c r="AB45" s="987">
        <f>ROUND(SUM(C45:Y45),1)</f>
        <v>6.2</v>
      </c>
      <c r="AC45" s="429"/>
      <c r="AD45" s="986"/>
      <c r="AE45" s="429">
        <f>+'Exhibit F'!AF42+'Exhibit G state'!AH33</f>
        <v>30.4</v>
      </c>
      <c r="AF45" s="2062"/>
      <c r="AG45" s="2062"/>
      <c r="AH45" s="1159">
        <f t="shared" si="6"/>
        <v>-24.2</v>
      </c>
      <c r="AI45" s="2042"/>
      <c r="AJ45" s="1884">
        <f t="shared" si="7"/>
        <v>-0.79600000000000004</v>
      </c>
    </row>
    <row r="46" spans="1:36" ht="15">
      <c r="A46" s="1256" t="s">
        <v>1270</v>
      </c>
      <c r="B46" s="429"/>
      <c r="C46" s="987">
        <f>+'Exhibit F'!D43+'Exhibit G state'!D34</f>
        <v>39.299999999999997</v>
      </c>
      <c r="D46" s="987"/>
      <c r="E46" s="987"/>
      <c r="F46" s="987"/>
      <c r="G46" s="987"/>
      <c r="H46" s="987"/>
      <c r="I46" s="987"/>
      <c r="J46" s="987"/>
      <c r="K46" s="987"/>
      <c r="L46" s="987"/>
      <c r="M46" s="987"/>
      <c r="N46" s="429"/>
      <c r="O46" s="987"/>
      <c r="P46" s="429"/>
      <c r="Q46" s="987"/>
      <c r="R46" s="429"/>
      <c r="S46" s="987"/>
      <c r="T46" s="429"/>
      <c r="U46" s="987"/>
      <c r="V46" s="429"/>
      <c r="W46" s="987"/>
      <c r="X46" s="429"/>
      <c r="Y46" s="987"/>
      <c r="Z46" s="429"/>
      <c r="AA46" s="1882"/>
      <c r="AB46" s="987">
        <f>ROUND(SUM(C46:Y46),1)</f>
        <v>39.299999999999997</v>
      </c>
      <c r="AC46" s="429"/>
      <c r="AD46" s="986"/>
      <c r="AE46" s="429">
        <f>+'Exhibit F'!AF43+'Exhibit G state'!AH34</f>
        <v>40.6</v>
      </c>
      <c r="AF46" s="2062"/>
      <c r="AG46" s="2062"/>
      <c r="AH46" s="1159">
        <f t="shared" si="6"/>
        <v>-1.3</v>
      </c>
      <c r="AI46" s="2042"/>
      <c r="AJ46" s="1884">
        <f t="shared" si="7"/>
        <v>-3.2000000000000001E-2</v>
      </c>
    </row>
    <row r="47" spans="1:36" ht="15.6">
      <c r="A47" s="588" t="s">
        <v>1265</v>
      </c>
      <c r="B47" s="429"/>
      <c r="C47" s="483">
        <f>ROUND(SUM(C42:C46),1)</f>
        <v>231.3</v>
      </c>
      <c r="D47" s="429"/>
      <c r="E47" s="483">
        <f>ROUND(SUM(E42:E46),1)</f>
        <v>0</v>
      </c>
      <c r="F47" s="429"/>
      <c r="G47" s="483">
        <f>ROUND(SUM(G42:G46),1)</f>
        <v>0</v>
      </c>
      <c r="H47" s="429"/>
      <c r="I47" s="483">
        <f>ROUND(SUM(I42:I46),1)</f>
        <v>0</v>
      </c>
      <c r="J47" s="429"/>
      <c r="K47" s="483">
        <f>ROUND(SUM(K42:K46),1)</f>
        <v>0</v>
      </c>
      <c r="L47" s="429"/>
      <c r="M47" s="483">
        <f>ROUND(SUM(M42:M46),1)</f>
        <v>0</v>
      </c>
      <c r="N47" s="429"/>
      <c r="O47" s="483">
        <f>ROUND(SUM(O42:O46),1)</f>
        <v>0</v>
      </c>
      <c r="P47" s="429"/>
      <c r="Q47" s="483">
        <f>ROUND(SUM(Q42:Q46),1)</f>
        <v>0</v>
      </c>
      <c r="R47" s="429"/>
      <c r="S47" s="483">
        <f>ROUND(SUM(S42:S46),1)</f>
        <v>0</v>
      </c>
      <c r="T47" s="429"/>
      <c r="U47" s="483">
        <f>ROUND(SUM(U42:U46),1)</f>
        <v>0</v>
      </c>
      <c r="V47" s="429"/>
      <c r="W47" s="483">
        <f>ROUND(SUM(W42:W46),1)</f>
        <v>0</v>
      </c>
      <c r="X47" s="429"/>
      <c r="Y47" s="483">
        <f>ROUND(SUM(Y42:Y46),1)</f>
        <v>0</v>
      </c>
      <c r="Z47" s="429"/>
      <c r="AA47" s="1882"/>
      <c r="AB47" s="483">
        <f>ROUND(SUM(AB42:AB46),1)</f>
        <v>231.3</v>
      </c>
      <c r="AC47" s="429"/>
      <c r="AD47" s="986"/>
      <c r="AE47" s="483">
        <f>ROUND(SUM(AE42:AE46),1)</f>
        <v>263.8</v>
      </c>
      <c r="AF47" s="2062"/>
      <c r="AG47" s="2062"/>
      <c r="AH47" s="483">
        <f>ROUND(SUM(AH42:AH46),1)</f>
        <v>-32.5</v>
      </c>
      <c r="AI47" s="2041"/>
      <c r="AJ47" s="527">
        <f t="shared" si="7"/>
        <v>-0.123</v>
      </c>
    </row>
    <row r="48" spans="1:36" ht="15">
      <c r="A48" s="2027" t="s">
        <v>1311</v>
      </c>
      <c r="B48" s="429"/>
      <c r="C48" s="429"/>
      <c r="D48" s="429"/>
      <c r="E48" s="429"/>
      <c r="F48" s="429"/>
      <c r="G48" s="429"/>
      <c r="H48" s="429"/>
      <c r="I48" s="429"/>
      <c r="J48" s="429"/>
      <c r="K48" s="429"/>
      <c r="L48" s="429"/>
      <c r="M48" s="429"/>
      <c r="N48" s="429"/>
      <c r="O48" s="984"/>
      <c r="P48" s="429"/>
      <c r="Q48" s="984"/>
      <c r="R48" s="429"/>
      <c r="S48" s="984"/>
      <c r="T48" s="429"/>
      <c r="U48" s="984"/>
      <c r="V48" s="429"/>
      <c r="W48" s="984"/>
      <c r="X48" s="429"/>
      <c r="Y48" s="984"/>
      <c r="Z48" s="429"/>
      <c r="AA48" s="1882"/>
      <c r="AB48" s="429"/>
      <c r="AC48" s="429"/>
      <c r="AD48" s="986"/>
      <c r="AE48" s="429"/>
      <c r="AF48" s="2062"/>
      <c r="AG48" s="2062"/>
      <c r="AH48" s="1668"/>
      <c r="AI48" s="429"/>
      <c r="AJ48" s="1668"/>
    </row>
    <row r="49" spans="1:36" ht="15">
      <c r="A49" s="1256" t="s">
        <v>1273</v>
      </c>
      <c r="B49" s="429"/>
      <c r="C49" s="987">
        <f>+'Exhibit F'!D46</f>
        <v>0</v>
      </c>
      <c r="D49" s="987"/>
      <c r="E49" s="987"/>
      <c r="F49" s="987"/>
      <c r="G49" s="987"/>
      <c r="H49" s="987"/>
      <c r="I49" s="987"/>
      <c r="J49" s="987"/>
      <c r="K49" s="987"/>
      <c r="L49" s="429"/>
      <c r="M49" s="987"/>
      <c r="N49" s="429"/>
      <c r="O49" s="987"/>
      <c r="P49" s="429"/>
      <c r="Q49" s="987"/>
      <c r="R49" s="429"/>
      <c r="S49" s="987"/>
      <c r="T49" s="429"/>
      <c r="U49" s="987"/>
      <c r="V49" s="429"/>
      <c r="W49" s="987"/>
      <c r="X49" s="429"/>
      <c r="Y49" s="987"/>
      <c r="Z49" s="429"/>
      <c r="AA49" s="1882"/>
      <c r="AB49" s="987">
        <f t="shared" ref="AB49:AB54" si="8">ROUND(SUM(C49:Y49),1)</f>
        <v>0</v>
      </c>
      <c r="AC49" s="429"/>
      <c r="AD49" s="986"/>
      <c r="AE49" s="987">
        <f>+'Exhibit F'!AF46</f>
        <v>0</v>
      </c>
      <c r="AF49" s="2062"/>
      <c r="AG49" s="2062"/>
      <c r="AH49" s="1159">
        <f t="shared" si="6"/>
        <v>0</v>
      </c>
      <c r="AI49" s="429"/>
      <c r="AJ49" s="2741">
        <f>ROUND(IF(AE49=0,0,AH49/ABS(AE49)),3)</f>
        <v>0</v>
      </c>
    </row>
    <row r="50" spans="1:36" ht="15">
      <c r="A50" s="1256" t="s">
        <v>1274</v>
      </c>
      <c r="B50" s="429"/>
      <c r="C50" s="987">
        <f>+'Exhibit F'!D47</f>
        <v>74.900000000000006</v>
      </c>
      <c r="D50" s="987"/>
      <c r="E50" s="987"/>
      <c r="F50" s="987"/>
      <c r="G50" s="987"/>
      <c r="H50" s="987"/>
      <c r="I50" s="987"/>
      <c r="J50" s="987"/>
      <c r="K50" s="987"/>
      <c r="L50" s="429"/>
      <c r="M50" s="987"/>
      <c r="N50" s="429"/>
      <c r="O50" s="987"/>
      <c r="P50" s="429"/>
      <c r="Q50" s="987"/>
      <c r="R50" s="429"/>
      <c r="S50" s="987"/>
      <c r="T50" s="429"/>
      <c r="U50" s="987"/>
      <c r="V50" s="429"/>
      <c r="W50" s="987"/>
      <c r="X50" s="429"/>
      <c r="Y50" s="987"/>
      <c r="Z50" s="429"/>
      <c r="AA50" s="1882"/>
      <c r="AB50" s="987">
        <f t="shared" si="8"/>
        <v>74.900000000000006</v>
      </c>
      <c r="AC50" s="429"/>
      <c r="AD50" s="986"/>
      <c r="AE50" s="429">
        <f>+'Exhibit F'!AF47</f>
        <v>148.9</v>
      </c>
      <c r="AF50" s="2062"/>
      <c r="AG50" s="2062"/>
      <c r="AH50" s="1159">
        <f t="shared" si="6"/>
        <v>-74</v>
      </c>
      <c r="AI50" s="429"/>
      <c r="AJ50" s="1884">
        <f t="shared" ref="AJ50:AJ55" si="9">ROUND(SUM(+AH50/ABS(AE50)),3)</f>
        <v>-0.497</v>
      </c>
    </row>
    <row r="51" spans="1:36" ht="15">
      <c r="A51" s="1256" t="s">
        <v>1275</v>
      </c>
      <c r="B51" s="429"/>
      <c r="C51" s="987">
        <f>+'Exhibit F'!D48</f>
        <v>0.7</v>
      </c>
      <c r="D51" s="987"/>
      <c r="E51" s="987"/>
      <c r="F51" s="987"/>
      <c r="G51" s="987"/>
      <c r="H51" s="987"/>
      <c r="I51" s="987"/>
      <c r="J51" s="987"/>
      <c r="K51" s="987"/>
      <c r="L51" s="429"/>
      <c r="M51" s="987"/>
      <c r="N51" s="429"/>
      <c r="O51" s="987"/>
      <c r="P51" s="429"/>
      <c r="Q51" s="987"/>
      <c r="R51" s="429"/>
      <c r="S51" s="987"/>
      <c r="T51" s="429"/>
      <c r="U51" s="987"/>
      <c r="V51" s="429"/>
      <c r="W51" s="987"/>
      <c r="X51" s="429"/>
      <c r="Y51" s="987"/>
      <c r="Z51" s="429"/>
      <c r="AA51" s="1882"/>
      <c r="AB51" s="987">
        <f t="shared" si="8"/>
        <v>0.7</v>
      </c>
      <c r="AC51" s="429"/>
      <c r="AD51" s="986"/>
      <c r="AE51" s="429">
        <f>+'Exhibit F'!AF48</f>
        <v>0.9</v>
      </c>
      <c r="AF51" s="2062"/>
      <c r="AG51" s="2062"/>
      <c r="AH51" s="1159">
        <f t="shared" si="6"/>
        <v>-0.2</v>
      </c>
      <c r="AI51" s="429"/>
      <c r="AJ51" s="1884">
        <f t="shared" si="9"/>
        <v>-0.222</v>
      </c>
    </row>
    <row r="52" spans="1:36" ht="15">
      <c r="A52" s="1256" t="s">
        <v>1276</v>
      </c>
      <c r="B52" s="429"/>
      <c r="C52" s="987">
        <f>+'Exhibit F'!D49+'Exhibit H'!B22</f>
        <v>90.4</v>
      </c>
      <c r="D52" s="987"/>
      <c r="E52" s="987"/>
      <c r="F52" s="987"/>
      <c r="G52" s="987"/>
      <c r="H52" s="987"/>
      <c r="I52" s="987"/>
      <c r="J52" s="987"/>
      <c r="K52" s="987"/>
      <c r="L52" s="429"/>
      <c r="M52" s="987"/>
      <c r="N52" s="429"/>
      <c r="O52" s="987"/>
      <c r="P52" s="429"/>
      <c r="Q52" s="987"/>
      <c r="R52" s="429"/>
      <c r="S52" s="987"/>
      <c r="T52" s="429"/>
      <c r="U52" s="987"/>
      <c r="V52" s="429"/>
      <c r="W52" s="987"/>
      <c r="X52" s="429"/>
      <c r="Y52" s="987"/>
      <c r="Z52" s="429"/>
      <c r="AA52" s="1882"/>
      <c r="AB52" s="987">
        <f t="shared" si="8"/>
        <v>90.4</v>
      </c>
      <c r="AC52" s="429"/>
      <c r="AD52" s="986"/>
      <c r="AE52" s="429">
        <f>+'Exhibit F'!AF49+' Exhibit I State'!AI28+'Exhibit H'!AD22</f>
        <v>86.3</v>
      </c>
      <c r="AF52" s="2062"/>
      <c r="AG52" s="2062"/>
      <c r="AH52" s="1159">
        <f t="shared" si="6"/>
        <v>4.0999999999999996</v>
      </c>
      <c r="AI52" s="429"/>
      <c r="AJ52" s="1884">
        <f t="shared" si="9"/>
        <v>4.8000000000000001E-2</v>
      </c>
    </row>
    <row r="53" spans="1:36" ht="15">
      <c r="A53" s="1256" t="s">
        <v>1277</v>
      </c>
      <c r="B53" s="429"/>
      <c r="C53" s="987">
        <f>+'Exhibit F'!D50</f>
        <v>0</v>
      </c>
      <c r="D53" s="987"/>
      <c r="E53" s="987"/>
      <c r="F53" s="987"/>
      <c r="G53" s="987"/>
      <c r="H53" s="987"/>
      <c r="I53" s="987"/>
      <c r="J53" s="987"/>
      <c r="K53" s="987"/>
      <c r="L53" s="429"/>
      <c r="M53" s="987"/>
      <c r="N53" s="429"/>
      <c r="O53" s="987"/>
      <c r="P53" s="429"/>
      <c r="Q53" s="987"/>
      <c r="R53" s="429"/>
      <c r="S53" s="987"/>
      <c r="T53" s="429"/>
      <c r="U53" s="987"/>
      <c r="V53" s="429"/>
      <c r="W53" s="987"/>
      <c r="X53" s="429"/>
      <c r="Y53" s="987"/>
      <c r="Z53" s="429"/>
      <c r="AA53" s="1882"/>
      <c r="AB53" s="987">
        <f t="shared" si="8"/>
        <v>0</v>
      </c>
      <c r="AC53" s="429"/>
      <c r="AD53" s="986"/>
      <c r="AE53" s="987">
        <f>+'Exhibit F'!AF50</f>
        <v>0</v>
      </c>
      <c r="AF53" s="2062"/>
      <c r="AG53" s="2062"/>
      <c r="AH53" s="1159">
        <f t="shared" si="6"/>
        <v>0</v>
      </c>
      <c r="AI53" s="429"/>
      <c r="AJ53" s="1884">
        <f>ROUND(IF(AE53=0,0,AH53/ABS(AE53)),3)</f>
        <v>0</v>
      </c>
    </row>
    <row r="54" spans="1:36" ht="15">
      <c r="A54" s="2066" t="s">
        <v>1278</v>
      </c>
      <c r="B54" s="429"/>
      <c r="C54" s="987">
        <f>+'Exhibit F'!D51+'Exhibit G state'!D37</f>
        <v>116.6</v>
      </c>
      <c r="D54" s="987"/>
      <c r="E54" s="987"/>
      <c r="F54" s="987"/>
      <c r="G54" s="987"/>
      <c r="H54" s="987"/>
      <c r="I54" s="987"/>
      <c r="J54" s="987"/>
      <c r="K54" s="987"/>
      <c r="L54" s="429"/>
      <c r="M54" s="987"/>
      <c r="N54" s="429"/>
      <c r="O54" s="987"/>
      <c r="P54" s="429"/>
      <c r="Q54" s="987"/>
      <c r="R54" s="429"/>
      <c r="S54" s="987"/>
      <c r="T54" s="429"/>
      <c r="U54" s="987"/>
      <c r="V54" s="429"/>
      <c r="W54" s="987"/>
      <c r="X54" s="429"/>
      <c r="Y54" s="987"/>
      <c r="Z54" s="429"/>
      <c r="AA54" s="1882"/>
      <c r="AB54" s="987">
        <f t="shared" si="8"/>
        <v>116.6</v>
      </c>
      <c r="AC54" s="429"/>
      <c r="AD54" s="986"/>
      <c r="AE54" s="2062">
        <f>+'Exhibit F'!AF51+'Exhibit G state'!AH37</f>
        <v>132.6</v>
      </c>
      <c r="AF54" s="2062"/>
      <c r="AG54" s="2062"/>
      <c r="AH54" s="1159">
        <f t="shared" si="6"/>
        <v>-16</v>
      </c>
      <c r="AI54" s="429"/>
      <c r="AJ54" s="1884">
        <f t="shared" si="9"/>
        <v>-0.121</v>
      </c>
    </row>
    <row r="55" spans="1:36" ht="15.6">
      <c r="A55" s="588" t="s">
        <v>1271</v>
      </c>
      <c r="B55" s="429"/>
      <c r="C55" s="1269">
        <f>ROUND(SUM(C49:C54),1)</f>
        <v>282.60000000000002</v>
      </c>
      <c r="D55" s="429"/>
      <c r="E55" s="1269">
        <f>ROUND(SUM(E49:E54),1)</f>
        <v>0</v>
      </c>
      <c r="F55" s="429"/>
      <c r="G55" s="1269">
        <f>ROUND(SUM(G49:G54),1)</f>
        <v>0</v>
      </c>
      <c r="H55" s="429"/>
      <c r="I55" s="1269">
        <f>ROUND(SUM(I49:I54),1)</f>
        <v>0</v>
      </c>
      <c r="J55" s="429"/>
      <c r="K55" s="1269">
        <f>ROUND(SUM(K49:K54),1)</f>
        <v>0</v>
      </c>
      <c r="L55" s="429"/>
      <c r="M55" s="1269">
        <f>ROUND(SUM(M49:M54),1)</f>
        <v>0</v>
      </c>
      <c r="N55" s="429"/>
      <c r="O55" s="1269">
        <f>ROUND(SUM(O49:O54),1)</f>
        <v>0</v>
      </c>
      <c r="P55" s="429"/>
      <c r="Q55" s="1269">
        <f>ROUND(SUM(Q49:Q54),1)</f>
        <v>0</v>
      </c>
      <c r="R55" s="429"/>
      <c r="S55" s="1269">
        <f>ROUND(SUM(S49:S54),1)</f>
        <v>0</v>
      </c>
      <c r="T55" s="429"/>
      <c r="U55" s="1269">
        <f>ROUND(SUM(U49:U54),1)</f>
        <v>0</v>
      </c>
      <c r="V55" s="429"/>
      <c r="W55" s="1269">
        <f>ROUND(SUM(W49:W54),1)</f>
        <v>0</v>
      </c>
      <c r="X55" s="429"/>
      <c r="Y55" s="1269">
        <f>ROUND(SUM(Y49:Y54),1)</f>
        <v>0</v>
      </c>
      <c r="Z55" s="429"/>
      <c r="AA55" s="1882"/>
      <c r="AB55" s="1269">
        <f>ROUND(SUM(AB49:AB54),1)</f>
        <v>282.60000000000002</v>
      </c>
      <c r="AC55" s="429"/>
      <c r="AD55" s="986"/>
      <c r="AE55" s="483">
        <f>ROUND(SUM(AE49:AE54),1)</f>
        <v>368.7</v>
      </c>
      <c r="AF55" s="2062"/>
      <c r="AG55" s="2062"/>
      <c r="AH55" s="483">
        <f>ROUND(SUM(AH49:AH54),1)</f>
        <v>-86.1</v>
      </c>
      <c r="AI55" s="2041"/>
      <c r="AJ55" s="2053">
        <f t="shared" si="9"/>
        <v>-0.23400000000000001</v>
      </c>
    </row>
    <row r="56" spans="1:36" ht="15.6">
      <c r="A56" s="429"/>
      <c r="B56" s="429"/>
      <c r="C56" s="999"/>
      <c r="D56" s="987"/>
      <c r="E56" s="999"/>
      <c r="F56" s="999"/>
      <c r="G56" s="999"/>
      <c r="H56" s="999"/>
      <c r="I56" s="999"/>
      <c r="J56" s="999"/>
      <c r="K56" s="999"/>
      <c r="L56" s="999"/>
      <c r="M56" s="999"/>
      <c r="N56" s="999"/>
      <c r="O56" s="999"/>
      <c r="P56" s="999"/>
      <c r="Q56" s="999"/>
      <c r="R56" s="999"/>
      <c r="S56" s="999"/>
      <c r="T56" s="999"/>
      <c r="U56" s="999"/>
      <c r="V56" s="999"/>
      <c r="W56" s="999"/>
      <c r="X56" s="999"/>
      <c r="Y56" s="999"/>
      <c r="Z56" s="987"/>
      <c r="AA56" s="1883"/>
      <c r="AB56" s="2060"/>
      <c r="AC56" s="987"/>
      <c r="AD56" s="989"/>
      <c r="AE56" s="999"/>
      <c r="AF56" s="999"/>
      <c r="AG56" s="999"/>
      <c r="AH56" s="999"/>
      <c r="AI56" s="429"/>
      <c r="AJ56" s="2025"/>
    </row>
    <row r="57" spans="1:36" ht="15.6">
      <c r="A57" s="588" t="s">
        <v>1239</v>
      </c>
      <c r="B57" s="222"/>
      <c r="C57" s="195">
        <f>ROUND(SUM(C55+C47+C40+C30),1)</f>
        <v>8128.2</v>
      </c>
      <c r="D57" s="261"/>
      <c r="E57" s="195">
        <f>ROUND(SUM(E55+E47+E40+E30),1)</f>
        <v>0</v>
      </c>
      <c r="F57" s="261"/>
      <c r="G57" s="195">
        <f>ROUND(SUM(G55+G47+G40+G30),1)</f>
        <v>0</v>
      </c>
      <c r="H57" s="261"/>
      <c r="I57" s="195">
        <f>ROUND(SUM(I55+I47+I40+I30),1)</f>
        <v>0</v>
      </c>
      <c r="J57" s="261"/>
      <c r="K57" s="195">
        <f>ROUND(SUM(K55+K47+K40+K30),1)</f>
        <v>0</v>
      </c>
      <c r="L57" s="261"/>
      <c r="M57" s="195">
        <f>ROUND(SUM(M55+M47+M40+M30),1)</f>
        <v>0</v>
      </c>
      <c r="N57" s="261"/>
      <c r="O57" s="615">
        <f>ROUND(SUM(O55+O47+O40+O30),1)</f>
        <v>0</v>
      </c>
      <c r="P57" s="261"/>
      <c r="Q57" s="615">
        <f>ROUND(SUM(Q55+Q47+Q40+Q30),1)</f>
        <v>0</v>
      </c>
      <c r="R57" s="261"/>
      <c r="S57" s="615">
        <f>ROUND(SUM(S30+S40+S47+S55),1)</f>
        <v>0</v>
      </c>
      <c r="T57" s="261"/>
      <c r="U57" s="615">
        <f>ROUND(SUM(U30+U40+U47+U55),1)</f>
        <v>0</v>
      </c>
      <c r="V57" s="261"/>
      <c r="W57" s="615">
        <f>ROUND(SUM(W30+W40+W47+W55),1)</f>
        <v>0</v>
      </c>
      <c r="X57" s="367"/>
      <c r="Y57" s="615">
        <f>ROUND(SUM(Y30+Y40+Y47+Y55),1)</f>
        <v>0</v>
      </c>
      <c r="Z57" s="367"/>
      <c r="AA57" s="237"/>
      <c r="AB57" s="1006">
        <f>ROUND(SUM(C57:Y57),1)</f>
        <v>8128.2</v>
      </c>
      <c r="AC57" s="261"/>
      <c r="AD57" s="250"/>
      <c r="AE57" s="615">
        <f>ROUND(SUM(+AE30+AE40+AE47+AE55),1)</f>
        <v>8541.4</v>
      </c>
      <c r="AF57" s="249"/>
      <c r="AG57" s="1272"/>
      <c r="AH57" s="615">
        <f>ROUND(+AB57-AE57,1)</f>
        <v>-413.2</v>
      </c>
      <c r="AI57" s="1860"/>
      <c r="AJ57" s="524">
        <f>ROUND(SUM(+AH57/ABS(AE57)),3)</f>
        <v>-4.8000000000000001E-2</v>
      </c>
    </row>
    <row r="58" spans="1:36" ht="15">
      <c r="A58" s="429"/>
      <c r="B58" s="429"/>
      <c r="C58" s="987"/>
      <c r="D58" s="987"/>
      <c r="E58" s="987"/>
      <c r="F58" s="987"/>
      <c r="G58" s="987"/>
      <c r="H58" s="987"/>
      <c r="I58" s="987"/>
      <c r="J58" s="987"/>
      <c r="K58" s="987"/>
      <c r="L58" s="987"/>
      <c r="M58" s="987"/>
      <c r="N58" s="987"/>
      <c r="O58" s="987"/>
      <c r="P58" s="987"/>
      <c r="Q58" s="987"/>
      <c r="R58" s="987"/>
      <c r="S58" s="987"/>
      <c r="T58" s="987"/>
      <c r="U58" s="987"/>
      <c r="V58" s="987"/>
      <c r="X58" s="987"/>
      <c r="Y58" s="987"/>
      <c r="Z58" s="987"/>
      <c r="AA58" s="1883"/>
      <c r="AB58" s="987"/>
      <c r="AC58" s="987"/>
      <c r="AD58" s="989"/>
      <c r="AE58" s="987"/>
      <c r="AF58" s="999"/>
      <c r="AG58" s="999"/>
      <c r="AH58" s="987"/>
      <c r="AI58" s="429"/>
      <c r="AJ58" s="1884"/>
    </row>
    <row r="59" spans="1:36" ht="15.6">
      <c r="A59" s="489" t="s">
        <v>1173</v>
      </c>
      <c r="B59" s="429"/>
      <c r="C59" s="987"/>
      <c r="D59" s="987"/>
      <c r="E59" s="987"/>
      <c r="F59" s="987"/>
      <c r="G59" s="987"/>
      <c r="H59" s="987"/>
      <c r="I59" s="987"/>
      <c r="J59" s="987"/>
      <c r="K59" s="987"/>
      <c r="L59" s="987"/>
      <c r="M59" s="987"/>
      <c r="N59" s="987"/>
      <c r="O59" s="987"/>
      <c r="P59" s="987"/>
      <c r="Q59" s="987"/>
      <c r="R59" s="987"/>
      <c r="S59" s="987"/>
      <c r="T59" s="987"/>
      <c r="U59" s="987"/>
      <c r="V59" s="987"/>
      <c r="X59" s="987"/>
      <c r="Y59" s="987"/>
      <c r="Z59" s="987"/>
      <c r="AA59" s="988"/>
      <c r="AB59" s="987"/>
      <c r="AC59" s="987"/>
      <c r="AD59" s="989"/>
      <c r="AE59" s="987"/>
      <c r="AF59" s="999"/>
      <c r="AG59" s="999"/>
      <c r="AH59" s="987"/>
      <c r="AI59" s="429"/>
      <c r="AJ59" s="1816"/>
    </row>
    <row r="60" spans="1:36" ht="15">
      <c r="A60" s="1784" t="s">
        <v>1301</v>
      </c>
      <c r="B60" s="429"/>
      <c r="C60" s="987"/>
      <c r="D60" s="987"/>
      <c r="E60" s="987"/>
      <c r="F60" s="987"/>
      <c r="G60" s="987"/>
      <c r="H60" s="987"/>
      <c r="I60" s="987"/>
      <c r="J60" s="987"/>
      <c r="K60" s="987"/>
      <c r="L60" s="987"/>
      <c r="M60" s="987"/>
      <c r="N60" s="987"/>
      <c r="O60" s="987"/>
      <c r="P60" s="987"/>
      <c r="Q60" s="987"/>
      <c r="R60" s="987"/>
      <c r="S60" s="987"/>
      <c r="T60" s="987"/>
      <c r="U60" s="987"/>
      <c r="V60" s="987"/>
      <c r="X60" s="987"/>
      <c r="Y60" s="987"/>
      <c r="Z60" s="987"/>
      <c r="AA60" s="988"/>
      <c r="AB60" s="987"/>
      <c r="AC60" s="987"/>
      <c r="AD60" s="989"/>
      <c r="AE60" s="987"/>
      <c r="AF60" s="999"/>
      <c r="AG60" s="999"/>
      <c r="AH60" s="987"/>
      <c r="AI60" s="429"/>
      <c r="AJ60" s="1816"/>
    </row>
    <row r="61" spans="1:36" ht="15">
      <c r="A61" s="1784" t="s">
        <v>1171</v>
      </c>
      <c r="B61" s="429"/>
      <c r="C61" s="987">
        <f>+'Exhibit F'!D58+'Exhibit G state'!D44</f>
        <v>0.9</v>
      </c>
      <c r="D61" s="987"/>
      <c r="E61" s="987"/>
      <c r="F61" s="987"/>
      <c r="G61" s="987"/>
      <c r="H61" s="987"/>
      <c r="I61" s="987"/>
      <c r="J61" s="987"/>
      <c r="K61" s="987"/>
      <c r="L61" s="987"/>
      <c r="M61" s="987"/>
      <c r="N61" s="987"/>
      <c r="O61" s="987"/>
      <c r="P61" s="987"/>
      <c r="Q61" s="987"/>
      <c r="R61" s="987"/>
      <c r="S61" s="987"/>
      <c r="T61" s="987"/>
      <c r="U61" s="987"/>
      <c r="V61" s="987"/>
      <c r="W61" s="987"/>
      <c r="X61" s="987"/>
      <c r="Y61" s="2820"/>
      <c r="Z61" s="987"/>
      <c r="AA61" s="988"/>
      <c r="AB61" s="987">
        <f>ROUND(SUM(C61:Y61),1)</f>
        <v>0.9</v>
      </c>
      <c r="AC61" s="987"/>
      <c r="AD61" s="989"/>
      <c r="AE61" s="987">
        <f>+'Exhibit F'!AF58+'Exhibit G state'!AH44</f>
        <v>0.8</v>
      </c>
      <c r="AF61" s="999"/>
      <c r="AG61" s="999"/>
      <c r="AH61" s="987">
        <f t="shared" ref="AH61:AH100" si="10">ROUND(SUM(AB61-AE61),1)</f>
        <v>0.1</v>
      </c>
      <c r="AI61" s="429"/>
      <c r="AJ61" s="1884">
        <f>ROUND(SUM(AH61/ABS(AE61)),3)</f>
        <v>0.125</v>
      </c>
    </row>
    <row r="62" spans="1:36" ht="15">
      <c r="A62" s="1784" t="s">
        <v>1172</v>
      </c>
      <c r="B62" s="429"/>
      <c r="C62" s="987">
        <f>+'Exhibit F'!D59</f>
        <v>-0.3</v>
      </c>
      <c r="D62" s="987"/>
      <c r="E62" s="987"/>
      <c r="F62" s="987"/>
      <c r="G62" s="987"/>
      <c r="H62" s="987"/>
      <c r="I62" s="987"/>
      <c r="J62" s="987"/>
      <c r="K62" s="987"/>
      <c r="L62" s="987"/>
      <c r="M62" s="987"/>
      <c r="N62" s="987"/>
      <c r="O62" s="987"/>
      <c r="P62" s="987"/>
      <c r="Q62" s="987"/>
      <c r="R62" s="987"/>
      <c r="S62" s="987"/>
      <c r="T62" s="987"/>
      <c r="U62" s="987"/>
      <c r="V62" s="987"/>
      <c r="W62" s="987"/>
      <c r="X62" s="987"/>
      <c r="Y62" s="2820"/>
      <c r="Z62" s="987"/>
      <c r="AA62" s="988"/>
      <c r="AB62" s="987">
        <f>ROUND(SUM(C62:Y62),1)</f>
        <v>-0.3</v>
      </c>
      <c r="AC62" s="987"/>
      <c r="AD62" s="989"/>
      <c r="AE62" s="987">
        <f>+'Exhibit F'!AF59</f>
        <v>0.5</v>
      </c>
      <c r="AF62" s="999"/>
      <c r="AG62" s="999"/>
      <c r="AH62" s="987">
        <f t="shared" si="10"/>
        <v>-0.8</v>
      </c>
      <c r="AI62" s="429"/>
      <c r="AJ62" s="1884">
        <f>ROUND(SUM(AH62/ABS(AE62)),3)</f>
        <v>-1.6</v>
      </c>
    </row>
    <row r="63" spans="1:36" ht="15">
      <c r="A63" s="1784" t="s">
        <v>1302</v>
      </c>
      <c r="B63" s="429"/>
      <c r="C63" s="987"/>
      <c r="D63" s="987"/>
      <c r="E63" s="987"/>
      <c r="F63" s="987"/>
      <c r="G63" s="987"/>
      <c r="H63" s="987"/>
      <c r="I63" s="987"/>
      <c r="J63" s="987"/>
      <c r="K63" s="987"/>
      <c r="L63" s="987"/>
      <c r="M63" s="987"/>
      <c r="N63" s="987"/>
      <c r="O63" s="987"/>
      <c r="P63" s="987"/>
      <c r="Q63" s="987"/>
      <c r="R63" s="987"/>
      <c r="S63" s="987"/>
      <c r="T63" s="987"/>
      <c r="U63" s="987"/>
      <c r="V63" s="987"/>
      <c r="W63" s="987"/>
      <c r="X63" s="987"/>
      <c r="Y63" s="2820"/>
      <c r="Z63" s="987"/>
      <c r="AA63" s="988"/>
      <c r="AB63" s="987"/>
      <c r="AC63" s="987"/>
      <c r="AD63" s="989"/>
      <c r="AE63" s="987"/>
      <c r="AF63" s="999"/>
      <c r="AG63" s="999"/>
      <c r="AH63" s="987" t="s">
        <v>16</v>
      </c>
      <c r="AI63" s="429" t="s">
        <v>16</v>
      </c>
      <c r="AJ63" s="1816" t="s">
        <v>16</v>
      </c>
    </row>
    <row r="64" spans="1:36" ht="15">
      <c r="A64" s="1784" t="s">
        <v>1176</v>
      </c>
      <c r="B64" s="429"/>
      <c r="C64" s="987">
        <f>+'Exhibit F'!D61+'Exhibit G state'!D46</f>
        <v>28.5</v>
      </c>
      <c r="D64" s="987"/>
      <c r="E64" s="987"/>
      <c r="F64" s="987"/>
      <c r="G64" s="987"/>
      <c r="H64" s="987"/>
      <c r="I64" s="987"/>
      <c r="J64" s="987"/>
      <c r="K64" s="987"/>
      <c r="L64" s="987"/>
      <c r="M64" s="987"/>
      <c r="N64" s="987"/>
      <c r="O64" s="987"/>
      <c r="P64" s="987"/>
      <c r="Q64" s="987"/>
      <c r="R64" s="987"/>
      <c r="S64" s="987"/>
      <c r="T64" s="987"/>
      <c r="U64" s="987"/>
      <c r="V64" s="987"/>
      <c r="W64" s="987"/>
      <c r="X64" s="987"/>
      <c r="Y64" s="2820"/>
      <c r="Z64" s="987"/>
      <c r="AA64" s="988"/>
      <c r="AB64" s="987">
        <f>ROUND(SUM(C64:Y64),1)</f>
        <v>28.5</v>
      </c>
      <c r="AC64" s="987"/>
      <c r="AD64" s="989"/>
      <c r="AE64" s="987">
        <f>+'Exhibit F'!AF61+'Exhibit G state'!AH46</f>
        <v>75.7</v>
      </c>
      <c r="AF64" s="999"/>
      <c r="AG64" s="999"/>
      <c r="AH64" s="987">
        <f t="shared" si="10"/>
        <v>-47.2</v>
      </c>
      <c r="AI64" s="429"/>
      <c r="AJ64" s="1884">
        <f>ROUND(SUM(AH64/ABS(AE64)),3)</f>
        <v>-0.624</v>
      </c>
    </row>
    <row r="65" spans="1:36" ht="15">
      <c r="A65" s="1784" t="s">
        <v>1177</v>
      </c>
      <c r="B65" s="429"/>
      <c r="C65" s="987">
        <f>+'Exhibit F'!D62+'Exhibit G state'!D47</f>
        <v>423</v>
      </c>
      <c r="D65" s="987"/>
      <c r="E65" s="987"/>
      <c r="F65" s="987"/>
      <c r="G65" s="987"/>
      <c r="H65" s="987"/>
      <c r="I65" s="987"/>
      <c r="J65" s="987"/>
      <c r="K65" s="987"/>
      <c r="L65" s="987"/>
      <c r="M65" s="987"/>
      <c r="N65" s="987"/>
      <c r="O65" s="987"/>
      <c r="P65" s="987"/>
      <c r="Q65" s="987"/>
      <c r="R65" s="987"/>
      <c r="S65" s="987"/>
      <c r="T65" s="987"/>
      <c r="U65" s="987"/>
      <c r="V65" s="987"/>
      <c r="W65" s="987"/>
      <c r="X65" s="987"/>
      <c r="Y65" s="2820"/>
      <c r="Z65" s="987"/>
      <c r="AA65" s="988"/>
      <c r="AB65" s="987">
        <f>ROUND(SUM(C65:Y65),1)</f>
        <v>423</v>
      </c>
      <c r="AC65" s="987"/>
      <c r="AD65" s="989"/>
      <c r="AE65" s="987">
        <f>+'Exhibit F'!AF62+'Exhibit G state'!AH47+'Exhibit H'!AD29</f>
        <v>376.8</v>
      </c>
      <c r="AF65" s="999"/>
      <c r="AG65" s="999"/>
      <c r="AH65" s="987">
        <f t="shared" si="10"/>
        <v>46.2</v>
      </c>
      <c r="AI65" s="429"/>
      <c r="AJ65" s="1884">
        <f>ROUND(SUM(AH65/ABS(AE65)),3)</f>
        <v>0.123</v>
      </c>
    </row>
    <row r="66" spans="1:36" ht="15">
      <c r="A66" s="1784" t="s">
        <v>1178</v>
      </c>
      <c r="B66" s="429"/>
      <c r="C66" s="987">
        <f>+'Exhibit F'!D63+'Exhibit G state'!D48</f>
        <v>5.7</v>
      </c>
      <c r="D66" s="987"/>
      <c r="E66" s="987"/>
      <c r="F66" s="987"/>
      <c r="G66" s="987"/>
      <c r="H66" s="987"/>
      <c r="I66" s="987"/>
      <c r="J66" s="987"/>
      <c r="K66" s="987"/>
      <c r="L66" s="987"/>
      <c r="M66" s="987"/>
      <c r="N66" s="987"/>
      <c r="O66" s="987"/>
      <c r="P66" s="987"/>
      <c r="Q66" s="987"/>
      <c r="R66" s="987"/>
      <c r="S66" s="987"/>
      <c r="T66" s="987"/>
      <c r="U66" s="987"/>
      <c r="V66" s="987"/>
      <c r="W66" s="987"/>
      <c r="X66" s="987"/>
      <c r="Y66" s="2820"/>
      <c r="Z66" s="987"/>
      <c r="AA66" s="988"/>
      <c r="AB66" s="987">
        <f>ROUND(SUM(C66:Y66),1)</f>
        <v>5.7</v>
      </c>
      <c r="AC66" s="987"/>
      <c r="AD66" s="989"/>
      <c r="AE66" s="987">
        <f>+'Exhibit F'!AF63+'Exhibit G state'!AH48</f>
        <v>0.7</v>
      </c>
      <c r="AF66" s="999"/>
      <c r="AG66" s="999"/>
      <c r="AH66" s="987">
        <f t="shared" si="10"/>
        <v>5</v>
      </c>
      <c r="AI66" s="429"/>
      <c r="AJ66" s="1816">
        <f>ROUND(IF(AE66=0,0,AH66/ABS(AE66)),3)</f>
        <v>7.1429999999999998</v>
      </c>
    </row>
    <row r="67" spans="1:36" ht="15">
      <c r="A67" s="1784" t="s">
        <v>1179</v>
      </c>
      <c r="B67" s="429"/>
      <c r="C67" s="987">
        <f>+'Exhibit F'!D64+'Exhibit G state'!D49</f>
        <v>20.5</v>
      </c>
      <c r="D67" s="987"/>
      <c r="E67" s="987"/>
      <c r="F67" s="987"/>
      <c r="G67" s="987"/>
      <c r="H67" s="987"/>
      <c r="I67" s="987"/>
      <c r="J67" s="987"/>
      <c r="K67" s="987"/>
      <c r="L67" s="987"/>
      <c r="M67" s="987"/>
      <c r="N67" s="987"/>
      <c r="O67" s="987"/>
      <c r="P67" s="987"/>
      <c r="Q67" s="987"/>
      <c r="R67" s="987"/>
      <c r="S67" s="987"/>
      <c r="T67" s="987"/>
      <c r="U67" s="987"/>
      <c r="V67" s="987"/>
      <c r="W67" s="987"/>
      <c r="X67" s="987"/>
      <c r="Y67" s="2820"/>
      <c r="Z67" s="987"/>
      <c r="AA67" s="988"/>
      <c r="AB67" s="987">
        <f>ROUND(SUM(C67:Y67),1)</f>
        <v>20.5</v>
      </c>
      <c r="AC67" s="987"/>
      <c r="AD67" s="989"/>
      <c r="AE67" s="987">
        <f>+'Exhibit F'!AF64+'Exhibit G state'!AH49</f>
        <v>18.2</v>
      </c>
      <c r="AF67" s="999"/>
      <c r="AG67" s="999"/>
      <c r="AH67" s="987">
        <f t="shared" si="10"/>
        <v>2.2999999999999998</v>
      </c>
      <c r="AI67" s="429"/>
      <c r="AJ67" s="1884">
        <f>ROUND(SUM(AH67/ABS(AE67)),3)</f>
        <v>0.126</v>
      </c>
    </row>
    <row r="68" spans="1:36" ht="15">
      <c r="A68" s="1784" t="s">
        <v>1307</v>
      </c>
      <c r="B68" s="429"/>
      <c r="C68" s="987"/>
      <c r="D68" s="987"/>
      <c r="E68" s="987"/>
      <c r="F68" s="987"/>
      <c r="G68" s="987"/>
      <c r="H68" s="987"/>
      <c r="I68" s="987"/>
      <c r="J68" s="987"/>
      <c r="K68" s="987"/>
      <c r="L68" s="987"/>
      <c r="M68" s="987"/>
      <c r="N68" s="987"/>
      <c r="O68" s="987"/>
      <c r="P68" s="987"/>
      <c r="Q68" s="987"/>
      <c r="R68" s="987"/>
      <c r="S68" s="987"/>
      <c r="T68" s="987"/>
      <c r="U68" s="987"/>
      <c r="V68" s="987"/>
      <c r="W68" s="987"/>
      <c r="X68" s="987"/>
      <c r="Y68" s="2820"/>
      <c r="Z68" s="987"/>
      <c r="AA68" s="988"/>
      <c r="AB68" s="987"/>
      <c r="AC68" s="987"/>
      <c r="AD68" s="989"/>
      <c r="AE68" s="987"/>
      <c r="AF68" s="999"/>
      <c r="AG68" s="999"/>
      <c r="AH68" s="987"/>
      <c r="AI68" s="429"/>
      <c r="AJ68" s="1816"/>
    </row>
    <row r="69" spans="1:36" ht="15">
      <c r="A69" s="1784" t="s">
        <v>1180</v>
      </c>
      <c r="B69" s="429"/>
      <c r="C69" s="987">
        <f>+'Exhibit F'!D66+'Exhibit H'!B31</f>
        <v>5.6</v>
      </c>
      <c r="D69" s="987"/>
      <c r="E69" s="987"/>
      <c r="F69" s="987"/>
      <c r="G69" s="987"/>
      <c r="H69" s="987"/>
      <c r="I69" s="987"/>
      <c r="J69" s="987"/>
      <c r="K69" s="987"/>
      <c r="L69" s="987"/>
      <c r="M69" s="987"/>
      <c r="N69" s="987"/>
      <c r="O69" s="987"/>
      <c r="P69" s="987"/>
      <c r="Q69" s="987"/>
      <c r="R69" s="987"/>
      <c r="S69" s="987"/>
      <c r="T69" s="987"/>
      <c r="U69" s="987"/>
      <c r="V69" s="987"/>
      <c r="W69" s="987"/>
      <c r="X69" s="987"/>
      <c r="Y69" s="2820"/>
      <c r="Z69" s="987"/>
      <c r="AA69" s="988"/>
      <c r="AB69" s="987">
        <f t="shared" ref="AB69:AB76" si="11">ROUND(SUM(C69:Y69),1)</f>
        <v>5.6</v>
      </c>
      <c r="AC69" s="987"/>
      <c r="AD69" s="989"/>
      <c r="AE69" s="987">
        <f>+'Exhibit F'!AF66+'Exhibit H'!AD31</f>
        <v>6.9</v>
      </c>
      <c r="AF69" s="999"/>
      <c r="AG69" s="999"/>
      <c r="AH69" s="987">
        <f t="shared" si="10"/>
        <v>-1.3</v>
      </c>
      <c r="AI69" s="429"/>
      <c r="AJ69" s="1884">
        <f>ROUND(SUM(AH69/ABS(AE69)),3)</f>
        <v>-0.188</v>
      </c>
    </row>
    <row r="70" spans="1:36" ht="15">
      <c r="A70" s="1784" t="s">
        <v>1441</v>
      </c>
      <c r="B70" s="2995"/>
      <c r="C70" s="987">
        <f>'Exhibit G state'!D51</f>
        <v>0</v>
      </c>
      <c r="D70" s="987" t="s">
        <v>16</v>
      </c>
      <c r="E70" s="987"/>
      <c r="F70" s="987"/>
      <c r="G70" s="987"/>
      <c r="H70" s="987"/>
      <c r="I70" s="987"/>
      <c r="J70" s="987"/>
      <c r="K70" s="987"/>
      <c r="L70" s="987"/>
      <c r="M70" s="987"/>
      <c r="N70" s="987"/>
      <c r="O70" s="987"/>
      <c r="P70" s="987"/>
      <c r="Q70" s="987"/>
      <c r="R70" s="987"/>
      <c r="S70" s="987"/>
      <c r="T70" s="987"/>
      <c r="U70" s="987"/>
      <c r="V70" s="987"/>
      <c r="W70" s="987"/>
      <c r="X70" s="987"/>
      <c r="Y70" s="2820"/>
      <c r="Z70" s="987"/>
      <c r="AA70" s="1883"/>
      <c r="AB70" s="987">
        <f t="shared" si="11"/>
        <v>0</v>
      </c>
      <c r="AC70" s="987"/>
      <c r="AD70" s="989"/>
      <c r="AE70" s="987">
        <f>'Exhibit G state'!AH51</f>
        <v>0</v>
      </c>
      <c r="AF70" s="999"/>
      <c r="AG70" s="999"/>
      <c r="AH70" s="987">
        <f t="shared" si="10"/>
        <v>0</v>
      </c>
      <c r="AI70" s="2995"/>
      <c r="AJ70" s="1816">
        <f>ROUND(IF(AE70=0,0,AH70/ABS(AE70)),3)</f>
        <v>0</v>
      </c>
    </row>
    <row r="71" spans="1:36" ht="15">
      <c r="A71" s="1784" t="s">
        <v>1181</v>
      </c>
      <c r="B71" s="429"/>
      <c r="C71" s="987">
        <f>+'Exhibit F'!D67+'Exhibit G state'!D52+'Exhibit H'!B32</f>
        <v>48.6</v>
      </c>
      <c r="D71" s="987"/>
      <c r="E71" s="987"/>
      <c r="F71" s="987"/>
      <c r="G71" s="987"/>
      <c r="H71" s="987"/>
      <c r="I71" s="987"/>
      <c r="J71" s="987"/>
      <c r="K71" s="987"/>
      <c r="L71" s="987"/>
      <c r="M71" s="987"/>
      <c r="N71" s="987"/>
      <c r="O71" s="987"/>
      <c r="P71" s="987"/>
      <c r="Q71" s="987"/>
      <c r="R71" s="987"/>
      <c r="S71" s="987"/>
      <c r="T71" s="987"/>
      <c r="U71" s="987"/>
      <c r="V71" s="987"/>
      <c r="W71" s="987"/>
      <c r="X71" s="987"/>
      <c r="Y71" s="2820"/>
      <c r="Z71" s="987"/>
      <c r="AA71" s="988"/>
      <c r="AB71" s="987">
        <f t="shared" si="11"/>
        <v>48.6</v>
      </c>
      <c r="AC71" s="987"/>
      <c r="AD71" s="989"/>
      <c r="AE71" s="987">
        <f>+'Exhibit F'!AF67+'Exhibit G state'!AH52+'Exhibit H'!AD32</f>
        <v>77.099999999999994</v>
      </c>
      <c r="AF71" s="999"/>
      <c r="AG71" s="999"/>
      <c r="AH71" s="987">
        <f t="shared" si="10"/>
        <v>-28.5</v>
      </c>
      <c r="AI71" s="429"/>
      <c r="AJ71" s="1884">
        <f>ROUND(SUM(AH71/AE71),3)</f>
        <v>-0.37</v>
      </c>
    </row>
    <row r="72" spans="1:36" ht="15">
      <c r="A72" s="1784" t="s">
        <v>1182</v>
      </c>
      <c r="B72" s="429"/>
      <c r="C72" s="987">
        <f>+'Exhibit F'!D68+'Exhibit G state'!D53+'Exhibit H'!B33</f>
        <v>24.6</v>
      </c>
      <c r="D72" s="987"/>
      <c r="E72" s="987"/>
      <c r="F72" s="987"/>
      <c r="G72" s="987"/>
      <c r="H72" s="987"/>
      <c r="I72" s="987"/>
      <c r="J72" s="987"/>
      <c r="K72" s="987"/>
      <c r="L72" s="987"/>
      <c r="M72" s="987"/>
      <c r="N72" s="987"/>
      <c r="O72" s="987"/>
      <c r="P72" s="987"/>
      <c r="Q72" s="987"/>
      <c r="R72" s="987"/>
      <c r="S72" s="987"/>
      <c r="T72" s="987"/>
      <c r="U72" s="987"/>
      <c r="V72" s="987"/>
      <c r="W72" s="987"/>
      <c r="X72" s="987"/>
      <c r="Y72" s="2820"/>
      <c r="Z72" s="987"/>
      <c r="AA72" s="988"/>
      <c r="AB72" s="987">
        <f t="shared" si="11"/>
        <v>24.6</v>
      </c>
      <c r="AC72" s="987"/>
      <c r="AD72" s="989"/>
      <c r="AE72" s="987">
        <f>+'Exhibit F'!AF68+'Exhibit G state'!AH53+'Exhibit H'!AD33</f>
        <v>27.6</v>
      </c>
      <c r="AF72" s="999"/>
      <c r="AG72" s="999"/>
      <c r="AH72" s="987">
        <f t="shared" si="10"/>
        <v>-3</v>
      </c>
      <c r="AI72" s="429"/>
      <c r="AJ72" s="1884">
        <f>ROUND(SUM(AH72/ABS(AE72)),3)</f>
        <v>-0.109</v>
      </c>
    </row>
    <row r="73" spans="1:36" ht="15">
      <c r="A73" s="1784" t="s">
        <v>1183</v>
      </c>
      <c r="B73" s="429"/>
      <c r="C73" s="987">
        <f>+'Exhibit F'!D69+'Exhibit G state'!D54+'Exhibit H'!B34</f>
        <v>0</v>
      </c>
      <c r="D73" s="987"/>
      <c r="E73" s="987"/>
      <c r="F73" s="987"/>
      <c r="G73" s="987"/>
      <c r="H73" s="987"/>
      <c r="I73" s="987"/>
      <c r="J73" s="987"/>
      <c r="K73" s="987"/>
      <c r="L73" s="987"/>
      <c r="M73" s="987"/>
      <c r="N73" s="987"/>
      <c r="O73" s="987"/>
      <c r="P73" s="987"/>
      <c r="Q73" s="987"/>
      <c r="R73" s="987"/>
      <c r="S73" s="987"/>
      <c r="T73" s="987"/>
      <c r="U73" s="987"/>
      <c r="V73" s="987"/>
      <c r="W73" s="987"/>
      <c r="X73" s="987"/>
      <c r="Y73" s="2820"/>
      <c r="Z73" s="987"/>
      <c r="AA73" s="988"/>
      <c r="AB73" s="987">
        <f t="shared" si="11"/>
        <v>0</v>
      </c>
      <c r="AC73" s="987"/>
      <c r="AD73" s="989"/>
      <c r="AE73" s="987">
        <f>+'Exhibit F'!AF69+'Exhibit G state'!AH54+'Exhibit H'!AD34</f>
        <v>0.1</v>
      </c>
      <c r="AF73" s="999"/>
      <c r="AG73" s="999"/>
      <c r="AH73" s="987">
        <f t="shared" si="10"/>
        <v>-0.1</v>
      </c>
      <c r="AI73" s="429"/>
      <c r="AJ73" s="1884">
        <f>ROUND(SUM(AH73/ABS(AE73)),3)</f>
        <v>-1</v>
      </c>
    </row>
    <row r="74" spans="1:36" ht="15">
      <c r="A74" s="1784" t="s">
        <v>1184</v>
      </c>
      <c r="B74" s="429"/>
      <c r="C74" s="987">
        <f>+'Exhibit F'!D70+'Exhibit G state'!D55+'Exhibit H'!B35</f>
        <v>56.8</v>
      </c>
      <c r="D74" s="987"/>
      <c r="E74" s="987"/>
      <c r="F74" s="987"/>
      <c r="G74" s="987"/>
      <c r="H74" s="987"/>
      <c r="I74" s="987"/>
      <c r="J74" s="987"/>
      <c r="K74" s="987"/>
      <c r="L74" s="987"/>
      <c r="M74" s="987"/>
      <c r="N74" s="987"/>
      <c r="O74" s="987"/>
      <c r="P74" s="987"/>
      <c r="Q74" s="987"/>
      <c r="R74" s="987"/>
      <c r="S74" s="987"/>
      <c r="T74" s="987"/>
      <c r="U74" s="987"/>
      <c r="V74" s="987"/>
      <c r="W74" s="987"/>
      <c r="X74" s="987"/>
      <c r="Y74" s="2820"/>
      <c r="Z74" s="987"/>
      <c r="AA74" s="988"/>
      <c r="AB74" s="987">
        <f t="shared" si="11"/>
        <v>56.8</v>
      </c>
      <c r="AC74" s="987"/>
      <c r="AD74" s="989"/>
      <c r="AE74" s="987">
        <f>+'Exhibit F'!AF70+'Exhibit G state'!AH55+'Exhibit H'!AD35</f>
        <v>69.5</v>
      </c>
      <c r="AF74" s="999"/>
      <c r="AG74" s="999"/>
      <c r="AH74" s="987">
        <f t="shared" si="10"/>
        <v>-12.7</v>
      </c>
      <c r="AI74" s="429"/>
      <c r="AJ74" s="1816">
        <f>ROUND(IF(AE74=0,0,AH74/ABS(AE74)),3)</f>
        <v>-0.183</v>
      </c>
    </row>
    <row r="75" spans="1:36" ht="15">
      <c r="A75" s="1784" t="s">
        <v>1185</v>
      </c>
      <c r="B75" s="429"/>
      <c r="C75" s="987">
        <f>+'Exhibit F'!D71+'Exhibit G state'!D56+'Exhibit H'!B36</f>
        <v>40.300000000000004</v>
      </c>
      <c r="D75" s="987"/>
      <c r="E75" s="987"/>
      <c r="F75" s="987"/>
      <c r="G75" s="987"/>
      <c r="H75" s="987"/>
      <c r="I75" s="987"/>
      <c r="J75" s="987"/>
      <c r="K75" s="987"/>
      <c r="L75" s="987"/>
      <c r="M75" s="987"/>
      <c r="N75" s="987"/>
      <c r="O75" s="987"/>
      <c r="P75" s="987"/>
      <c r="Q75" s="987"/>
      <c r="R75" s="987"/>
      <c r="S75" s="987"/>
      <c r="T75" s="987"/>
      <c r="U75" s="987"/>
      <c r="V75" s="987"/>
      <c r="W75" s="987"/>
      <c r="X75" s="987"/>
      <c r="Y75" s="2820"/>
      <c r="Z75" s="987"/>
      <c r="AA75" s="988"/>
      <c r="AB75" s="987">
        <f t="shared" si="11"/>
        <v>40.299999999999997</v>
      </c>
      <c r="AC75" s="987"/>
      <c r="AD75" s="989"/>
      <c r="AE75" s="987">
        <f>+'Exhibit F'!AF71+'Exhibit G state'!AH56+'Exhibit H'!AD36</f>
        <v>16.600000000000001</v>
      </c>
      <c r="AF75" s="999"/>
      <c r="AG75" s="999"/>
      <c r="AH75" s="987">
        <f t="shared" si="10"/>
        <v>23.7</v>
      </c>
      <c r="AI75" s="429"/>
      <c r="AJ75" s="1884">
        <f>ROUND(SUM(AH75/ABS(AE75)),3)</f>
        <v>1.4279999999999999</v>
      </c>
    </row>
    <row r="76" spans="1:36" ht="15">
      <c r="A76" s="1784" t="s">
        <v>1174</v>
      </c>
      <c r="B76" s="429"/>
      <c r="C76" s="987">
        <f>+'Exhibit F'!D72+'Exhibit G state'!D57</f>
        <v>6</v>
      </c>
      <c r="D76" s="987"/>
      <c r="E76" s="987"/>
      <c r="F76" s="987"/>
      <c r="G76" s="987"/>
      <c r="H76" s="987"/>
      <c r="I76" s="987"/>
      <c r="J76" s="987"/>
      <c r="K76" s="987"/>
      <c r="L76" s="987"/>
      <c r="M76" s="987"/>
      <c r="N76" s="987"/>
      <c r="O76" s="987"/>
      <c r="P76" s="987"/>
      <c r="Q76" s="987"/>
      <c r="R76" s="987"/>
      <c r="S76" s="987"/>
      <c r="T76" s="987"/>
      <c r="U76" s="987"/>
      <c r="V76" s="987"/>
      <c r="W76" s="987"/>
      <c r="X76" s="987"/>
      <c r="Y76" s="2820"/>
      <c r="Z76" s="987"/>
      <c r="AA76" s="988"/>
      <c r="AB76" s="987">
        <f t="shared" si="11"/>
        <v>6</v>
      </c>
      <c r="AC76" s="987"/>
      <c r="AD76" s="989"/>
      <c r="AE76" s="987">
        <f>+'Exhibit F'!AF72+'Exhibit G state'!AH57</f>
        <v>17.7</v>
      </c>
      <c r="AF76" s="999"/>
      <c r="AG76" s="999"/>
      <c r="AH76" s="987">
        <f t="shared" si="10"/>
        <v>-11.7</v>
      </c>
      <c r="AI76" s="429"/>
      <c r="AJ76" s="1884">
        <f>ROUND(SUM(AH76/ABS(AE76)),3)</f>
        <v>-0.66100000000000003</v>
      </c>
    </row>
    <row r="77" spans="1:36" ht="15">
      <c r="A77" s="1784" t="s">
        <v>1304</v>
      </c>
      <c r="B77" s="429"/>
      <c r="C77" s="987"/>
      <c r="D77" s="987"/>
      <c r="E77" s="987"/>
      <c r="F77" s="987"/>
      <c r="G77" s="987"/>
      <c r="H77" s="987"/>
      <c r="I77" s="987"/>
      <c r="J77" s="987"/>
      <c r="K77" s="987"/>
      <c r="L77" s="987"/>
      <c r="M77" s="987"/>
      <c r="N77" s="987"/>
      <c r="O77" s="987"/>
      <c r="P77" s="987"/>
      <c r="Q77" s="987"/>
      <c r="R77" s="987"/>
      <c r="S77" s="987"/>
      <c r="T77" s="987"/>
      <c r="U77" s="987"/>
      <c r="V77" s="987"/>
      <c r="W77" s="987"/>
      <c r="X77" s="987"/>
      <c r="Y77" s="2820"/>
      <c r="Z77" s="987"/>
      <c r="AA77" s="988"/>
      <c r="AB77" s="987"/>
      <c r="AC77" s="987"/>
      <c r="AD77" s="989"/>
      <c r="AE77" s="987"/>
      <c r="AF77" s="999"/>
      <c r="AG77" s="999"/>
      <c r="AH77" s="987"/>
      <c r="AI77" s="429"/>
      <c r="AJ77" s="1884" t="s">
        <v>16</v>
      </c>
    </row>
    <row r="78" spans="1:36" ht="15">
      <c r="A78" s="1784" t="s">
        <v>1186</v>
      </c>
      <c r="B78" s="429"/>
      <c r="C78" s="987">
        <f>+'Exhibit G state'!D59</f>
        <v>15.3</v>
      </c>
      <c r="D78" s="987"/>
      <c r="E78" s="987"/>
      <c r="F78" s="987"/>
      <c r="G78" s="987"/>
      <c r="H78" s="987"/>
      <c r="I78" s="987"/>
      <c r="J78" s="987"/>
      <c r="K78" s="987"/>
      <c r="L78" s="987"/>
      <c r="M78" s="987"/>
      <c r="N78" s="987"/>
      <c r="O78" s="987"/>
      <c r="P78" s="987"/>
      <c r="Q78" s="987"/>
      <c r="R78" s="987"/>
      <c r="S78" s="987"/>
      <c r="T78" s="987"/>
      <c r="U78" s="987"/>
      <c r="V78" s="987"/>
      <c r="W78" s="987"/>
      <c r="X78" s="987"/>
      <c r="Y78" s="2820"/>
      <c r="Z78" s="987"/>
      <c r="AA78" s="988"/>
      <c r="AB78" s="987">
        <f>ROUND(SUM(C78:Y78),1)</f>
        <v>15.3</v>
      </c>
      <c r="AC78" s="987"/>
      <c r="AD78" s="989"/>
      <c r="AE78" s="987">
        <f>+'Exhibit G state'!AH59</f>
        <v>43.5</v>
      </c>
      <c r="AF78" s="999"/>
      <c r="AG78" s="999"/>
      <c r="AH78" s="987">
        <f t="shared" si="10"/>
        <v>-28.2</v>
      </c>
      <c r="AI78" s="429"/>
      <c r="AJ78" s="2690">
        <f>ROUND(SUM(AH78/ABS(AE78)),3)</f>
        <v>-0.64800000000000002</v>
      </c>
    </row>
    <row r="79" spans="1:36" ht="15">
      <c r="A79" s="1784" t="s">
        <v>1187</v>
      </c>
      <c r="B79" s="429"/>
      <c r="C79" s="987">
        <f>+'Exhibit G state'!D60</f>
        <v>188.8</v>
      </c>
      <c r="D79" s="987"/>
      <c r="E79" s="987"/>
      <c r="F79" s="987"/>
      <c r="G79" s="987"/>
      <c r="H79" s="987"/>
      <c r="I79" s="987"/>
      <c r="J79" s="987"/>
      <c r="K79" s="987"/>
      <c r="L79" s="987"/>
      <c r="M79" s="987"/>
      <c r="N79" s="987"/>
      <c r="O79" s="987"/>
      <c r="P79" s="987"/>
      <c r="Q79" s="987"/>
      <c r="R79" s="987"/>
      <c r="S79" s="987"/>
      <c r="T79" s="987"/>
      <c r="U79" s="987"/>
      <c r="V79" s="987"/>
      <c r="W79" s="987"/>
      <c r="X79" s="987"/>
      <c r="Y79" s="2820"/>
      <c r="Z79" s="987"/>
      <c r="AA79" s="988"/>
      <c r="AB79" s="987">
        <f>ROUND(SUM(C79:Y79),1)</f>
        <v>188.8</v>
      </c>
      <c r="AC79" s="987"/>
      <c r="AD79" s="989"/>
      <c r="AE79" s="987">
        <f>+'Exhibit G state'!AH60</f>
        <v>226.4</v>
      </c>
      <c r="AF79" s="999"/>
      <c r="AG79" s="999"/>
      <c r="AH79" s="987">
        <f t="shared" si="10"/>
        <v>-37.6</v>
      </c>
      <c r="AI79" s="429"/>
      <c r="AJ79" s="2690">
        <f>ROUND(SUM(AH79/ABS(AE79)),3)</f>
        <v>-0.16600000000000001</v>
      </c>
    </row>
    <row r="80" spans="1:36" ht="15">
      <c r="A80" s="1784" t="s">
        <v>1188</v>
      </c>
      <c r="B80" s="429"/>
      <c r="C80" s="987">
        <f>+'Exhibit G state'!D61</f>
        <v>78.400000000000006</v>
      </c>
      <c r="D80" s="987"/>
      <c r="E80" s="987"/>
      <c r="F80" s="987"/>
      <c r="G80" s="987"/>
      <c r="H80" s="987"/>
      <c r="I80" s="987"/>
      <c r="J80" s="987"/>
      <c r="K80" s="987"/>
      <c r="L80" s="987"/>
      <c r="M80" s="987"/>
      <c r="N80" s="987"/>
      <c r="O80" s="987"/>
      <c r="P80" s="987"/>
      <c r="Q80" s="987"/>
      <c r="R80" s="987"/>
      <c r="S80" s="987"/>
      <c r="T80" s="987"/>
      <c r="U80" s="987"/>
      <c r="V80" s="987"/>
      <c r="W80" s="987"/>
      <c r="X80" s="987"/>
      <c r="Y80" s="2820"/>
      <c r="Z80" s="987"/>
      <c r="AA80" s="988"/>
      <c r="AB80" s="987">
        <f>ROUND(SUM(C80:Y80),1)</f>
        <v>78.400000000000006</v>
      </c>
      <c r="AC80" s="987"/>
      <c r="AD80" s="989"/>
      <c r="AE80" s="987">
        <f>+'Exhibit G state'!AH61</f>
        <v>94.5</v>
      </c>
      <c r="AF80" s="999"/>
      <c r="AG80" s="999"/>
      <c r="AH80" s="987">
        <f t="shared" si="10"/>
        <v>-16.100000000000001</v>
      </c>
      <c r="AI80" s="429"/>
      <c r="AJ80" s="2690">
        <f>ROUND(SUM(AH80/ABS(AE80)),3)</f>
        <v>-0.17</v>
      </c>
    </row>
    <row r="81" spans="1:36" ht="15">
      <c r="A81" s="1784" t="s">
        <v>1175</v>
      </c>
      <c r="B81" s="429"/>
      <c r="C81" s="987">
        <f>+'Exhibit F'!D73+'Exhibit H'!B37+'Exhibit G state'!D62</f>
        <v>5</v>
      </c>
      <c r="D81" s="987"/>
      <c r="E81" s="987"/>
      <c r="F81" s="987"/>
      <c r="G81" s="987"/>
      <c r="H81" s="987"/>
      <c r="I81" s="987"/>
      <c r="J81" s="987"/>
      <c r="K81" s="987"/>
      <c r="L81" s="987"/>
      <c r="M81" s="987"/>
      <c r="N81" s="987"/>
      <c r="O81" s="987"/>
      <c r="P81" s="987"/>
      <c r="Q81" s="987"/>
      <c r="R81" s="987"/>
      <c r="S81" s="987"/>
      <c r="T81" s="987"/>
      <c r="U81" s="987"/>
      <c r="V81" s="987"/>
      <c r="W81" s="987"/>
      <c r="X81" s="987"/>
      <c r="Y81" s="2820"/>
      <c r="Z81" s="987"/>
      <c r="AA81" s="988"/>
      <c r="AB81" s="987">
        <f>ROUND(SUM(C81:Y81),1)</f>
        <v>5</v>
      </c>
      <c r="AC81" s="987"/>
      <c r="AD81" s="989"/>
      <c r="AE81" s="987">
        <f>+'Exhibit F'!AF73+'Exhibit H'!AD37+'Exhibit G state'!AH62</f>
        <v>2.8</v>
      </c>
      <c r="AF81" s="999"/>
      <c r="AG81" s="999"/>
      <c r="AH81" s="987">
        <f t="shared" si="10"/>
        <v>2.2000000000000002</v>
      </c>
      <c r="AI81" s="429"/>
      <c r="AJ81" s="2690">
        <f>ROUND(SUM(AH81/ABS(AE81)),3)</f>
        <v>0.78600000000000003</v>
      </c>
    </row>
    <row r="82" spans="1:36" ht="15">
      <c r="A82" s="1784" t="s">
        <v>1305</v>
      </c>
      <c r="B82" s="429"/>
      <c r="C82" s="987"/>
      <c r="D82" s="987"/>
      <c r="E82" s="987"/>
      <c r="F82" s="987"/>
      <c r="G82" s="987"/>
      <c r="H82" s="987"/>
      <c r="I82" s="987"/>
      <c r="J82" s="987"/>
      <c r="K82" s="987"/>
      <c r="L82" s="987"/>
      <c r="M82" s="987"/>
      <c r="N82" s="987"/>
      <c r="O82" s="987"/>
      <c r="P82" s="987"/>
      <c r="Q82" s="987"/>
      <c r="R82" s="987"/>
      <c r="S82" s="987"/>
      <c r="T82" s="987"/>
      <c r="U82" s="987"/>
      <c r="V82" s="987"/>
      <c r="W82" s="987"/>
      <c r="X82" s="987"/>
      <c r="Y82" s="2820"/>
      <c r="Z82" s="987"/>
      <c r="AA82" s="988"/>
      <c r="AB82" s="987"/>
      <c r="AC82" s="987"/>
      <c r="AD82" s="989"/>
      <c r="AE82" s="987"/>
      <c r="AF82" s="999"/>
      <c r="AG82" s="999"/>
      <c r="AH82" s="987"/>
      <c r="AI82" s="429"/>
      <c r="AJ82" s="1816"/>
    </row>
    <row r="83" spans="1:36" ht="15">
      <c r="A83" s="1784" t="s">
        <v>1189</v>
      </c>
      <c r="B83" s="429"/>
      <c r="C83" s="987">
        <f>+'Exhibit G state'!D64</f>
        <v>0</v>
      </c>
      <c r="D83" s="987"/>
      <c r="E83" s="987"/>
      <c r="F83" s="987"/>
      <c r="G83" s="987"/>
      <c r="H83" s="987"/>
      <c r="I83" s="987"/>
      <c r="J83" s="987"/>
      <c r="K83" s="987"/>
      <c r="L83" s="987"/>
      <c r="M83" s="987"/>
      <c r="N83" s="987"/>
      <c r="O83" s="987"/>
      <c r="P83" s="987"/>
      <c r="Q83" s="987"/>
      <c r="R83" s="987"/>
      <c r="S83" s="987"/>
      <c r="T83" s="987"/>
      <c r="U83" s="987"/>
      <c r="V83" s="987"/>
      <c r="W83" s="987"/>
      <c r="X83" s="987"/>
      <c r="Y83" s="2820"/>
      <c r="Z83" s="987"/>
      <c r="AA83" s="988"/>
      <c r="AB83" s="987">
        <f t="shared" ref="AB83:AB88" si="12">ROUND(SUM(C83:Y83),1)</f>
        <v>0</v>
      </c>
      <c r="AC83" s="987"/>
      <c r="AD83" s="989"/>
      <c r="AE83" s="987">
        <f>+'Exhibit G state'!AH64</f>
        <v>0</v>
      </c>
      <c r="AF83" s="999"/>
      <c r="AG83" s="999"/>
      <c r="AH83" s="987">
        <f t="shared" si="10"/>
        <v>0</v>
      </c>
      <c r="AI83" s="429"/>
      <c r="AJ83" s="1816">
        <f>ROUND(IF(AE83=0,0,AH83/ABS(AE83)),3)</f>
        <v>0</v>
      </c>
    </row>
    <row r="84" spans="1:36" ht="15">
      <c r="A84" s="1784" t="s">
        <v>1190</v>
      </c>
      <c r="B84" s="429"/>
      <c r="C84" s="987">
        <f>+'Exhibit F'!D75+'Exhibit G state'!D65</f>
        <v>0</v>
      </c>
      <c r="D84" s="987"/>
      <c r="E84" s="987"/>
      <c r="F84" s="987"/>
      <c r="G84" s="987"/>
      <c r="H84" s="987"/>
      <c r="I84" s="987"/>
      <c r="J84" s="987"/>
      <c r="K84" s="987"/>
      <c r="L84" s="987"/>
      <c r="M84" s="987"/>
      <c r="N84" s="987"/>
      <c r="O84" s="987"/>
      <c r="P84" s="987"/>
      <c r="Q84" s="987"/>
      <c r="R84" s="987"/>
      <c r="S84" s="987"/>
      <c r="T84" s="987"/>
      <c r="U84" s="987"/>
      <c r="V84" s="987"/>
      <c r="W84" s="987"/>
      <c r="X84" s="987"/>
      <c r="Y84" s="2820"/>
      <c r="Z84" s="987"/>
      <c r="AA84" s="988"/>
      <c r="AB84" s="987">
        <f t="shared" si="12"/>
        <v>0</v>
      </c>
      <c r="AC84" s="987"/>
      <c r="AD84" s="989"/>
      <c r="AE84" s="987">
        <f>+'Exhibit F'!AF75+'Exhibit G state'!AH65</f>
        <v>0</v>
      </c>
      <c r="AF84" s="999"/>
      <c r="AG84" s="999"/>
      <c r="AH84" s="987">
        <f t="shared" si="10"/>
        <v>0</v>
      </c>
      <c r="AI84" s="429"/>
      <c r="AJ84" s="2732">
        <f>ROUND(IF(AE84=0,0,AH84/ABS(AE84)),3)</f>
        <v>0</v>
      </c>
    </row>
    <row r="85" spans="1:36" ht="15">
      <c r="A85" s="1784" t="s">
        <v>1191</v>
      </c>
      <c r="B85" s="429"/>
      <c r="C85" s="987">
        <f>+'Exhibit F'!D76+'Exhibit G state'!D66</f>
        <v>15.600000000000001</v>
      </c>
      <c r="D85" s="987"/>
      <c r="E85" s="987"/>
      <c r="F85" s="987"/>
      <c r="G85" s="987"/>
      <c r="H85" s="987"/>
      <c r="I85" s="987"/>
      <c r="J85" s="987"/>
      <c r="K85" s="987"/>
      <c r="L85" s="987"/>
      <c r="M85" s="987"/>
      <c r="N85" s="987"/>
      <c r="O85" s="987"/>
      <c r="P85" s="987"/>
      <c r="Q85" s="987"/>
      <c r="R85" s="987"/>
      <c r="S85" s="987"/>
      <c r="T85" s="987"/>
      <c r="U85" s="987"/>
      <c r="V85" s="987"/>
      <c r="W85" s="987"/>
      <c r="X85" s="987"/>
      <c r="Y85" s="2820"/>
      <c r="Z85" s="987"/>
      <c r="AA85" s="988"/>
      <c r="AB85" s="987">
        <f t="shared" si="12"/>
        <v>15.6</v>
      </c>
      <c r="AC85" s="987"/>
      <c r="AD85" s="989"/>
      <c r="AE85" s="987">
        <f>+'Exhibit F'!AF76+'Exhibit G state'!AH66</f>
        <v>0.2</v>
      </c>
      <c r="AF85" s="999"/>
      <c r="AG85" s="999"/>
      <c r="AH85" s="987">
        <f t="shared" si="10"/>
        <v>15.4</v>
      </c>
      <c r="AI85" s="429"/>
      <c r="AJ85" s="2690">
        <f>ROUND(SUM(AH85/ABS(AE85)),3)</f>
        <v>77</v>
      </c>
    </row>
    <row r="86" spans="1:36" ht="15">
      <c r="A86" s="1784" t="s">
        <v>1192</v>
      </c>
      <c r="B86" s="429"/>
      <c r="C86" s="987">
        <f>+'Exhibit F'!D77+'Exhibit G state'!D67</f>
        <v>0.9</v>
      </c>
      <c r="D86" s="987"/>
      <c r="E86" s="987"/>
      <c r="F86" s="987"/>
      <c r="G86" s="987"/>
      <c r="H86" s="987"/>
      <c r="I86" s="987"/>
      <c r="J86" s="987"/>
      <c r="K86" s="987"/>
      <c r="L86" s="987"/>
      <c r="M86" s="987"/>
      <c r="N86" s="987"/>
      <c r="O86" s="987"/>
      <c r="P86" s="987"/>
      <c r="Q86" s="987"/>
      <c r="R86" s="987"/>
      <c r="S86" s="987"/>
      <c r="T86" s="987"/>
      <c r="U86" s="987"/>
      <c r="V86" s="987"/>
      <c r="W86" s="987"/>
      <c r="X86" s="987"/>
      <c r="Y86" s="2820"/>
      <c r="Z86" s="987"/>
      <c r="AA86" s="988"/>
      <c r="AB86" s="987">
        <f t="shared" si="12"/>
        <v>0.9</v>
      </c>
      <c r="AC86" s="987"/>
      <c r="AD86" s="989"/>
      <c r="AE86" s="987">
        <f>+'Exhibit F'!AF77+'Exhibit G state'!AH67</f>
        <v>0.2</v>
      </c>
      <c r="AF86" s="999"/>
      <c r="AG86" s="999"/>
      <c r="AH86" s="987">
        <f t="shared" si="10"/>
        <v>0.7</v>
      </c>
      <c r="AI86" s="429"/>
      <c r="AJ86" s="2690">
        <f>ROUND(SUM(AH86/ABS(AE86)),3)</f>
        <v>3.5</v>
      </c>
    </row>
    <row r="87" spans="1:36" ht="15">
      <c r="A87" s="1784" t="s">
        <v>1193</v>
      </c>
      <c r="B87" s="429"/>
      <c r="C87" s="987">
        <f>+'Exhibit F'!D78+'Exhibit H'!B38+'Exhibit G state'!D68</f>
        <v>58.4</v>
      </c>
      <c r="D87" s="987"/>
      <c r="E87" s="987"/>
      <c r="F87" s="987"/>
      <c r="G87" s="987"/>
      <c r="H87" s="987"/>
      <c r="I87" s="987"/>
      <c r="J87" s="987"/>
      <c r="K87" s="987"/>
      <c r="L87" s="987"/>
      <c r="M87" s="987"/>
      <c r="N87" s="987"/>
      <c r="O87" s="987"/>
      <c r="P87" s="987"/>
      <c r="Q87" s="987"/>
      <c r="R87" s="987"/>
      <c r="S87" s="987"/>
      <c r="T87" s="987"/>
      <c r="U87" s="987"/>
      <c r="V87" s="987"/>
      <c r="W87" s="987"/>
      <c r="X87" s="987"/>
      <c r="Y87" s="2820"/>
      <c r="Z87" s="987"/>
      <c r="AA87" s="988"/>
      <c r="AB87" s="987">
        <f t="shared" si="12"/>
        <v>58.4</v>
      </c>
      <c r="AC87" s="987"/>
      <c r="AD87" s="989"/>
      <c r="AE87" s="987">
        <f>+'Exhibit F'!AF78+'Exhibit H'!AD38+'Exhibit G state'!AH68</f>
        <v>39.700000000000003</v>
      </c>
      <c r="AF87" s="999"/>
      <c r="AG87" s="999"/>
      <c r="AH87" s="987">
        <f t="shared" si="10"/>
        <v>18.7</v>
      </c>
      <c r="AI87" s="429"/>
      <c r="AJ87" s="2690">
        <f>ROUND(SUM(AH87/ABS(AE87)),3)</f>
        <v>0.47099999999999997</v>
      </c>
    </row>
    <row r="88" spans="1:36" ht="15">
      <c r="A88" s="1784" t="s">
        <v>1194</v>
      </c>
      <c r="B88" s="429"/>
      <c r="C88" s="987">
        <f>+'Exhibit F'!D79+'Exhibit H'!B39+'Exhibit G state'!D69</f>
        <v>55.4</v>
      </c>
      <c r="D88" s="987"/>
      <c r="E88" s="987"/>
      <c r="F88" s="987"/>
      <c r="G88" s="987"/>
      <c r="H88" s="987"/>
      <c r="I88" s="987"/>
      <c r="J88" s="987"/>
      <c r="K88" s="987"/>
      <c r="L88" s="987"/>
      <c r="M88" s="987"/>
      <c r="N88" s="987"/>
      <c r="O88" s="987"/>
      <c r="P88" s="987"/>
      <c r="Q88" s="987"/>
      <c r="R88" s="987"/>
      <c r="S88" s="987"/>
      <c r="T88" s="987"/>
      <c r="U88" s="987"/>
      <c r="V88" s="987"/>
      <c r="W88" s="987"/>
      <c r="X88" s="987"/>
      <c r="Y88" s="2820"/>
      <c r="Z88" s="987"/>
      <c r="AA88" s="988"/>
      <c r="AB88" s="987">
        <f t="shared" si="12"/>
        <v>55.4</v>
      </c>
      <c r="AC88" s="987"/>
      <c r="AD88" s="989"/>
      <c r="AE88" s="987">
        <f>+'Exhibit F'!AF79+'Exhibit H'!AD39+'Exhibit G state'!AH69</f>
        <v>34</v>
      </c>
      <c r="AF88" s="999"/>
      <c r="AG88" s="999"/>
      <c r="AH88" s="987">
        <f t="shared" si="10"/>
        <v>21.4</v>
      </c>
      <c r="AI88" s="429"/>
      <c r="AJ88" s="2690">
        <f>ROUND(SUM(AH88/ABS(AE88)),3)</f>
        <v>0.629</v>
      </c>
    </row>
    <row r="89" spans="1:36" ht="15">
      <c r="A89" s="1784" t="s">
        <v>1306</v>
      </c>
      <c r="B89" s="429"/>
      <c r="C89" s="987"/>
      <c r="D89" s="987"/>
      <c r="E89" s="987"/>
      <c r="F89" s="987"/>
      <c r="G89" s="987"/>
      <c r="H89" s="987"/>
      <c r="I89" s="987"/>
      <c r="J89" s="987"/>
      <c r="K89" s="987"/>
      <c r="L89" s="987"/>
      <c r="M89" s="987"/>
      <c r="N89" s="987"/>
      <c r="O89" s="987"/>
      <c r="P89" s="987"/>
      <c r="Q89" s="987"/>
      <c r="R89" s="987"/>
      <c r="S89" s="987"/>
      <c r="T89" s="987"/>
      <c r="U89" s="987"/>
      <c r="V89" s="987"/>
      <c r="W89" s="987"/>
      <c r="X89" s="987"/>
      <c r="Y89" s="2820"/>
      <c r="Z89" s="987"/>
      <c r="AA89" s="988"/>
      <c r="AB89" s="987"/>
      <c r="AC89" s="987"/>
      <c r="AD89" s="989"/>
      <c r="AE89" s="987"/>
      <c r="AF89" s="999"/>
      <c r="AG89" s="999"/>
      <c r="AH89" s="987"/>
      <c r="AI89" s="429"/>
      <c r="AJ89" s="1816"/>
    </row>
    <row r="90" spans="1:36" ht="15">
      <c r="A90" s="1784" t="s">
        <v>1195</v>
      </c>
      <c r="B90" s="429"/>
      <c r="C90" s="987">
        <f>+'Exhibit F'!D81+'Exhibit G state'!D71</f>
        <v>0.4</v>
      </c>
      <c r="D90" s="987"/>
      <c r="E90" s="987"/>
      <c r="F90" s="987"/>
      <c r="G90" s="987"/>
      <c r="H90" s="987"/>
      <c r="I90" s="987"/>
      <c r="J90" s="987"/>
      <c r="K90" s="987"/>
      <c r="L90" s="987"/>
      <c r="M90" s="987"/>
      <c r="N90" s="987"/>
      <c r="O90" s="987"/>
      <c r="P90" s="987"/>
      <c r="Q90" s="987"/>
      <c r="R90" s="987"/>
      <c r="S90" s="987"/>
      <c r="T90" s="987"/>
      <c r="U90" s="987"/>
      <c r="V90" s="987"/>
      <c r="W90" s="987"/>
      <c r="X90" s="987"/>
      <c r="Y90" s="2820"/>
      <c r="Z90" s="987"/>
      <c r="AA90" s="988"/>
      <c r="AB90" s="987">
        <f t="shared" ref="AB90:AB100" si="13">ROUND(SUM(C90:Y90),1)</f>
        <v>0.4</v>
      </c>
      <c r="AC90" s="987"/>
      <c r="AD90" s="989"/>
      <c r="AE90" s="987">
        <f>+'Exhibit F'!AF81+'Exhibit G state'!AH71</f>
        <v>0.6</v>
      </c>
      <c r="AF90" s="999"/>
      <c r="AG90" s="999"/>
      <c r="AH90" s="987">
        <f t="shared" si="10"/>
        <v>-0.2</v>
      </c>
      <c r="AI90" s="429"/>
      <c r="AJ90" s="1884">
        <f>ROUND(SUM(AH90/ABS(AE90)),3)</f>
        <v>-0.33300000000000002</v>
      </c>
    </row>
    <row r="91" spans="1:36" ht="15">
      <c r="A91" s="1784" t="s">
        <v>1196</v>
      </c>
      <c r="B91" s="429"/>
      <c r="C91" s="987">
        <f>+'Exhibit G state'!D72</f>
        <v>0.2</v>
      </c>
      <c r="D91" s="987"/>
      <c r="E91" s="987"/>
      <c r="F91" s="987"/>
      <c r="G91" s="987"/>
      <c r="H91" s="987"/>
      <c r="I91" s="987"/>
      <c r="J91" s="987"/>
      <c r="K91" s="987"/>
      <c r="L91" s="987"/>
      <c r="M91" s="987"/>
      <c r="N91" s="987"/>
      <c r="O91" s="987"/>
      <c r="P91" s="987"/>
      <c r="Q91" s="987"/>
      <c r="R91" s="987"/>
      <c r="S91" s="987"/>
      <c r="T91" s="987"/>
      <c r="U91" s="987"/>
      <c r="V91" s="987"/>
      <c r="W91" s="987"/>
      <c r="X91" s="987"/>
      <c r="Y91" s="2820"/>
      <c r="Z91" s="987"/>
      <c r="AA91" s="988"/>
      <c r="AB91" s="987">
        <f t="shared" si="13"/>
        <v>0.2</v>
      </c>
      <c r="AC91" s="987"/>
      <c r="AD91" s="989"/>
      <c r="AE91" s="987">
        <f>+'Exhibit G state'!AH72</f>
        <v>0.1</v>
      </c>
      <c r="AF91" s="999"/>
      <c r="AG91" s="999"/>
      <c r="AH91" s="987">
        <f t="shared" si="10"/>
        <v>0.1</v>
      </c>
      <c r="AI91" s="429"/>
      <c r="AJ91" s="1884">
        <f t="shared" ref="AJ91:AJ99" si="14">ROUND(SUM(AH91/ABS(AE91)),3)</f>
        <v>1</v>
      </c>
    </row>
    <row r="92" spans="1:36" ht="15">
      <c r="A92" s="1784" t="s">
        <v>1197</v>
      </c>
      <c r="B92" s="429"/>
      <c r="C92" s="987">
        <f>+'Exhibit F'!D82+'Exhibit G state'!D73</f>
        <v>0.9</v>
      </c>
      <c r="D92" s="987"/>
      <c r="E92" s="987"/>
      <c r="F92" s="987"/>
      <c r="G92" s="987"/>
      <c r="H92" s="987"/>
      <c r="I92" s="987"/>
      <c r="J92" s="987"/>
      <c r="K92" s="987"/>
      <c r="L92" s="987"/>
      <c r="M92" s="987"/>
      <c r="N92" s="987"/>
      <c r="O92" s="987"/>
      <c r="P92" s="987"/>
      <c r="Q92" s="987"/>
      <c r="R92" s="987"/>
      <c r="S92" s="987"/>
      <c r="T92" s="987"/>
      <c r="U92" s="987"/>
      <c r="V92" s="987"/>
      <c r="W92" s="987"/>
      <c r="X92" s="987"/>
      <c r="Y92" s="2820"/>
      <c r="Z92" s="987"/>
      <c r="AA92" s="988"/>
      <c r="AB92" s="987">
        <f t="shared" si="13"/>
        <v>0.9</v>
      </c>
      <c r="AC92" s="987"/>
      <c r="AD92" s="989"/>
      <c r="AE92" s="987">
        <f>+'Exhibit F'!AF82+'Exhibit G state'!AH73</f>
        <v>1</v>
      </c>
      <c r="AF92" s="999"/>
      <c r="AG92" s="999"/>
      <c r="AH92" s="987">
        <f t="shared" si="10"/>
        <v>-0.1</v>
      </c>
      <c r="AI92" s="429"/>
      <c r="AJ92" s="1884">
        <f t="shared" si="14"/>
        <v>-0.1</v>
      </c>
    </row>
    <row r="93" spans="1:36" ht="15">
      <c r="A93" s="1784" t="s">
        <v>1198</v>
      </c>
      <c r="B93" s="429"/>
      <c r="C93" s="987">
        <f>+'Exhibit F'!D83+'Exhibit G state'!D74</f>
        <v>0.4</v>
      </c>
      <c r="D93" s="987"/>
      <c r="E93" s="987"/>
      <c r="F93" s="987"/>
      <c r="G93" s="987"/>
      <c r="H93" s="987"/>
      <c r="I93" s="987"/>
      <c r="J93" s="987"/>
      <c r="K93" s="987"/>
      <c r="L93" s="987"/>
      <c r="M93" s="987"/>
      <c r="N93" s="987"/>
      <c r="O93" s="987"/>
      <c r="P93" s="987"/>
      <c r="Q93" s="987"/>
      <c r="R93" s="987"/>
      <c r="S93" s="987"/>
      <c r="T93" s="987"/>
      <c r="U93" s="987"/>
      <c r="V93" s="987"/>
      <c r="W93" s="987"/>
      <c r="X93" s="987"/>
      <c r="Y93" s="2820"/>
      <c r="Z93" s="987"/>
      <c r="AA93" s="988"/>
      <c r="AB93" s="987">
        <f t="shared" si="13"/>
        <v>0.4</v>
      </c>
      <c r="AC93" s="987"/>
      <c r="AD93" s="989"/>
      <c r="AE93" s="987">
        <f>+'Exhibit F'!AF83+'Exhibit G state'!AH74</f>
        <v>1.4</v>
      </c>
      <c r="AF93" s="999"/>
      <c r="AG93" s="999"/>
      <c r="AH93" s="987">
        <f t="shared" si="10"/>
        <v>-1</v>
      </c>
      <c r="AI93" s="429"/>
      <c r="AJ93" s="1884">
        <f t="shared" si="14"/>
        <v>-0.71399999999999997</v>
      </c>
    </row>
    <row r="94" spans="1:36" ht="15">
      <c r="A94" s="1784" t="s">
        <v>1199</v>
      </c>
      <c r="B94" s="429"/>
      <c r="C94" s="987">
        <f>+'Exhibit H'!B41+'Exhibit G state'!D75</f>
        <v>156.5</v>
      </c>
      <c r="D94" s="987"/>
      <c r="E94" s="987"/>
      <c r="F94" s="987"/>
      <c r="G94" s="987"/>
      <c r="H94" s="987"/>
      <c r="I94" s="987"/>
      <c r="J94" s="987"/>
      <c r="K94" s="987"/>
      <c r="L94" s="987"/>
      <c r="M94" s="987"/>
      <c r="N94" s="987"/>
      <c r="O94" s="987"/>
      <c r="P94" s="987"/>
      <c r="Q94" s="987"/>
      <c r="R94" s="987"/>
      <c r="S94" s="987"/>
      <c r="T94" s="987"/>
      <c r="U94" s="987"/>
      <c r="V94" s="987"/>
      <c r="W94" s="987"/>
      <c r="X94" s="987"/>
      <c r="Y94" s="2820"/>
      <c r="Z94" s="987"/>
      <c r="AA94" s="988"/>
      <c r="AB94" s="987">
        <f t="shared" si="13"/>
        <v>156.5</v>
      </c>
      <c r="AC94" s="987"/>
      <c r="AD94" s="989"/>
      <c r="AE94" s="987">
        <f>+'Exhibit H'!AD41+'Exhibit G state'!AH75</f>
        <v>-756.09999999999991</v>
      </c>
      <c r="AF94" s="999"/>
      <c r="AG94" s="999"/>
      <c r="AH94" s="987">
        <f t="shared" si="10"/>
        <v>912.6</v>
      </c>
      <c r="AI94" s="429"/>
      <c r="AJ94" s="1884">
        <f t="shared" si="14"/>
        <v>1.2070000000000001</v>
      </c>
    </row>
    <row r="95" spans="1:36" ht="15">
      <c r="A95" s="1784" t="s">
        <v>1200</v>
      </c>
      <c r="B95" s="429"/>
      <c r="C95" s="987">
        <f>+'Exhibit G state'!D76+'Exhibit F'!D84</f>
        <v>1.3</v>
      </c>
      <c r="D95" s="987"/>
      <c r="E95" s="987"/>
      <c r="F95" s="987"/>
      <c r="G95" s="987"/>
      <c r="H95" s="987"/>
      <c r="I95" s="987"/>
      <c r="J95" s="987"/>
      <c r="K95" s="987"/>
      <c r="L95" s="987"/>
      <c r="M95" s="987"/>
      <c r="N95" s="987"/>
      <c r="O95" s="987"/>
      <c r="P95" s="987"/>
      <c r="Q95" s="987"/>
      <c r="R95" s="987"/>
      <c r="S95" s="987"/>
      <c r="T95" s="987"/>
      <c r="U95" s="987"/>
      <c r="V95" s="987"/>
      <c r="W95" s="987"/>
      <c r="X95" s="987"/>
      <c r="Y95" s="2820"/>
      <c r="Z95" s="987"/>
      <c r="AA95" s="988"/>
      <c r="AB95" s="987">
        <f t="shared" si="13"/>
        <v>1.3</v>
      </c>
      <c r="AC95" s="987"/>
      <c r="AD95" s="989"/>
      <c r="AE95" s="987">
        <f>+'Exhibit G state'!AH76+'Exhibit F'!AF84</f>
        <v>3.4</v>
      </c>
      <c r="AF95" s="999"/>
      <c r="AG95" s="999"/>
      <c r="AH95" s="987">
        <f t="shared" si="10"/>
        <v>-2.1</v>
      </c>
      <c r="AI95" s="429"/>
      <c r="AJ95" s="1884">
        <f t="shared" si="14"/>
        <v>-0.61799999999999999</v>
      </c>
    </row>
    <row r="96" spans="1:36" ht="15">
      <c r="A96" s="1784" t="s">
        <v>1201</v>
      </c>
      <c r="B96" s="429"/>
      <c r="C96" s="987">
        <f>+'Exhibit F'!D85+'Exhibit G state'!D77</f>
        <v>7.2</v>
      </c>
      <c r="D96" s="987"/>
      <c r="E96" s="987"/>
      <c r="F96" s="987"/>
      <c r="G96" s="987"/>
      <c r="H96" s="987"/>
      <c r="I96" s="987"/>
      <c r="J96" s="987"/>
      <c r="K96" s="987"/>
      <c r="L96" s="987"/>
      <c r="M96" s="987"/>
      <c r="N96" s="987"/>
      <c r="O96" s="987"/>
      <c r="P96" s="987"/>
      <c r="Q96" s="987"/>
      <c r="R96" s="987"/>
      <c r="S96" s="987"/>
      <c r="T96" s="987"/>
      <c r="U96" s="987"/>
      <c r="V96" s="987"/>
      <c r="W96" s="987"/>
      <c r="X96" s="987"/>
      <c r="Y96" s="2820"/>
      <c r="Z96" s="987"/>
      <c r="AA96" s="988"/>
      <c r="AB96" s="987">
        <f t="shared" si="13"/>
        <v>7.2</v>
      </c>
      <c r="AC96" s="987"/>
      <c r="AD96" s="989"/>
      <c r="AE96" s="987">
        <f>+'Exhibit F'!AF85+'Exhibit G state'!AH77</f>
        <v>82.2</v>
      </c>
      <c r="AF96" s="999"/>
      <c r="AG96" s="999"/>
      <c r="AH96" s="987">
        <f t="shared" si="10"/>
        <v>-75</v>
      </c>
      <c r="AI96" s="429"/>
      <c r="AJ96" s="1884">
        <f t="shared" si="14"/>
        <v>-0.91200000000000003</v>
      </c>
    </row>
    <row r="97" spans="1:45" ht="15">
      <c r="A97" s="1784" t="s">
        <v>1202</v>
      </c>
      <c r="B97" s="429"/>
      <c r="C97" s="987">
        <f>+'Exhibit F'!D86+'Exhibit G state'!D78</f>
        <v>8.1999999999999993</v>
      </c>
      <c r="D97" s="987"/>
      <c r="E97" s="987"/>
      <c r="F97" s="987"/>
      <c r="G97" s="987"/>
      <c r="H97" s="987"/>
      <c r="I97" s="987"/>
      <c r="J97" s="987"/>
      <c r="K97" s="987"/>
      <c r="L97" s="987"/>
      <c r="M97" s="987"/>
      <c r="N97" s="987"/>
      <c r="O97" s="987"/>
      <c r="P97" s="987"/>
      <c r="Q97" s="987"/>
      <c r="R97" s="987"/>
      <c r="S97" s="987"/>
      <c r="T97" s="987"/>
      <c r="U97" s="987"/>
      <c r="V97" s="987"/>
      <c r="W97" s="987"/>
      <c r="X97" s="987"/>
      <c r="Y97" s="2820"/>
      <c r="Z97" s="987"/>
      <c r="AA97" s="988"/>
      <c r="AB97" s="987">
        <f t="shared" si="13"/>
        <v>8.1999999999999993</v>
      </c>
      <c r="AC97" s="987"/>
      <c r="AD97" s="989"/>
      <c r="AE97" s="987">
        <f>+'Exhibit F'!AF86+'Exhibit G state'!AH78</f>
        <v>8.4</v>
      </c>
      <c r="AF97" s="999"/>
      <c r="AG97" s="999"/>
      <c r="AH97" s="987">
        <f t="shared" si="10"/>
        <v>-0.2</v>
      </c>
      <c r="AI97" s="429"/>
      <c r="AJ97" s="1884">
        <f t="shared" si="14"/>
        <v>-2.4E-2</v>
      </c>
    </row>
    <row r="98" spans="1:45" ht="15">
      <c r="A98" s="1784" t="s">
        <v>1203</v>
      </c>
      <c r="B98" s="429"/>
      <c r="C98" s="987">
        <f>+'Exhibit F'!D87+'Exhibit G state'!D79</f>
        <v>48.800000000000004</v>
      </c>
      <c r="D98" s="987"/>
      <c r="E98" s="987"/>
      <c r="F98" s="987"/>
      <c r="G98" s="987"/>
      <c r="H98" s="987"/>
      <c r="I98" s="987"/>
      <c r="J98" s="987"/>
      <c r="K98" s="987"/>
      <c r="L98" s="987"/>
      <c r="M98" s="987"/>
      <c r="N98" s="987"/>
      <c r="O98" s="987"/>
      <c r="P98" s="987"/>
      <c r="Q98" s="987"/>
      <c r="R98" s="987"/>
      <c r="S98" s="987"/>
      <c r="T98" s="987"/>
      <c r="U98" s="987"/>
      <c r="V98" s="987"/>
      <c r="W98" s="987"/>
      <c r="X98" s="987"/>
      <c r="Y98" s="2820"/>
      <c r="Z98" s="987"/>
      <c r="AA98" s="988"/>
      <c r="AB98" s="987">
        <f t="shared" si="13"/>
        <v>48.8</v>
      </c>
      <c r="AC98" s="987"/>
      <c r="AD98" s="989"/>
      <c r="AE98" s="987">
        <f>+'Exhibit F'!AF87+'Exhibit G state'!AH79</f>
        <v>11</v>
      </c>
      <c r="AF98" s="999"/>
      <c r="AG98" s="999"/>
      <c r="AH98" s="987">
        <f t="shared" si="10"/>
        <v>37.799999999999997</v>
      </c>
      <c r="AI98" s="429"/>
      <c r="AJ98" s="1884">
        <f t="shared" si="14"/>
        <v>3.4359999999999999</v>
      </c>
    </row>
    <row r="99" spans="1:45" ht="15">
      <c r="A99" s="1784" t="s">
        <v>1204</v>
      </c>
      <c r="B99" s="429"/>
      <c r="C99" s="987">
        <f>+'Exhibit F'!D88+'Exhibit G state'!D80</f>
        <v>0.7</v>
      </c>
      <c r="D99" s="987"/>
      <c r="E99" s="987"/>
      <c r="F99" s="987"/>
      <c r="G99" s="987"/>
      <c r="H99" s="987"/>
      <c r="I99" s="987"/>
      <c r="J99" s="987"/>
      <c r="K99" s="987"/>
      <c r="L99" s="987"/>
      <c r="M99" s="987"/>
      <c r="N99" s="987"/>
      <c r="O99" s="987"/>
      <c r="P99" s="987"/>
      <c r="Q99" s="987"/>
      <c r="R99" s="987"/>
      <c r="S99" s="987"/>
      <c r="T99" s="987"/>
      <c r="U99" s="987"/>
      <c r="V99" s="987"/>
      <c r="W99" s="987"/>
      <c r="X99" s="987"/>
      <c r="Y99" s="2820"/>
      <c r="Z99" s="987"/>
      <c r="AA99" s="988"/>
      <c r="AB99" s="987">
        <f t="shared" si="13"/>
        <v>0.7</v>
      </c>
      <c r="AC99" s="987"/>
      <c r="AD99" s="989"/>
      <c r="AE99" s="987">
        <f>+'Exhibit F'!AF88+'Exhibit G state'!AH80+'Exhibit H'!AD42</f>
        <v>1.9</v>
      </c>
      <c r="AF99" s="999"/>
      <c r="AG99" s="999"/>
      <c r="AH99" s="987">
        <f t="shared" si="10"/>
        <v>-1.2</v>
      </c>
      <c r="AI99" s="429"/>
      <c r="AJ99" s="1884">
        <f t="shared" si="14"/>
        <v>-0.63200000000000001</v>
      </c>
    </row>
    <row r="100" spans="1:45" ht="15">
      <c r="A100" s="1784" t="s">
        <v>1205</v>
      </c>
      <c r="B100" s="429"/>
      <c r="C100" s="987">
        <f>+'Exhibit G state'!D81</f>
        <v>54.7</v>
      </c>
      <c r="D100" s="987"/>
      <c r="E100" s="987"/>
      <c r="F100" s="987"/>
      <c r="G100" s="987"/>
      <c r="H100" s="987"/>
      <c r="I100" s="987"/>
      <c r="J100" s="987"/>
      <c r="K100" s="987"/>
      <c r="L100" s="987"/>
      <c r="M100" s="987"/>
      <c r="N100" s="987"/>
      <c r="O100" s="987"/>
      <c r="P100" s="987"/>
      <c r="Q100" s="987"/>
      <c r="R100" s="987"/>
      <c r="S100" s="987"/>
      <c r="T100" s="987"/>
      <c r="U100" s="987"/>
      <c r="V100" s="987"/>
      <c r="W100" s="987"/>
      <c r="X100" s="987"/>
      <c r="Y100" s="2820"/>
      <c r="Z100" s="987"/>
      <c r="AA100" s="988"/>
      <c r="AB100" s="987">
        <f t="shared" si="13"/>
        <v>54.7</v>
      </c>
      <c r="AC100" s="987"/>
      <c r="AD100" s="989"/>
      <c r="AE100" s="987">
        <f>+'Exhibit G state'!AH81</f>
        <v>125.2</v>
      </c>
      <c r="AF100" s="999"/>
      <c r="AG100" s="999"/>
      <c r="AH100" s="987">
        <f t="shared" si="10"/>
        <v>-70.5</v>
      </c>
      <c r="AI100" s="429"/>
      <c r="AJ100" s="1884">
        <f>ROUND(SUM(AH100/ABS(AE100)),3)</f>
        <v>-0.56299999999999994</v>
      </c>
    </row>
    <row r="101" spans="1:45" ht="15.6">
      <c r="A101" s="588" t="s">
        <v>1240</v>
      </c>
      <c r="B101" s="412"/>
      <c r="C101" s="483">
        <f>ROUND(SUM(C61:C100),1)</f>
        <v>1357.3</v>
      </c>
      <c r="D101" s="2052"/>
      <c r="E101" s="483">
        <f>ROUND(SUM(E61:E100),1)</f>
        <v>0</v>
      </c>
      <c r="F101" s="2052"/>
      <c r="G101" s="483">
        <f>ROUND(SUM(G61:G100),1)</f>
        <v>0</v>
      </c>
      <c r="H101" s="1838"/>
      <c r="I101" s="483">
        <f>ROUND(SUM(I61:I100),1)</f>
        <v>0</v>
      </c>
      <c r="J101" s="1838"/>
      <c r="K101" s="483">
        <f>ROUND(SUM(K61:K100),1)</f>
        <v>0</v>
      </c>
      <c r="L101" s="1838"/>
      <c r="M101" s="483">
        <f>ROUND(SUM(M61:M100),1)</f>
        <v>0</v>
      </c>
      <c r="N101" s="1838"/>
      <c r="O101" s="483">
        <f>ROUND(SUM(O61:O100),1)</f>
        <v>0</v>
      </c>
      <c r="P101" s="1838"/>
      <c r="Q101" s="483">
        <f>ROUND(SUM(Q61:Q100),1)</f>
        <v>0</v>
      </c>
      <c r="R101" s="1838"/>
      <c r="S101" s="483">
        <f>ROUND(SUM(S61:S100),1)</f>
        <v>0</v>
      </c>
      <c r="T101" s="1838"/>
      <c r="U101" s="483">
        <f>ROUND(SUM(U61:U100),1)</f>
        <v>0</v>
      </c>
      <c r="V101" s="1838"/>
      <c r="W101" s="483">
        <f>ROUND(SUM(W61:W100),1)</f>
        <v>0</v>
      </c>
      <c r="X101" s="409"/>
      <c r="Y101" s="483">
        <f>ROUND(SUM(Y61:Y100),1)</f>
        <v>0</v>
      </c>
      <c r="Z101" s="409"/>
      <c r="AA101" s="484"/>
      <c r="AB101" s="483">
        <f>ROUND(SUM(AB61:AB100),1)</f>
        <v>1357.3</v>
      </c>
      <c r="AC101" s="1838"/>
      <c r="AD101" s="259"/>
      <c r="AE101" s="483">
        <f>ROUND(SUM(AE61:AE100),1)</f>
        <v>608.6</v>
      </c>
      <c r="AF101" s="273"/>
      <c r="AG101" s="2061"/>
      <c r="AH101" s="483">
        <f>ROUND(SUM(AH61:AH100),1)</f>
        <v>748.7</v>
      </c>
      <c r="AI101" s="273"/>
      <c r="AJ101" s="2053">
        <f>ROUND(SUM(+AH101/ABS(AE101)),3)</f>
        <v>1.23</v>
      </c>
    </row>
    <row r="102" spans="1:45" ht="15">
      <c r="A102" s="429"/>
      <c r="B102" s="429"/>
      <c r="C102" s="987"/>
      <c r="D102" s="987"/>
      <c r="E102" s="987"/>
      <c r="F102" s="987"/>
      <c r="G102" s="987"/>
      <c r="H102" s="987"/>
      <c r="I102" s="987"/>
      <c r="J102" s="987"/>
      <c r="K102" s="987"/>
      <c r="L102" s="987"/>
      <c r="M102" s="987"/>
      <c r="N102" s="987"/>
      <c r="O102" s="987"/>
      <c r="P102" s="987"/>
      <c r="Q102" s="987"/>
      <c r="R102" s="987"/>
      <c r="S102" s="987"/>
      <c r="T102" s="987"/>
      <c r="U102" s="987"/>
      <c r="V102" s="987"/>
      <c r="X102" s="987"/>
      <c r="Y102" s="987"/>
      <c r="Z102" s="987"/>
      <c r="AA102" s="1883"/>
      <c r="AB102" s="987"/>
      <c r="AC102" s="999"/>
      <c r="AD102" s="988"/>
      <c r="AE102" s="987"/>
      <c r="AF102" s="999"/>
      <c r="AG102" s="999"/>
      <c r="AH102" s="987"/>
      <c r="AI102" s="429"/>
      <c r="AJ102" s="1884"/>
    </row>
    <row r="103" spans="1:45" ht="15">
      <c r="A103" s="429" t="s">
        <v>22</v>
      </c>
      <c r="B103" s="429"/>
      <c r="C103" s="992">
        <f>+'Exhibit F'!D91+'Exhibit G state'!D84+'Exhibit H'!B45</f>
        <v>14.8</v>
      </c>
      <c r="D103" s="987"/>
      <c r="E103" s="992"/>
      <c r="F103" s="987"/>
      <c r="G103" s="992"/>
      <c r="H103" s="987"/>
      <c r="I103" s="992"/>
      <c r="J103" s="987"/>
      <c r="K103" s="992"/>
      <c r="L103" s="987"/>
      <c r="M103" s="992"/>
      <c r="N103" s="987"/>
      <c r="O103" s="992"/>
      <c r="P103" s="987"/>
      <c r="Q103" s="992"/>
      <c r="R103" s="987"/>
      <c r="S103" s="992"/>
      <c r="T103" s="987"/>
      <c r="U103" s="992"/>
      <c r="V103" s="987"/>
      <c r="W103" s="992"/>
      <c r="X103" s="987"/>
      <c r="Y103" s="992"/>
      <c r="Z103" s="987"/>
      <c r="AA103" s="988"/>
      <c r="AB103" s="992">
        <f>ROUND(SUM(C103:Y103),1)</f>
        <v>14.8</v>
      </c>
      <c r="AC103" s="987"/>
      <c r="AD103" s="989"/>
      <c r="AE103" s="992">
        <v>0</v>
      </c>
      <c r="AF103" s="999"/>
      <c r="AG103" s="999"/>
      <c r="AH103" s="992">
        <f>ROUND(SUM(AB103-AE103),1)</f>
        <v>14.8</v>
      </c>
      <c r="AI103" s="429"/>
      <c r="AJ103" s="1617">
        <f>ROUND(IF(AE103=0,1,AH103/ABS(AE103)),3)</f>
        <v>1</v>
      </c>
    </row>
    <row r="104" spans="1:45" ht="15">
      <c r="A104" s="429"/>
      <c r="B104" s="429"/>
      <c r="C104" s="987"/>
      <c r="D104" s="987"/>
      <c r="E104" s="987"/>
      <c r="F104" s="987"/>
      <c r="G104" s="987"/>
      <c r="H104" s="987"/>
      <c r="I104" s="987"/>
      <c r="J104" s="987"/>
      <c r="K104" s="987"/>
      <c r="L104" s="987"/>
      <c r="M104" s="987"/>
      <c r="N104" s="987"/>
      <c r="O104" s="987"/>
      <c r="P104" s="987"/>
      <c r="Q104" s="987"/>
      <c r="R104" s="987"/>
      <c r="S104" s="987"/>
      <c r="T104" s="987"/>
      <c r="U104" s="987"/>
      <c r="V104" s="987"/>
      <c r="W104" s="987"/>
      <c r="X104" s="987"/>
      <c r="Y104" s="987"/>
      <c r="Z104" s="987"/>
      <c r="AA104" s="988"/>
      <c r="AB104" s="987"/>
      <c r="AC104" s="987"/>
      <c r="AD104" s="989"/>
      <c r="AE104" s="987"/>
      <c r="AF104" s="999"/>
      <c r="AG104" s="999"/>
      <c r="AH104" s="987"/>
      <c r="AI104" s="429"/>
      <c r="AJ104" s="993"/>
    </row>
    <row r="105" spans="1:45" ht="15.6">
      <c r="A105" s="221" t="s">
        <v>156</v>
      </c>
      <c r="B105" s="222"/>
      <c r="C105" s="1692">
        <f>ROUND(SUM(C103+C101+C57),1)</f>
        <v>9500.2999999999993</v>
      </c>
      <c r="D105" s="1838"/>
      <c r="E105" s="1692">
        <f>ROUND(SUM(E103+E101+E57),1)</f>
        <v>0</v>
      </c>
      <c r="F105" s="1838"/>
      <c r="G105" s="1692">
        <f>ROUND(SUM(G103+G101+G57),1)</f>
        <v>0</v>
      </c>
      <c r="H105" s="1838"/>
      <c r="I105" s="1692">
        <f>ROUND(SUM(I103+I101+I57),1)</f>
        <v>0</v>
      </c>
      <c r="J105" s="1838"/>
      <c r="K105" s="1692">
        <f>ROUND(SUM(K103+K101+K57),1)</f>
        <v>0</v>
      </c>
      <c r="L105" s="1838"/>
      <c r="M105" s="1692">
        <f>ROUND(SUM(M103+M101+M57),1)</f>
        <v>0</v>
      </c>
      <c r="N105" s="1838"/>
      <c r="O105" s="1692">
        <f>ROUND(SUM(O103+O101+O57),1)</f>
        <v>0</v>
      </c>
      <c r="P105" s="1838"/>
      <c r="Q105" s="1692">
        <f>ROUND(SUM(Q103+Q101+Q57),1)</f>
        <v>0</v>
      </c>
      <c r="R105" s="1838"/>
      <c r="S105" s="1692">
        <f>ROUND(SUM(S103+S101+S57),1)</f>
        <v>0</v>
      </c>
      <c r="T105" s="1838"/>
      <c r="U105" s="1692">
        <f>ROUND(SUM(U103+U101+U57),1)</f>
        <v>0</v>
      </c>
      <c r="V105" s="1838"/>
      <c r="W105" s="1692">
        <f>ROUND(SUM(W103+W101+W57),1)</f>
        <v>0</v>
      </c>
      <c r="X105" s="409"/>
      <c r="Y105" s="1692">
        <f>ROUND(SUM(Y103+Y101+Y57),1)</f>
        <v>0</v>
      </c>
      <c r="Z105" s="476"/>
      <c r="AA105" s="477"/>
      <c r="AB105" s="1692">
        <f>ROUND(SUM(AB103+AB101+AB57),1)</f>
        <v>9500.2999999999993</v>
      </c>
      <c r="AC105" s="1838"/>
      <c r="AD105" s="259"/>
      <c r="AE105" s="1692">
        <f>ROUND(SUM(AE103+AE101+AE57),1)</f>
        <v>9150</v>
      </c>
      <c r="AF105" s="273"/>
      <c r="AG105" s="2061"/>
      <c r="AH105" s="1692">
        <f>ROUND(SUM(AH103+AH101+AH57),1)</f>
        <v>350.3</v>
      </c>
      <c r="AI105" s="273"/>
      <c r="AJ105" s="524">
        <f>ROUND(SUM(+AH105/ABS(AE105)),3)</f>
        <v>3.7999999999999999E-2</v>
      </c>
      <c r="AK105" s="793"/>
      <c r="AL105" s="793"/>
      <c r="AM105" s="793"/>
      <c r="AN105" s="793"/>
      <c r="AO105" s="793"/>
      <c r="AP105" s="793"/>
      <c r="AQ105" s="793"/>
      <c r="AR105" s="793"/>
      <c r="AS105" s="793"/>
    </row>
    <row r="106" spans="1:45" ht="15.6">
      <c r="A106" s="409"/>
      <c r="B106" s="429"/>
      <c r="C106" s="998"/>
      <c r="D106" s="987"/>
      <c r="E106" s="998"/>
      <c r="F106" s="987"/>
      <c r="G106" s="998"/>
      <c r="H106" s="987"/>
      <c r="I106" s="998"/>
      <c r="J106" s="987"/>
      <c r="K106" s="998"/>
      <c r="L106" s="987"/>
      <c r="M106" s="998"/>
      <c r="N106" s="987"/>
      <c r="O106" s="998"/>
      <c r="P106" s="987"/>
      <c r="Q106" s="998"/>
      <c r="R106" s="987"/>
      <c r="S106" s="998"/>
      <c r="T106" s="987"/>
      <c r="U106" s="998"/>
      <c r="V106" s="987"/>
      <c r="W106" s="998"/>
      <c r="X106" s="987"/>
      <c r="Y106" s="998"/>
      <c r="Z106" s="987"/>
      <c r="AA106" s="988"/>
      <c r="AB106" s="998"/>
      <c r="AC106" s="987"/>
      <c r="AD106" s="989"/>
      <c r="AE106" s="998"/>
      <c r="AF106" s="999"/>
      <c r="AG106" s="999"/>
      <c r="AH106" s="1159"/>
      <c r="AI106" s="429"/>
      <c r="AJ106" s="1668"/>
    </row>
    <row r="107" spans="1:45" ht="15.6">
      <c r="A107" s="409" t="s">
        <v>24</v>
      </c>
      <c r="B107" s="429"/>
      <c r="C107" s="999"/>
      <c r="D107" s="987"/>
      <c r="E107" s="999"/>
      <c r="F107" s="987"/>
      <c r="G107" s="999"/>
      <c r="H107" s="987"/>
      <c r="I107" s="999"/>
      <c r="J107" s="987"/>
      <c r="K107" s="999"/>
      <c r="L107" s="987"/>
      <c r="M107" s="999"/>
      <c r="N107" s="987"/>
      <c r="O107" s="999"/>
      <c r="P107" s="987"/>
      <c r="Q107" s="999"/>
      <c r="R107" s="987"/>
      <c r="S107" s="999"/>
      <c r="T107" s="987"/>
      <c r="U107" s="999"/>
      <c r="V107" s="987"/>
      <c r="W107" s="999"/>
      <c r="X107" s="987"/>
      <c r="Y107" s="999"/>
      <c r="Z107" s="987"/>
      <c r="AA107" s="988"/>
      <c r="AB107" s="999"/>
      <c r="AC107" s="987"/>
      <c r="AD107" s="989"/>
      <c r="AE107" s="999"/>
      <c r="AF107" s="999"/>
      <c r="AG107" s="999"/>
      <c r="AH107" s="1159"/>
      <c r="AI107" s="429"/>
      <c r="AJ107" s="1668"/>
    </row>
    <row r="108" spans="1:45" ht="15">
      <c r="A108" s="429" t="s">
        <v>142</v>
      </c>
      <c r="B108" s="429"/>
      <c r="C108" s="987"/>
      <c r="D108" s="987"/>
      <c r="E108" s="987"/>
      <c r="F108" s="987"/>
      <c r="G108" s="987"/>
      <c r="H108" s="987"/>
      <c r="I108" s="987"/>
      <c r="J108" s="987"/>
      <c r="K108" s="987"/>
      <c r="L108" s="987"/>
      <c r="M108" s="987"/>
      <c r="N108" s="987"/>
      <c r="O108" s="987"/>
      <c r="P108" s="987"/>
      <c r="Q108" s="987"/>
      <c r="R108" s="987"/>
      <c r="S108" s="987"/>
      <c r="T108" s="987"/>
      <c r="U108" s="987"/>
      <c r="V108" s="987"/>
      <c r="W108" s="987"/>
      <c r="X108" s="987"/>
      <c r="Y108" s="987"/>
      <c r="Z108" s="987"/>
      <c r="AA108" s="988"/>
      <c r="AB108" s="987"/>
      <c r="AC108" s="987"/>
      <c r="AD108" s="989"/>
      <c r="AE108" s="1159"/>
      <c r="AF108" s="999"/>
      <c r="AG108" s="999"/>
      <c r="AH108" s="987"/>
      <c r="AI108" s="429"/>
      <c r="AJ108" s="1884"/>
    </row>
    <row r="109" spans="1:45" ht="15">
      <c r="A109" s="1888" t="s">
        <v>26</v>
      </c>
      <c r="B109" s="429"/>
      <c r="C109" s="987">
        <f>+'Exhibit F'!D97+'Exhibit G state'!D90</f>
        <v>829.5</v>
      </c>
      <c r="D109" s="987"/>
      <c r="E109" s="987"/>
      <c r="F109" s="987"/>
      <c r="G109" s="987"/>
      <c r="H109" s="987"/>
      <c r="I109" s="987"/>
      <c r="J109" s="987"/>
      <c r="K109" s="987"/>
      <c r="L109" s="987"/>
      <c r="M109" s="987"/>
      <c r="N109" s="987"/>
      <c r="O109" s="987"/>
      <c r="P109" s="987"/>
      <c r="Q109" s="2045"/>
      <c r="R109" s="987"/>
      <c r="S109" s="2045"/>
      <c r="T109" s="987"/>
      <c r="U109" s="2045"/>
      <c r="V109" s="987"/>
      <c r="W109" s="2045"/>
      <c r="X109" s="987"/>
      <c r="Y109" s="2820"/>
      <c r="Z109" s="987"/>
      <c r="AA109" s="988"/>
      <c r="AB109" s="1159">
        <f>ROUND(SUM(C109:Y109),1)</f>
        <v>829.5</v>
      </c>
      <c r="AC109" s="987"/>
      <c r="AD109" s="989"/>
      <c r="AE109" s="1159">
        <f>+'Exhibit F'!AF97+'Exhibit G state'!AH90</f>
        <v>571.70000000000005</v>
      </c>
      <c r="AF109" s="999"/>
      <c r="AG109" s="999"/>
      <c r="AH109" s="987">
        <f>ROUND(SUM(AB109-AE109),1)</f>
        <v>257.8</v>
      </c>
      <c r="AI109" s="429"/>
      <c r="AJ109" s="1884">
        <f>ROUND(SUM(AH109/ABS(AE109)),3)</f>
        <v>0.45100000000000001</v>
      </c>
    </row>
    <row r="110" spans="1:45" ht="15">
      <c r="A110" s="1888" t="s">
        <v>27</v>
      </c>
      <c r="B110" s="429"/>
      <c r="C110" s="987">
        <f>+'Exhibit F'!D98+'Exhibit G state'!D91</f>
        <v>0.1</v>
      </c>
      <c r="D110" s="987"/>
      <c r="E110" s="987"/>
      <c r="F110" s="987"/>
      <c r="G110" s="987"/>
      <c r="H110" s="987"/>
      <c r="I110" s="987"/>
      <c r="J110" s="987"/>
      <c r="K110" s="987"/>
      <c r="L110" s="987"/>
      <c r="M110" s="987"/>
      <c r="N110" s="987"/>
      <c r="O110" s="987"/>
      <c r="P110" s="987"/>
      <c r="Q110" s="2045"/>
      <c r="R110" s="987"/>
      <c r="S110" s="2045"/>
      <c r="T110" s="987"/>
      <c r="U110" s="2045"/>
      <c r="V110" s="987"/>
      <c r="W110" s="2045"/>
      <c r="X110" s="987"/>
      <c r="Y110" s="2820"/>
      <c r="Z110" s="987"/>
      <c r="AA110" s="988"/>
      <c r="AB110" s="1159">
        <f t="shared" ref="AB110:AB117" si="15">ROUND(SUM(C110:Y110),1)</f>
        <v>0.1</v>
      </c>
      <c r="AC110" s="987"/>
      <c r="AD110" s="989"/>
      <c r="AE110" s="1159">
        <f>+'Exhibit F'!AF98+'Exhibit G state'!AH91</f>
        <v>0</v>
      </c>
      <c r="AF110" s="999"/>
      <c r="AG110" s="999"/>
      <c r="AH110" s="987">
        <f t="shared" ref="AH110:AH117" si="16">ROUND(SUM(AB110-AE110),1)</f>
        <v>0.1</v>
      </c>
      <c r="AI110" s="429"/>
      <c r="AJ110" s="2654">
        <f>ROUND(IF(AE110=0,1,AH110/ABS(AE110)),3)</f>
        <v>1</v>
      </c>
    </row>
    <row r="111" spans="1:45" ht="15">
      <c r="A111" s="1888" t="s">
        <v>28</v>
      </c>
      <c r="B111" s="429"/>
      <c r="C111" s="987">
        <f>+'Exhibit F'!D99+'Exhibit G state'!D92</f>
        <v>11.799999999999999</v>
      </c>
      <c r="D111" s="987"/>
      <c r="E111" s="987"/>
      <c r="F111" s="987"/>
      <c r="G111" s="987"/>
      <c r="H111" s="987"/>
      <c r="I111" s="987"/>
      <c r="J111" s="987"/>
      <c r="K111" s="987"/>
      <c r="L111" s="987"/>
      <c r="M111" s="987"/>
      <c r="N111" s="987"/>
      <c r="O111" s="987"/>
      <c r="P111" s="987"/>
      <c r="Q111" s="2045"/>
      <c r="R111" s="987"/>
      <c r="S111" s="2045"/>
      <c r="T111" s="987"/>
      <c r="U111" s="2045"/>
      <c r="V111" s="987"/>
      <c r="W111" s="2045"/>
      <c r="X111" s="987"/>
      <c r="Y111" s="2820"/>
      <c r="Z111" s="987"/>
      <c r="AA111" s="988"/>
      <c r="AB111" s="1159">
        <f t="shared" si="15"/>
        <v>11.8</v>
      </c>
      <c r="AC111" s="987"/>
      <c r="AD111" s="989"/>
      <c r="AE111" s="1159">
        <f>+'Exhibit F'!AF99+'Exhibit G state'!AH92</f>
        <v>14.3</v>
      </c>
      <c r="AF111" s="999"/>
      <c r="AG111" s="999"/>
      <c r="AH111" s="987">
        <f t="shared" si="16"/>
        <v>-2.5</v>
      </c>
      <c r="AI111" s="429"/>
      <c r="AJ111" s="1884">
        <f>ROUND(SUM(AH111/ABS(AE111)),3)</f>
        <v>-0.17499999999999999</v>
      </c>
    </row>
    <row r="112" spans="1:45" ht="15">
      <c r="A112" s="1888" t="s">
        <v>29</v>
      </c>
      <c r="B112" s="429"/>
      <c r="C112" s="987"/>
      <c r="D112" s="987"/>
      <c r="E112" s="987"/>
      <c r="F112" s="987"/>
      <c r="G112" s="987"/>
      <c r="H112" s="987"/>
      <c r="I112" s="987"/>
      <c r="J112" s="987"/>
      <c r="K112" s="987"/>
      <c r="L112" s="987"/>
      <c r="M112" s="987"/>
      <c r="N112" s="987"/>
      <c r="O112" s="987"/>
      <c r="P112" s="987"/>
      <c r="Q112" s="2045"/>
      <c r="R112" s="987"/>
      <c r="S112" s="2045"/>
      <c r="T112" s="987"/>
      <c r="U112" s="2045"/>
      <c r="V112" s="987"/>
      <c r="W112" s="2045"/>
      <c r="X112" s="987"/>
      <c r="Y112" s="2820"/>
      <c r="Z112" s="987"/>
      <c r="AA112" s="988"/>
      <c r="AB112" s="1159"/>
      <c r="AC112" s="987"/>
      <c r="AD112" s="989"/>
      <c r="AE112" s="1239"/>
      <c r="AF112" s="999"/>
      <c r="AG112" s="999"/>
      <c r="AH112" s="987" t="s">
        <v>16</v>
      </c>
      <c r="AI112" s="429"/>
      <c r="AJ112" s="1884"/>
    </row>
    <row r="113" spans="1:44" ht="15">
      <c r="A113" s="1889" t="s">
        <v>30</v>
      </c>
      <c r="B113" s="429"/>
      <c r="C113" s="987">
        <f>+'Exhibit F'!D101+'Exhibit G state'!D94</f>
        <v>1325.3</v>
      </c>
      <c r="D113" s="987"/>
      <c r="E113" s="987"/>
      <c r="F113" s="987"/>
      <c r="G113" s="987"/>
      <c r="H113" s="987"/>
      <c r="I113" s="987"/>
      <c r="J113" s="987"/>
      <c r="K113" s="987"/>
      <c r="L113" s="987"/>
      <c r="M113" s="987"/>
      <c r="N113" s="987"/>
      <c r="O113" s="987"/>
      <c r="P113" s="987"/>
      <c r="Q113" s="2045"/>
      <c r="R113" s="987"/>
      <c r="S113" s="2045"/>
      <c r="T113" s="987"/>
      <c r="U113" s="2045"/>
      <c r="V113" s="987"/>
      <c r="W113" s="2045"/>
      <c r="X113" s="987"/>
      <c r="Y113" s="2820"/>
      <c r="Z113" s="987"/>
      <c r="AA113" s="988"/>
      <c r="AB113" s="1159">
        <f t="shared" si="15"/>
        <v>1325.3</v>
      </c>
      <c r="AC113" s="987"/>
      <c r="AD113" s="989"/>
      <c r="AE113" s="1159">
        <f>+'Exhibit F'!AF101+'Exhibit G state'!AH94</f>
        <v>1633.1999999999998</v>
      </c>
      <c r="AF113" s="999"/>
      <c r="AG113" s="999"/>
      <c r="AH113" s="987">
        <f t="shared" si="16"/>
        <v>-307.89999999999998</v>
      </c>
      <c r="AI113" s="429"/>
      <c r="AJ113" s="1884">
        <f t="shared" ref="AJ113:AJ119" si="17">ROUND(SUM(AH113/ABS(AE113)),3)</f>
        <v>-0.189</v>
      </c>
      <c r="AK113" s="417"/>
    </row>
    <row r="114" spans="1:44" ht="15">
      <c r="A114" s="1888" t="s">
        <v>31</v>
      </c>
      <c r="B114" s="429"/>
      <c r="C114" s="987">
        <f>+'Exhibit F'!D102+'Exhibit G state'!D95</f>
        <v>174.5</v>
      </c>
      <c r="D114" s="987"/>
      <c r="E114" s="987"/>
      <c r="F114" s="987"/>
      <c r="G114" s="987"/>
      <c r="H114" s="987"/>
      <c r="I114" s="987"/>
      <c r="J114" s="987"/>
      <c r="K114" s="987"/>
      <c r="L114" s="987"/>
      <c r="M114" s="987"/>
      <c r="N114" s="987"/>
      <c r="O114" s="987"/>
      <c r="P114" s="987"/>
      <c r="Q114" s="2045"/>
      <c r="R114" s="987"/>
      <c r="S114" s="2045"/>
      <c r="T114" s="987"/>
      <c r="U114" s="2045"/>
      <c r="V114" s="987"/>
      <c r="W114" s="2045"/>
      <c r="X114" s="987"/>
      <c r="Y114" s="2820"/>
      <c r="Z114" s="987"/>
      <c r="AA114" s="988"/>
      <c r="AB114" s="1159">
        <f t="shared" si="15"/>
        <v>174.5</v>
      </c>
      <c r="AC114" s="1885"/>
      <c r="AD114" s="987"/>
      <c r="AE114" s="1159">
        <f>+'Exhibit F'!AF102+'Exhibit G state'!AH95</f>
        <v>98.8</v>
      </c>
      <c r="AF114" s="999"/>
      <c r="AG114" s="999"/>
      <c r="AH114" s="987">
        <f t="shared" si="16"/>
        <v>75.7</v>
      </c>
      <c r="AI114" s="429"/>
      <c r="AJ114" s="1884">
        <f t="shared" si="17"/>
        <v>0.76600000000000001</v>
      </c>
    </row>
    <row r="115" spans="1:44" ht="15">
      <c r="A115" s="1888" t="s">
        <v>32</v>
      </c>
      <c r="B115" s="429"/>
      <c r="C115" s="987">
        <f>+'Exhibit F'!D103+'Exhibit G state'!D96</f>
        <v>19</v>
      </c>
      <c r="D115" s="987"/>
      <c r="E115" s="987"/>
      <c r="F115" s="987"/>
      <c r="G115" s="987"/>
      <c r="H115" s="987"/>
      <c r="I115" s="987"/>
      <c r="J115" s="987"/>
      <c r="K115" s="987"/>
      <c r="L115" s="987"/>
      <c r="M115" s="987"/>
      <c r="N115" s="987"/>
      <c r="O115" s="987"/>
      <c r="P115" s="987"/>
      <c r="Q115" s="2045"/>
      <c r="R115" s="987"/>
      <c r="S115" s="2045"/>
      <c r="T115" s="987"/>
      <c r="U115" s="2045"/>
      <c r="V115" s="987"/>
      <c r="W115" s="2045"/>
      <c r="X115" s="987"/>
      <c r="Y115" s="2820"/>
      <c r="Z115" s="987"/>
      <c r="AA115" s="988"/>
      <c r="AB115" s="1159">
        <f t="shared" si="15"/>
        <v>19</v>
      </c>
      <c r="AC115" s="1890"/>
      <c r="AD115" s="989"/>
      <c r="AE115" s="1159">
        <f>+'Exhibit F'!AF103+'Exhibit G state'!AH96</f>
        <v>14.6</v>
      </c>
      <c r="AF115" s="999"/>
      <c r="AG115" s="999"/>
      <c r="AH115" s="987">
        <f t="shared" si="16"/>
        <v>4.4000000000000004</v>
      </c>
      <c r="AI115" s="429"/>
      <c r="AJ115" s="1884">
        <f t="shared" si="17"/>
        <v>0.30099999999999999</v>
      </c>
    </row>
    <row r="116" spans="1:44" ht="15">
      <c r="A116" s="1888" t="s">
        <v>33</v>
      </c>
      <c r="B116" s="429"/>
      <c r="C116" s="987">
        <f>+'Exhibit F'!D104+'Exhibit G state'!D97</f>
        <v>123.30000000000001</v>
      </c>
      <c r="D116" s="987"/>
      <c r="E116" s="987"/>
      <c r="F116" s="987"/>
      <c r="G116" s="987"/>
      <c r="H116" s="987"/>
      <c r="I116" s="987"/>
      <c r="J116" s="987"/>
      <c r="K116" s="987"/>
      <c r="L116" s="987"/>
      <c r="M116" s="987"/>
      <c r="N116" s="987"/>
      <c r="O116" s="987"/>
      <c r="P116" s="987"/>
      <c r="Q116" s="2045"/>
      <c r="R116" s="987"/>
      <c r="S116" s="2045"/>
      <c r="T116" s="987"/>
      <c r="U116" s="2045"/>
      <c r="V116" s="987"/>
      <c r="W116" s="2045"/>
      <c r="X116" s="987"/>
      <c r="Y116" s="2820"/>
      <c r="Z116" s="987"/>
      <c r="AA116" s="988"/>
      <c r="AB116" s="1159">
        <f t="shared" si="15"/>
        <v>123.3</v>
      </c>
      <c r="AC116" s="1890"/>
      <c r="AD116" s="989"/>
      <c r="AE116" s="1159">
        <f>+'Exhibit F'!AF104+'Exhibit G state'!AH97</f>
        <v>132.69999999999999</v>
      </c>
      <c r="AF116" s="999"/>
      <c r="AG116" s="999"/>
      <c r="AH116" s="987">
        <f t="shared" si="16"/>
        <v>-9.4</v>
      </c>
      <c r="AI116" s="429"/>
      <c r="AJ116" s="1884">
        <f t="shared" si="17"/>
        <v>-7.0999999999999994E-2</v>
      </c>
    </row>
    <row r="117" spans="1:44" ht="15">
      <c r="A117" s="1888" t="s">
        <v>34</v>
      </c>
      <c r="B117" s="429"/>
      <c r="C117" s="987">
        <f>+'Exhibit F'!D105+'Exhibit G state'!D98</f>
        <v>2.3000000000000003</v>
      </c>
      <c r="D117" s="987"/>
      <c r="E117" s="987"/>
      <c r="F117" s="987"/>
      <c r="G117" s="987"/>
      <c r="H117" s="987"/>
      <c r="I117" s="987"/>
      <c r="J117" s="987"/>
      <c r="K117" s="987"/>
      <c r="L117" s="987"/>
      <c r="M117" s="987"/>
      <c r="N117" s="987"/>
      <c r="O117" s="987"/>
      <c r="P117" s="987"/>
      <c r="Q117" s="2045"/>
      <c r="R117" s="987"/>
      <c r="S117" s="2045"/>
      <c r="T117" s="987"/>
      <c r="U117" s="2045"/>
      <c r="V117" s="987"/>
      <c r="W117" s="2045"/>
      <c r="X117" s="987"/>
      <c r="Y117" s="2820"/>
      <c r="Z117" s="987"/>
      <c r="AA117" s="988"/>
      <c r="AB117" s="1159">
        <f t="shared" si="15"/>
        <v>2.2999999999999998</v>
      </c>
      <c r="AC117" s="1890"/>
      <c r="AD117" s="989"/>
      <c r="AE117" s="1159">
        <f>+'Exhibit F'!AF105+'Exhibit G state'!AH98</f>
        <v>4.5999999999999996</v>
      </c>
      <c r="AF117" s="999"/>
      <c r="AG117" s="999"/>
      <c r="AH117" s="987">
        <f t="shared" si="16"/>
        <v>-2.2999999999999998</v>
      </c>
      <c r="AI117" s="429"/>
      <c r="AJ117" s="1884">
        <f t="shared" si="17"/>
        <v>-0.5</v>
      </c>
    </row>
    <row r="118" spans="1:44" ht="15">
      <c r="A118" s="1888" t="s">
        <v>35</v>
      </c>
      <c r="B118" s="429"/>
      <c r="C118" s="987">
        <f>+'Exhibit F'!D106+'Exhibit G state'!D99</f>
        <v>192.1</v>
      </c>
      <c r="D118" s="987"/>
      <c r="E118" s="987"/>
      <c r="F118" s="987"/>
      <c r="G118" s="987"/>
      <c r="H118" s="987"/>
      <c r="I118" s="987"/>
      <c r="J118" s="987"/>
      <c r="K118" s="987"/>
      <c r="L118" s="987"/>
      <c r="M118" s="987"/>
      <c r="N118" s="987"/>
      <c r="O118" s="987"/>
      <c r="P118" s="987"/>
      <c r="Q118" s="2045"/>
      <c r="R118" s="987"/>
      <c r="S118" s="2045"/>
      <c r="T118" s="987"/>
      <c r="U118" s="2045"/>
      <c r="V118" s="987"/>
      <c r="W118" s="2045"/>
      <c r="X118" s="987"/>
      <c r="Y118" s="2820"/>
      <c r="Z118" s="987"/>
      <c r="AA118" s="988"/>
      <c r="AB118" s="987">
        <f>ROUND(SUM(C118:Y118),1)</f>
        <v>192.1</v>
      </c>
      <c r="AC118" s="1890"/>
      <c r="AD118" s="989"/>
      <c r="AE118" s="1159">
        <f>+'Exhibit F'!AF106+'Exhibit G state'!AH99</f>
        <v>125.3</v>
      </c>
      <c r="AF118" s="999"/>
      <c r="AG118" s="999"/>
      <c r="AH118" s="987">
        <f>ROUND(SUM(AB118-AE118),1)</f>
        <v>66.8</v>
      </c>
      <c r="AI118" s="429"/>
      <c r="AJ118" s="1254">
        <f t="shared" si="17"/>
        <v>0.53300000000000003</v>
      </c>
    </row>
    <row r="119" spans="1:44" ht="15.6">
      <c r="A119" s="429" t="s">
        <v>36</v>
      </c>
      <c r="B119" s="429"/>
      <c r="C119" s="1004">
        <f>ROUND(SUM(C109:C118),1)</f>
        <v>2677.9</v>
      </c>
      <c r="D119" s="995"/>
      <c r="E119" s="1004">
        <f>ROUND(SUM(E109:E118),1)</f>
        <v>0</v>
      </c>
      <c r="F119" s="995"/>
      <c r="G119" s="1004">
        <f>ROUND(SUM(G109:G118),1)</f>
        <v>0</v>
      </c>
      <c r="H119" s="995"/>
      <c r="I119" s="1004">
        <f>ROUND(SUM(I109:I118),1)</f>
        <v>0</v>
      </c>
      <c r="J119" s="995"/>
      <c r="K119" s="1004">
        <f>ROUND(SUM(K109:K118),1)</f>
        <v>0</v>
      </c>
      <c r="L119" s="995"/>
      <c r="M119" s="1004">
        <f>ROUND(SUM(M109:M118),1)</f>
        <v>0</v>
      </c>
      <c r="N119" s="995"/>
      <c r="O119" s="1004">
        <f>ROUND(SUM(O109:O118),1)</f>
        <v>0</v>
      </c>
      <c r="P119" s="995"/>
      <c r="Q119" s="1004">
        <f>ROUND(SUM(Q109:Q118),1)</f>
        <v>0</v>
      </c>
      <c r="R119" s="995"/>
      <c r="S119" s="1004">
        <f>ROUND(SUM(S109:S118),1)</f>
        <v>0</v>
      </c>
      <c r="T119" s="995"/>
      <c r="U119" s="1004">
        <f>ROUND(SUM(U109:U118),1)</f>
        <v>0</v>
      </c>
      <c r="V119" s="995"/>
      <c r="W119" s="1004">
        <f>ROUND(SUM(W109:W118),1)</f>
        <v>0</v>
      </c>
      <c r="X119" s="995"/>
      <c r="Y119" s="1004">
        <f>ROUND(SUM(Y109:Y118),1)</f>
        <v>0</v>
      </c>
      <c r="Z119" s="995"/>
      <c r="AA119" s="996"/>
      <c r="AB119" s="1004">
        <f>ROUND(SUM(AB109:AB118),1)</f>
        <v>2677.9</v>
      </c>
      <c r="AC119" s="1892"/>
      <c r="AD119" s="997"/>
      <c r="AE119" s="483">
        <f>ROUND(SUM(AE109:AE118),1)</f>
        <v>2595.1999999999998</v>
      </c>
      <c r="AF119" s="2060"/>
      <c r="AG119" s="2060"/>
      <c r="AH119" s="483">
        <f>ROUND(SUM(AH109:AH118),1)</f>
        <v>82.7</v>
      </c>
      <c r="AI119" s="977"/>
      <c r="AJ119" s="527">
        <f t="shared" si="17"/>
        <v>3.2000000000000001E-2</v>
      </c>
      <c r="AK119" s="793"/>
      <c r="AL119" s="793"/>
    </row>
    <row r="120" spans="1:44" ht="15">
      <c r="A120" s="429" t="s">
        <v>37</v>
      </c>
      <c r="B120" s="429"/>
      <c r="C120" s="999"/>
      <c r="D120" s="987"/>
      <c r="E120" s="999"/>
      <c r="F120" s="987"/>
      <c r="G120" s="999"/>
      <c r="H120" s="987"/>
      <c r="I120" s="999"/>
      <c r="J120" s="987"/>
      <c r="K120" s="999"/>
      <c r="L120" s="987"/>
      <c r="M120" s="999"/>
      <c r="N120" s="987"/>
      <c r="O120" s="999"/>
      <c r="P120" s="987"/>
      <c r="Q120" s="999"/>
      <c r="R120" s="987"/>
      <c r="S120" s="999"/>
      <c r="T120" s="987"/>
      <c r="U120" s="999"/>
      <c r="V120" s="987"/>
      <c r="W120" s="999"/>
      <c r="X120" s="987"/>
      <c r="Y120" s="999"/>
      <c r="Z120" s="987"/>
      <c r="AA120" s="988"/>
      <c r="AB120" s="999"/>
      <c r="AC120" s="987"/>
      <c r="AD120" s="989"/>
      <c r="AE120" s="1860"/>
      <c r="AF120" s="999"/>
      <c r="AG120" s="999"/>
      <c r="AH120" s="1159"/>
      <c r="AI120" s="429"/>
      <c r="AJ120" s="1668"/>
    </row>
    <row r="121" spans="1:44" ht="15">
      <c r="A121" s="429" t="s">
        <v>143</v>
      </c>
      <c r="B121" s="429"/>
      <c r="C121" s="987">
        <f>+'Exhibit F'!D109+'Exhibit G state'!D102</f>
        <v>1026</v>
      </c>
      <c r="D121" s="987"/>
      <c r="E121" s="987"/>
      <c r="F121" s="987"/>
      <c r="G121" s="987"/>
      <c r="H121" s="987"/>
      <c r="I121" s="987"/>
      <c r="J121" s="987"/>
      <c r="K121" s="987"/>
      <c r="L121" s="987"/>
      <c r="M121" s="987"/>
      <c r="N121" s="987"/>
      <c r="O121" s="987"/>
      <c r="P121" s="987"/>
      <c r="Q121" s="999"/>
      <c r="R121" s="987"/>
      <c r="S121" s="999"/>
      <c r="T121" s="987"/>
      <c r="U121" s="999"/>
      <c r="V121" s="987"/>
      <c r="W121" s="999"/>
      <c r="X121" s="987"/>
      <c r="Y121" s="2820"/>
      <c r="Z121" s="987"/>
      <c r="AA121" s="988"/>
      <c r="AB121" s="987">
        <f>ROUND(SUM(C121:Y121),1)</f>
        <v>1026</v>
      </c>
      <c r="AC121" s="987"/>
      <c r="AD121" s="989"/>
      <c r="AE121" s="1159">
        <f>+'Exhibit F'!AF109+'Exhibit G state'!AH102</f>
        <v>1186.9000000000001</v>
      </c>
      <c r="AF121" s="999"/>
      <c r="AG121" s="999"/>
      <c r="AH121" s="987">
        <f>ROUND(SUM(AB121-AE121),1)</f>
        <v>-160.9</v>
      </c>
      <c r="AI121" s="429"/>
      <c r="AJ121" s="1884">
        <f>ROUND(SUM(AH121/ABS(AE121)),3)</f>
        <v>-0.13600000000000001</v>
      </c>
    </row>
    <row r="122" spans="1:44" ht="15">
      <c r="A122" s="429" t="s">
        <v>144</v>
      </c>
      <c r="B122" s="429"/>
      <c r="C122" s="987">
        <f>+'Exhibit F'!D110+'Exhibit G state'!D103+'Exhibit H'!B51</f>
        <v>317.89999999999998</v>
      </c>
      <c r="D122" s="987"/>
      <c r="E122" s="987"/>
      <c r="F122" s="987"/>
      <c r="G122" s="987"/>
      <c r="H122" s="987"/>
      <c r="I122" s="987"/>
      <c r="J122" s="987"/>
      <c r="K122" s="987"/>
      <c r="L122" s="987"/>
      <c r="M122" s="987"/>
      <c r="N122" s="987"/>
      <c r="O122" s="987"/>
      <c r="P122" s="987"/>
      <c r="Q122" s="999"/>
      <c r="R122" s="987"/>
      <c r="S122" s="999"/>
      <c r="T122" s="987"/>
      <c r="U122" s="999"/>
      <c r="V122" s="987"/>
      <c r="W122" s="999"/>
      <c r="X122" s="987"/>
      <c r="Y122" s="2820"/>
      <c r="Z122" s="987"/>
      <c r="AA122" s="988"/>
      <c r="AB122" s="987">
        <f>ROUND(SUM(C122:Y122),1)</f>
        <v>317.89999999999998</v>
      </c>
      <c r="AC122" s="987"/>
      <c r="AD122" s="989"/>
      <c r="AE122" s="1159">
        <f>+'Exhibit F'!AF110+'Exhibit G state'!AH103+'Exhibit H'!AD51</f>
        <v>291.89999999999998</v>
      </c>
      <c r="AF122" s="999"/>
      <c r="AG122" s="999"/>
      <c r="AH122" s="987">
        <f>ROUND(SUM(AB122-AE122),1)</f>
        <v>26</v>
      </c>
      <c r="AI122" s="429"/>
      <c r="AJ122" s="1884">
        <f>ROUND(SUM(AH122/ABS(AE122)),3)</f>
        <v>8.8999999999999996E-2</v>
      </c>
    </row>
    <row r="123" spans="1:44" ht="15">
      <c r="A123" s="429" t="s">
        <v>40</v>
      </c>
      <c r="B123" s="429"/>
      <c r="C123" s="987">
        <f>+'Exhibit F'!D111+'Exhibit G state'!D104</f>
        <v>2618.6999999999998</v>
      </c>
      <c r="D123" s="987"/>
      <c r="E123" s="987"/>
      <c r="F123" s="987"/>
      <c r="G123" s="987"/>
      <c r="H123" s="987"/>
      <c r="I123" s="987"/>
      <c r="J123" s="987"/>
      <c r="K123" s="987"/>
      <c r="L123" s="987"/>
      <c r="M123" s="987"/>
      <c r="N123" s="987"/>
      <c r="O123" s="987"/>
      <c r="P123" s="987"/>
      <c r="Q123" s="999"/>
      <c r="R123" s="987"/>
      <c r="S123" s="999"/>
      <c r="T123" s="987"/>
      <c r="U123" s="999"/>
      <c r="V123" s="987"/>
      <c r="W123" s="999"/>
      <c r="X123" s="987"/>
      <c r="Y123" s="2820"/>
      <c r="Z123" s="987"/>
      <c r="AA123" s="988"/>
      <c r="AB123" s="987">
        <f>ROUND(SUM(C123:Y123),1)</f>
        <v>2618.6999999999998</v>
      </c>
      <c r="AC123" s="987"/>
      <c r="AD123" s="989"/>
      <c r="AE123" s="1159">
        <f>+'Exhibit F'!AF111+'Exhibit G state'!AH104</f>
        <v>650.4</v>
      </c>
      <c r="AF123" s="999"/>
      <c r="AG123" s="999"/>
      <c r="AH123" s="987">
        <f>ROUND(SUM(AB123-AE123),1)</f>
        <v>1968.3</v>
      </c>
      <c r="AI123" s="429"/>
      <c r="AJ123" s="1884">
        <f>ROUND(SUM(AH123/ABS(AE123)),3)</f>
        <v>3.0259999999999998</v>
      </c>
    </row>
    <row r="124" spans="1:44" ht="15">
      <c r="A124" s="429" t="s">
        <v>41</v>
      </c>
      <c r="B124" s="429"/>
      <c r="C124" s="999"/>
      <c r="D124" s="987"/>
      <c r="E124" s="999"/>
      <c r="F124" s="987"/>
      <c r="G124" s="999"/>
      <c r="H124" s="987"/>
      <c r="I124" s="999"/>
      <c r="J124" s="987"/>
      <c r="K124" s="999"/>
      <c r="L124" s="987"/>
      <c r="M124" s="999"/>
      <c r="N124" s="987"/>
      <c r="O124" s="999"/>
      <c r="P124" s="987"/>
      <c r="Q124" s="999"/>
      <c r="R124" s="987"/>
      <c r="S124" s="999"/>
      <c r="T124" s="987"/>
      <c r="U124" s="999"/>
      <c r="V124" s="987"/>
      <c r="W124" s="999"/>
      <c r="X124" s="987"/>
      <c r="Y124" s="2820"/>
      <c r="Z124" s="987"/>
      <c r="AA124" s="988"/>
      <c r="AB124" s="987"/>
      <c r="AC124" s="987"/>
      <c r="AD124" s="989"/>
      <c r="AE124" s="999"/>
      <c r="AF124" s="999"/>
      <c r="AG124" s="999"/>
      <c r="AH124" s="987"/>
      <c r="AI124" s="429"/>
      <c r="AJ124" s="1884"/>
    </row>
    <row r="125" spans="1:44" ht="15">
      <c r="A125" s="429" t="s">
        <v>42</v>
      </c>
      <c r="B125" s="429"/>
      <c r="C125" s="987">
        <f>+'Exhibit H'!B53</f>
        <v>113.3</v>
      </c>
      <c r="D125" s="987"/>
      <c r="E125" s="987"/>
      <c r="F125" s="987"/>
      <c r="G125" s="987"/>
      <c r="H125" s="987"/>
      <c r="I125" s="987"/>
      <c r="J125" s="987"/>
      <c r="K125" s="987"/>
      <c r="L125" s="987"/>
      <c r="M125" s="987"/>
      <c r="N125" s="987"/>
      <c r="O125" s="987"/>
      <c r="P125" s="987"/>
      <c r="Q125" s="999"/>
      <c r="R125" s="987"/>
      <c r="S125" s="999"/>
      <c r="T125" s="987"/>
      <c r="U125" s="999"/>
      <c r="V125" s="987"/>
      <c r="W125" s="999"/>
      <c r="X125" s="987"/>
      <c r="Y125" s="2820"/>
      <c r="Z125" s="987"/>
      <c r="AA125" s="988"/>
      <c r="AB125" s="987">
        <f>ROUND(SUM(C125:Y125),1)</f>
        <v>113.3</v>
      </c>
      <c r="AC125" s="987"/>
      <c r="AD125" s="989"/>
      <c r="AE125" s="1860">
        <f>+'Exhibit H'!AD53</f>
        <v>165.9</v>
      </c>
      <c r="AF125" s="999"/>
      <c r="AG125" s="999"/>
      <c r="AH125" s="987">
        <f>ROUND(SUM(AB125-AE125),1)</f>
        <v>-52.6</v>
      </c>
      <c r="AI125" s="429"/>
      <c r="AJ125" s="1884">
        <f>ROUND(SUM(AH125/ABS(AE125)),3)</f>
        <v>-0.317</v>
      </c>
    </row>
    <row r="126" spans="1:44" ht="15">
      <c r="A126" s="1003" t="s">
        <v>145</v>
      </c>
      <c r="B126" s="429"/>
      <c r="C126" s="992">
        <f>+'Exhibit G state'!D105</f>
        <v>0.1</v>
      </c>
      <c r="D126" s="987"/>
      <c r="E126" s="992"/>
      <c r="F126" s="987"/>
      <c r="G126" s="992"/>
      <c r="H126" s="987"/>
      <c r="I126" s="992"/>
      <c r="J126" s="987"/>
      <c r="K126" s="992"/>
      <c r="L126" s="987"/>
      <c r="M126" s="992"/>
      <c r="N126" s="987"/>
      <c r="O126" s="992"/>
      <c r="P126" s="987"/>
      <c r="Q126" s="992"/>
      <c r="R126" s="987"/>
      <c r="S126" s="992"/>
      <c r="T126" s="987"/>
      <c r="U126" s="992"/>
      <c r="V126" s="987"/>
      <c r="W126" s="992"/>
      <c r="X126" s="987"/>
      <c r="Y126" s="2821"/>
      <c r="Z126" s="987"/>
      <c r="AA126" s="988"/>
      <c r="AB126" s="992">
        <f>ROUND(SUM(C126:Y126),1)</f>
        <v>0.1</v>
      </c>
      <c r="AC126" s="987"/>
      <c r="AD126" s="989"/>
      <c r="AE126" s="1846">
        <f>+'Exhibit G state'!AH105</f>
        <v>0</v>
      </c>
      <c r="AF126" s="999"/>
      <c r="AG126" s="999"/>
      <c r="AH126" s="992">
        <f>ROUND(SUM(AB126-AE126),1)</f>
        <v>0.1</v>
      </c>
      <c r="AI126" s="429"/>
      <c r="AJ126" s="1893">
        <f>ROUND(IF(AE126=0,1,AH126/ABS(AE126)),3)</f>
        <v>1</v>
      </c>
    </row>
    <row r="127" spans="1:44" ht="16.5" customHeight="1">
      <c r="A127" s="429"/>
      <c r="B127" s="429"/>
      <c r="C127" s="999"/>
      <c r="D127" s="987"/>
      <c r="E127" s="999"/>
      <c r="F127" s="987"/>
      <c r="G127" s="999"/>
      <c r="H127" s="987"/>
      <c r="I127" s="999"/>
      <c r="J127" s="987"/>
      <c r="K127" s="999"/>
      <c r="L127" s="987"/>
      <c r="M127" s="999"/>
      <c r="N127" s="987"/>
      <c r="O127" s="999"/>
      <c r="P127" s="987"/>
      <c r="Q127" s="999"/>
      <c r="R127" s="987"/>
      <c r="S127" s="999"/>
      <c r="T127" s="987"/>
      <c r="U127" s="999"/>
      <c r="V127" s="987"/>
      <c r="W127" s="999"/>
      <c r="X127" s="987"/>
      <c r="Y127" s="999"/>
      <c r="Z127" s="987"/>
      <c r="AA127" s="988"/>
      <c r="AB127" s="999"/>
      <c r="AC127" s="987"/>
      <c r="AD127" s="989"/>
      <c r="AE127" s="999"/>
      <c r="AF127" s="999"/>
      <c r="AG127" s="999"/>
      <c r="AH127" s="999"/>
      <c r="AI127" s="429"/>
      <c r="AJ127" s="1254"/>
    </row>
    <row r="128" spans="1:44" ht="16.5" customHeight="1">
      <c r="A128" s="409" t="s">
        <v>60</v>
      </c>
      <c r="B128" s="429"/>
      <c r="C128" s="1886">
        <f>ROUND(SUM(C119:C126),1)</f>
        <v>6753.9</v>
      </c>
      <c r="D128" s="995"/>
      <c r="E128" s="1886">
        <f>ROUND(SUM(E119:E126),1)</f>
        <v>0</v>
      </c>
      <c r="F128" s="995"/>
      <c r="G128" s="1886">
        <f>ROUND(SUM(G119:G126),1)</f>
        <v>0</v>
      </c>
      <c r="H128" s="995"/>
      <c r="I128" s="1886">
        <f>ROUND(SUM(I119:I126),1)</f>
        <v>0</v>
      </c>
      <c r="J128" s="995"/>
      <c r="K128" s="1886">
        <f>ROUND(SUM(K119:K126),1)</f>
        <v>0</v>
      </c>
      <c r="L128" s="995"/>
      <c r="M128" s="1886">
        <f>ROUND(SUM(M119:M126),1)</f>
        <v>0</v>
      </c>
      <c r="N128" s="995"/>
      <c r="O128" s="1886">
        <f>ROUND(SUM(O119:O126),1)</f>
        <v>0</v>
      </c>
      <c r="P128" s="995"/>
      <c r="Q128" s="1886">
        <f>ROUND(SUM(Q119:Q126),1)</f>
        <v>0</v>
      </c>
      <c r="R128" s="995"/>
      <c r="S128" s="1886">
        <f>ROUND(SUM(S119:S126),1)</f>
        <v>0</v>
      </c>
      <c r="T128" s="995"/>
      <c r="U128" s="1886">
        <f>ROUND(SUM(U119:U126),1)</f>
        <v>0</v>
      </c>
      <c r="V128" s="995"/>
      <c r="W128" s="1886">
        <f>ROUND(SUM(W119:W126),1)</f>
        <v>0</v>
      </c>
      <c r="X128" s="995"/>
      <c r="Y128" s="1886">
        <f>ROUND(SUM(Y119:Y126),1)</f>
        <v>0</v>
      </c>
      <c r="Z128" s="995"/>
      <c r="AA128" s="996"/>
      <c r="AB128" s="1886">
        <f>ROUND(SUM(AB119:AB126),1)</f>
        <v>6753.9</v>
      </c>
      <c r="AC128" s="995"/>
      <c r="AD128" s="997"/>
      <c r="AE128" s="1692">
        <f>ROUND(SUM(AE119:AE127),1)</f>
        <v>4890.3</v>
      </c>
      <c r="AF128" s="2060"/>
      <c r="AG128" s="2060"/>
      <c r="AH128" s="1692">
        <f>ROUND(SUM(AH119:AH127),1)</f>
        <v>1863.6</v>
      </c>
      <c r="AI128" s="977"/>
      <c r="AJ128" s="1887">
        <f>ROUND(SUM(AH128/ABS(AE128)),3)</f>
        <v>0.38100000000000001</v>
      </c>
      <c r="AK128" s="793"/>
      <c r="AL128" s="793"/>
      <c r="AM128" s="793"/>
      <c r="AN128" s="793"/>
      <c r="AO128" s="793"/>
      <c r="AP128" s="793"/>
      <c r="AQ128" s="793"/>
      <c r="AR128" s="793"/>
    </row>
    <row r="129" spans="1:59" ht="16.5" customHeight="1">
      <c r="A129" s="409"/>
      <c r="B129" s="429"/>
      <c r="C129" s="987"/>
      <c r="D129" s="987"/>
      <c r="E129" s="987"/>
      <c r="F129" s="987"/>
      <c r="G129" s="987"/>
      <c r="H129" s="987"/>
      <c r="I129" s="987"/>
      <c r="J129" s="987"/>
      <c r="K129" s="987"/>
      <c r="L129" s="987"/>
      <c r="M129" s="987"/>
      <c r="N129" s="987"/>
      <c r="O129" s="987"/>
      <c r="P129" s="987"/>
      <c r="Q129" s="987"/>
      <c r="R129" s="987"/>
      <c r="S129" s="987"/>
      <c r="T129" s="987"/>
      <c r="U129" s="987"/>
      <c r="V129" s="987"/>
      <c r="W129" s="987"/>
      <c r="X129" s="987"/>
      <c r="Y129" s="987"/>
      <c r="Z129" s="987"/>
      <c r="AA129" s="988"/>
      <c r="AB129" s="987"/>
      <c r="AC129" s="987"/>
      <c r="AD129" s="989"/>
      <c r="AE129" s="987"/>
      <c r="AF129" s="999"/>
      <c r="AG129" s="999"/>
      <c r="AH129" s="1159"/>
      <c r="AI129" s="429"/>
      <c r="AJ129" s="1668"/>
    </row>
    <row r="130" spans="1:59" ht="16.5" customHeight="1">
      <c r="A130" s="409" t="s">
        <v>45</v>
      </c>
      <c r="B130" s="429"/>
      <c r="C130" s="987"/>
      <c r="D130" s="987"/>
      <c r="E130" s="987"/>
      <c r="F130" s="987"/>
      <c r="G130" s="987"/>
      <c r="H130" s="987"/>
      <c r="I130" s="987"/>
      <c r="J130" s="987"/>
      <c r="K130" s="987"/>
      <c r="L130" s="987"/>
      <c r="M130" s="987"/>
      <c r="N130" s="987"/>
      <c r="O130" s="987"/>
      <c r="P130" s="987"/>
      <c r="Q130" s="987"/>
      <c r="R130" s="987"/>
      <c r="S130" s="987"/>
      <c r="T130" s="987"/>
      <c r="U130" s="987"/>
      <c r="V130" s="987"/>
      <c r="W130" s="987"/>
      <c r="X130" s="987"/>
      <c r="Y130" s="987"/>
      <c r="Z130" s="987"/>
      <c r="AA130" s="988"/>
      <c r="AB130" s="987"/>
      <c r="AC130" s="987"/>
      <c r="AD130" s="989"/>
      <c r="AE130" s="987"/>
      <c r="AF130" s="999"/>
      <c r="AG130" s="999"/>
      <c r="AH130" s="1159"/>
      <c r="AI130" s="429"/>
      <c r="AJ130" s="1668"/>
    </row>
    <row r="131" spans="1:59" ht="16.5" customHeight="1">
      <c r="A131" s="409" t="s">
        <v>46</v>
      </c>
      <c r="B131" s="429"/>
      <c r="C131" s="1886">
        <f>ROUND(SUM(C105-C128),1)</f>
        <v>2746.4</v>
      </c>
      <c r="D131" s="995"/>
      <c r="E131" s="1886">
        <f>ROUND(SUM(E105-E128),1)</f>
        <v>0</v>
      </c>
      <c r="F131" s="995"/>
      <c r="G131" s="1886">
        <f>ROUND(SUM(G105-G128),1)</f>
        <v>0</v>
      </c>
      <c r="H131" s="995"/>
      <c r="I131" s="1886">
        <f>ROUND(SUM(I105-I128),1)</f>
        <v>0</v>
      </c>
      <c r="J131" s="995"/>
      <c r="K131" s="1886">
        <f>ROUND(SUM(K105-K128),1)</f>
        <v>0</v>
      </c>
      <c r="L131" s="995"/>
      <c r="M131" s="1886">
        <f>ROUND(SUM(M105-M128),1)</f>
        <v>0</v>
      </c>
      <c r="N131" s="995"/>
      <c r="O131" s="1886">
        <f>ROUND(SUM(O105-O128),1)</f>
        <v>0</v>
      </c>
      <c r="P131" s="995"/>
      <c r="Q131" s="1886">
        <f>ROUND(SUM(Q105-Q128),1)</f>
        <v>0</v>
      </c>
      <c r="R131" s="995"/>
      <c r="S131" s="1886">
        <f>ROUND(SUM(S105-S128),1)</f>
        <v>0</v>
      </c>
      <c r="T131" s="995"/>
      <c r="U131" s="1886">
        <f>ROUND(SUM(U105-U128),1)</f>
        <v>0</v>
      </c>
      <c r="V131" s="995"/>
      <c r="W131" s="1886">
        <f>ROUND(SUM(W105-W128),1)</f>
        <v>0</v>
      </c>
      <c r="X131" s="995"/>
      <c r="Y131" s="1886">
        <f>ROUND(SUM(Y105-Y128),1)</f>
        <v>0</v>
      </c>
      <c r="Z131" s="995"/>
      <c r="AA131" s="996"/>
      <c r="AB131" s="1886">
        <f>ROUND(SUM(AB105-AB128),1)</f>
        <v>2746.4</v>
      </c>
      <c r="AC131" s="995"/>
      <c r="AD131" s="997"/>
      <c r="AE131" s="1886">
        <f>ROUND(SUM(AE105-AE128),1)</f>
        <v>4259.7</v>
      </c>
      <c r="AF131" s="2060"/>
      <c r="AG131" s="2060"/>
      <c r="AH131" s="1894">
        <f>ROUND(SUM(AB131-AE131),1)</f>
        <v>-1513.3</v>
      </c>
      <c r="AI131" s="977"/>
      <c r="AJ131" s="1887">
        <f>ROUND(SUM(AH131/ABS(AE131)),3)</f>
        <v>-0.35499999999999998</v>
      </c>
      <c r="AK131" s="793"/>
      <c r="AL131" s="793"/>
    </row>
    <row r="132" spans="1:59" ht="16.5" customHeight="1">
      <c r="A132" s="1668"/>
      <c r="B132" s="429"/>
      <c r="C132" s="998"/>
      <c r="D132" s="987"/>
      <c r="E132" s="998"/>
      <c r="F132" s="987"/>
      <c r="G132" s="998"/>
      <c r="H132" s="987"/>
      <c r="I132" s="998"/>
      <c r="J132" s="987"/>
      <c r="K132" s="998"/>
      <c r="L132" s="987"/>
      <c r="M132" s="998"/>
      <c r="N132" s="987"/>
      <c r="O132" s="998"/>
      <c r="P132" s="987"/>
      <c r="Q132" s="998"/>
      <c r="R132" s="987"/>
      <c r="S132" s="998"/>
      <c r="T132" s="987"/>
      <c r="U132" s="998"/>
      <c r="V132" s="987"/>
      <c r="W132" s="998"/>
      <c r="X132" s="987"/>
      <c r="Y132" s="998"/>
      <c r="Z132" s="1001"/>
      <c r="AA132" s="988"/>
      <c r="AB132" s="998"/>
      <c r="AC132" s="987"/>
      <c r="AD132" s="989"/>
      <c r="AE132" s="998"/>
      <c r="AF132" s="999"/>
      <c r="AG132" s="999"/>
      <c r="AH132" s="1159"/>
      <c r="AI132" s="429"/>
      <c r="AJ132" s="1668"/>
    </row>
    <row r="133" spans="1:59" ht="16.5" customHeight="1">
      <c r="A133" s="409" t="s">
        <v>47</v>
      </c>
      <c r="B133" s="429"/>
      <c r="C133" s="999"/>
      <c r="D133" s="987"/>
      <c r="E133" s="1007"/>
      <c r="F133" s="1008"/>
      <c r="G133" s="1007"/>
      <c r="H133" s="1008"/>
      <c r="I133" s="1007"/>
      <c r="J133" s="1008"/>
      <c r="K133" s="1007"/>
      <c r="L133" s="1008"/>
      <c r="M133" s="1007"/>
      <c r="N133" s="1008"/>
      <c r="O133" s="1007"/>
      <c r="P133" s="1008"/>
      <c r="Q133" s="1007"/>
      <c r="R133" s="1008"/>
      <c r="S133" s="1007"/>
      <c r="T133" s="1008"/>
      <c r="U133" s="1007"/>
      <c r="V133" s="987"/>
      <c r="W133" s="1007"/>
      <c r="X133" s="987"/>
      <c r="Y133" s="999"/>
      <c r="Z133" s="1891"/>
      <c r="AA133" s="988"/>
      <c r="AB133" s="999"/>
      <c r="AC133" s="1891"/>
      <c r="AD133" s="987"/>
      <c r="AE133" s="999"/>
      <c r="AF133" s="999"/>
      <c r="AG133" s="999"/>
      <c r="AH133" s="1159"/>
      <c r="AI133" s="429"/>
      <c r="AJ133" s="1668"/>
    </row>
    <row r="134" spans="1:59" ht="16.5" customHeight="1">
      <c r="A134" s="429" t="s">
        <v>1351</v>
      </c>
      <c r="B134" s="429"/>
      <c r="C134" s="1009">
        <f>+'Exhibit F'!D120+'Exhibit F'!D121+'Exhibit F'!D122+'Exhibit F'!D123+'Exhibit G state'!D113+'Exhibit H'!B62</f>
        <v>3034</v>
      </c>
      <c r="D134" s="987"/>
      <c r="E134" s="1009"/>
      <c r="F134" s="987"/>
      <c r="G134" s="1009"/>
      <c r="H134" s="987"/>
      <c r="I134" s="1009"/>
      <c r="J134" s="987"/>
      <c r="K134" s="1009"/>
      <c r="L134" s="987"/>
      <c r="M134" s="1009"/>
      <c r="N134" s="987"/>
      <c r="O134" s="1009"/>
      <c r="P134" s="987"/>
      <c r="Q134" s="1009"/>
      <c r="R134" s="987"/>
      <c r="S134" s="1009"/>
      <c r="T134" s="987"/>
      <c r="U134" s="1009"/>
      <c r="V134" s="987"/>
      <c r="W134" s="1009"/>
      <c r="X134" s="987"/>
      <c r="Y134" s="2822"/>
      <c r="Z134" s="987"/>
      <c r="AA134" s="988"/>
      <c r="AB134" s="987">
        <f>ROUND(SUM(C134:Y134),1)</f>
        <v>3034</v>
      </c>
      <c r="AC134" s="987"/>
      <c r="AD134" s="988"/>
      <c r="AE134" s="987">
        <v>4552</v>
      </c>
      <c r="AF134" s="999"/>
      <c r="AG134" s="999"/>
      <c r="AH134" s="987">
        <f>ROUND(SUM(AB134-AE134),1)</f>
        <v>-1518</v>
      </c>
      <c r="AI134" s="429"/>
      <c r="AJ134" s="1884">
        <f>ROUND(SUM(AH134/ABS(AE134)),3)</f>
        <v>-0.33300000000000002</v>
      </c>
    </row>
    <row r="135" spans="1:59" ht="16.5" customHeight="1">
      <c r="A135" s="429" t="s">
        <v>1352</v>
      </c>
      <c r="C135" s="1119">
        <f>+'Exhibit F'!D124+'Exhibit F'!D125+'Exhibit F'!D126+'Exhibit F'!D127+'Exhibit F'!D128+'Exhibit G state'!D114+'Exhibit H'!B63</f>
        <v>-3076.5</v>
      </c>
      <c r="D135" s="248"/>
      <c r="E135" s="1119"/>
      <c r="F135" s="248"/>
      <c r="G135" s="1119"/>
      <c r="H135" s="248"/>
      <c r="I135" s="1119"/>
      <c r="J135" s="248"/>
      <c r="K135" s="1119"/>
      <c r="L135" s="248"/>
      <c r="M135" s="1119"/>
      <c r="N135" s="248"/>
      <c r="O135" s="1119"/>
      <c r="P135" s="248"/>
      <c r="Q135" s="1119"/>
      <c r="R135" s="248"/>
      <c r="S135" s="1119"/>
      <c r="T135" s="248"/>
      <c r="U135" s="1119"/>
      <c r="V135" s="248"/>
      <c r="W135" s="1119"/>
      <c r="X135" s="248"/>
      <c r="Y135" s="2823"/>
      <c r="Z135" s="248"/>
      <c r="AA135" s="1011"/>
      <c r="AB135" s="992">
        <f>ROUND(SUM(C135:Y135),1)</f>
        <v>-3076.5</v>
      </c>
      <c r="AC135" s="248"/>
      <c r="AD135" s="1011"/>
      <c r="AE135" s="992">
        <v>-4396.1000000000004</v>
      </c>
      <c r="AF135" s="998"/>
      <c r="AG135" s="998"/>
      <c r="AH135" s="992">
        <f>ROUND(SUM(-AB135+AE135),1)</f>
        <v>-1319.6</v>
      </c>
      <c r="AI135" s="1668"/>
      <c r="AJ135" s="1895">
        <f>ROUND(SUM(AH135/ABS(AE135)),3)</f>
        <v>-0.3</v>
      </c>
    </row>
    <row r="136" spans="1:59" ht="16.5" customHeight="1">
      <c r="A136" s="429"/>
      <c r="C136" s="999"/>
      <c r="D136" s="248"/>
      <c r="E136" s="999"/>
      <c r="F136" s="248"/>
      <c r="G136" s="999"/>
      <c r="H136" s="248"/>
      <c r="I136" s="999"/>
      <c r="J136" s="248"/>
      <c r="K136" s="999"/>
      <c r="L136" s="248"/>
      <c r="M136" s="999"/>
      <c r="N136" s="248"/>
      <c r="O136" s="999"/>
      <c r="P136" s="248"/>
      <c r="Q136" s="999"/>
      <c r="R136" s="248"/>
      <c r="S136" s="999"/>
      <c r="T136" s="248"/>
      <c r="U136" s="999"/>
      <c r="V136" s="248"/>
      <c r="W136" s="999"/>
      <c r="X136" s="248"/>
      <c r="Y136" s="999"/>
      <c r="Z136" s="248"/>
      <c r="AA136" s="1011"/>
      <c r="AB136" s="999"/>
      <c r="AC136" s="248"/>
      <c r="AD136" s="1011"/>
      <c r="AE136" s="999"/>
      <c r="AF136" s="998"/>
      <c r="AG136" s="998"/>
      <c r="AH136" s="999"/>
      <c r="AI136" s="1668"/>
      <c r="AJ136" s="1254"/>
    </row>
    <row r="137" spans="1:59" ht="16.5" customHeight="1">
      <c r="A137" s="409" t="s">
        <v>51</v>
      </c>
      <c r="C137" s="1886">
        <f>ROUND(SUM(C134:C135),1)</f>
        <v>-42.5</v>
      </c>
      <c r="D137" s="1012"/>
      <c r="E137" s="1886">
        <f>ROUND(SUM(E134:E135),1)</f>
        <v>0</v>
      </c>
      <c r="F137" s="1012"/>
      <c r="G137" s="1886">
        <f>ROUND(SUM(G134:G135),1)</f>
        <v>0</v>
      </c>
      <c r="H137" s="1012"/>
      <c r="I137" s="1886">
        <f>ROUND(SUM(I134:I135),1)</f>
        <v>0</v>
      </c>
      <c r="J137" s="1012"/>
      <c r="K137" s="1886">
        <f>ROUND(SUM(K134:K135),1)</f>
        <v>0</v>
      </c>
      <c r="L137" s="1012"/>
      <c r="M137" s="1886">
        <f>ROUND(SUM(M134:M135),1)</f>
        <v>0</v>
      </c>
      <c r="N137" s="1012"/>
      <c r="O137" s="1886">
        <f>ROUND(SUM(O134:O135),1)</f>
        <v>0</v>
      </c>
      <c r="P137" s="1012"/>
      <c r="Q137" s="1886">
        <f>ROUND(SUM(Q134:Q135),1)</f>
        <v>0</v>
      </c>
      <c r="R137" s="1012"/>
      <c r="S137" s="1886">
        <f>ROUND(SUM(S134:S135),1)</f>
        <v>0</v>
      </c>
      <c r="T137" s="1012"/>
      <c r="U137" s="1886">
        <f>ROUND(SUM(U134:U135),1)</f>
        <v>0</v>
      </c>
      <c r="V137" s="1012"/>
      <c r="W137" s="1886">
        <f>ROUND(SUM(W134:W135),1)</f>
        <v>0</v>
      </c>
      <c r="X137" s="1012"/>
      <c r="Y137" s="1886">
        <f>ROUND(SUM(Y134:Y135),1)</f>
        <v>0</v>
      </c>
      <c r="Z137" s="1012"/>
      <c r="AA137" s="1013"/>
      <c r="AB137" s="1886">
        <f>ROUND(SUM(AB134:AB135),1)</f>
        <v>-42.5</v>
      </c>
      <c r="AC137" s="1012"/>
      <c r="AD137" s="1013"/>
      <c r="AE137" s="1886">
        <f>ROUND(SUM(AE134:AE135),1)</f>
        <v>155.9</v>
      </c>
      <c r="AF137" s="1265"/>
      <c r="AG137" s="998"/>
      <c r="AH137" s="1886">
        <f>ROUND(SUM(AH134-AH135),1)</f>
        <v>-198.4</v>
      </c>
      <c r="AI137" s="409"/>
      <c r="AJ137" s="1896">
        <f>-ROUND(SUM(-AH137/ABS(AE137)),3)</f>
        <v>-1.2729999999999999</v>
      </c>
      <c r="AK137" s="793"/>
      <c r="AL137" s="793"/>
    </row>
    <row r="138" spans="1:59" ht="16.5" customHeight="1">
      <c r="A138" s="1668"/>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1011"/>
      <c r="AB138" s="248"/>
      <c r="AC138" s="248"/>
      <c r="AD138" s="1011"/>
      <c r="AE138" s="248"/>
      <c r="AF138" s="998"/>
      <c r="AG138" s="417"/>
      <c r="AH138" s="1159"/>
      <c r="AI138" s="1668"/>
      <c r="AJ138" s="1668"/>
    </row>
    <row r="139" spans="1:59" ht="16.5" customHeight="1">
      <c r="A139" s="478" t="s">
        <v>45</v>
      </c>
      <c r="C139" s="999"/>
      <c r="D139" s="248"/>
      <c r="E139" s="999"/>
      <c r="F139" s="248"/>
      <c r="G139" s="999"/>
      <c r="H139" s="248"/>
      <c r="I139" s="999"/>
      <c r="J139" s="248"/>
      <c r="K139" s="999"/>
      <c r="L139" s="248"/>
      <c r="M139" s="999"/>
      <c r="N139" s="248"/>
      <c r="O139" s="999"/>
      <c r="P139" s="248"/>
      <c r="Q139" s="999"/>
      <c r="R139" s="248"/>
      <c r="S139" s="999"/>
      <c r="T139" s="248"/>
      <c r="U139" s="999"/>
      <c r="V139" s="248"/>
      <c r="W139" s="999"/>
      <c r="X139" s="248"/>
      <c r="Y139" s="999"/>
      <c r="Z139" s="248"/>
      <c r="AA139" s="1011"/>
      <c r="AB139" s="999"/>
      <c r="AC139" s="248"/>
      <c r="AD139" s="1011"/>
      <c r="AE139" s="999"/>
      <c r="AF139" s="998"/>
      <c r="AG139" s="2064"/>
      <c r="AH139" s="1159"/>
      <c r="AI139" s="1668"/>
      <c r="AJ139" s="1668"/>
    </row>
    <row r="140" spans="1:59" ht="16.5" customHeight="1">
      <c r="A140" s="478" t="s">
        <v>52</v>
      </c>
      <c r="C140" s="995"/>
      <c r="D140" s="1012"/>
      <c r="E140" s="995"/>
      <c r="F140" s="1012"/>
      <c r="G140" s="995"/>
      <c r="H140" s="1012"/>
      <c r="I140" s="995"/>
      <c r="J140" s="1012"/>
      <c r="K140" s="995"/>
      <c r="L140" s="1012"/>
      <c r="M140" s="995"/>
      <c r="N140" s="1012"/>
      <c r="O140" s="995"/>
      <c r="P140" s="1012"/>
      <c r="Q140" s="995"/>
      <c r="R140" s="1012"/>
      <c r="S140" s="995"/>
      <c r="T140" s="1012"/>
      <c r="U140" s="995"/>
      <c r="V140" s="1012"/>
      <c r="W140" s="995"/>
      <c r="X140" s="1012"/>
      <c r="Y140" s="995"/>
      <c r="Z140" s="1012"/>
      <c r="AA140" s="1013"/>
      <c r="AB140" s="995"/>
      <c r="AC140" s="1012"/>
      <c r="AD140" s="1013"/>
      <c r="AE140" s="995"/>
      <c r="AF140" s="998"/>
      <c r="AG140" s="417"/>
      <c r="AH140" s="1838"/>
      <c r="AI140" s="409"/>
      <c r="AJ140" s="409"/>
      <c r="AK140" s="793"/>
      <c r="AL140" s="793"/>
      <c r="AM140" s="793"/>
      <c r="AN140" s="793"/>
      <c r="AO140" s="793"/>
      <c r="AP140" s="793"/>
      <c r="AQ140" s="793"/>
      <c r="AR140" s="793"/>
      <c r="AS140" s="793"/>
      <c r="AT140" s="793"/>
      <c r="AU140" s="793"/>
      <c r="AV140" s="793"/>
      <c r="AW140" s="793"/>
      <c r="AX140" s="793"/>
      <c r="AY140" s="793"/>
      <c r="AZ140" s="793"/>
      <c r="BA140" s="793"/>
      <c r="BB140" s="793"/>
      <c r="BC140" s="793"/>
      <c r="BD140" s="793"/>
      <c r="BE140" s="793"/>
      <c r="BF140" s="793"/>
      <c r="BG140" s="793"/>
    </row>
    <row r="141" spans="1:59" ht="16.5" customHeight="1">
      <c r="A141" s="478" t="s">
        <v>53</v>
      </c>
      <c r="C141" s="1014">
        <f>ROUND(SUM(C131+C137),1)</f>
        <v>2703.9</v>
      </c>
      <c r="D141" s="1012"/>
      <c r="E141" s="1014">
        <f>ROUND(SUM(E131+E137),1)</f>
        <v>0</v>
      </c>
      <c r="F141" s="1012"/>
      <c r="G141" s="1014">
        <f>ROUND(SUM(G131+G137),1)</f>
        <v>0</v>
      </c>
      <c r="H141" s="1012"/>
      <c r="I141" s="1014">
        <f>ROUND(SUM(I131+I137),1)</f>
        <v>0</v>
      </c>
      <c r="J141" s="1012"/>
      <c r="K141" s="1014">
        <f>ROUND(SUM(K131+K137),1)</f>
        <v>0</v>
      </c>
      <c r="L141" s="1012"/>
      <c r="M141" s="1014">
        <f>ROUND(SUM(M131+M137),1)</f>
        <v>0</v>
      </c>
      <c r="N141" s="1012"/>
      <c r="O141" s="1014">
        <f>ROUND(SUM(O131+O137),1)</f>
        <v>0</v>
      </c>
      <c r="P141" s="1012"/>
      <c r="Q141" s="1014">
        <f>ROUND(SUM(Q131+Q137),1)</f>
        <v>0</v>
      </c>
      <c r="R141" s="1012"/>
      <c r="S141" s="1014">
        <f>ROUND(SUM(S131+S137),1)</f>
        <v>0</v>
      </c>
      <c r="T141" s="1012"/>
      <c r="U141" s="1014">
        <f>ROUND(SUM(U131+U137),1)</f>
        <v>0</v>
      </c>
      <c r="V141" s="1012"/>
      <c r="W141" s="1014">
        <f>ROUND(SUM(W131+W137),1)</f>
        <v>0</v>
      </c>
      <c r="X141" s="1012"/>
      <c r="Y141" s="1014">
        <f>ROUND(SUM(Y131+Y137),1)</f>
        <v>0</v>
      </c>
      <c r="Z141" s="1012"/>
      <c r="AA141" s="1013"/>
      <c r="AB141" s="1014">
        <f>ROUND(SUM(AB131+AB137),1)</f>
        <v>2703.9</v>
      </c>
      <c r="AC141" s="1012"/>
      <c r="AD141" s="1013"/>
      <c r="AE141" s="1014">
        <f>ROUND(SUM(AE131+AE137),1)</f>
        <v>4415.6000000000004</v>
      </c>
      <c r="AF141" s="998"/>
      <c r="AG141" s="1019"/>
      <c r="AH141" s="1894">
        <f>ROUND(SUM(AB141-AE141),1)</f>
        <v>-1711.7</v>
      </c>
      <c r="AI141" s="409"/>
      <c r="AJ141" s="1896">
        <f>ROUND(SUM(AH141/ABS(AE141)),3)</f>
        <v>-0.38800000000000001</v>
      </c>
      <c r="AK141" s="793"/>
      <c r="AL141" s="793"/>
      <c r="AM141" s="793"/>
      <c r="AN141" s="793"/>
      <c r="AO141" s="793"/>
      <c r="AP141" s="793"/>
      <c r="AQ141" s="793"/>
      <c r="AR141" s="793"/>
      <c r="AS141" s="793"/>
      <c r="AT141" s="793"/>
      <c r="AU141" s="793"/>
      <c r="AV141" s="793"/>
      <c r="AW141" s="793"/>
      <c r="AX141" s="793"/>
      <c r="AY141" s="793"/>
      <c r="AZ141" s="793"/>
      <c r="BA141" s="793"/>
      <c r="BB141" s="793"/>
      <c r="BC141" s="793"/>
      <c r="BD141" s="793"/>
      <c r="BE141" s="793"/>
      <c r="BF141" s="793"/>
      <c r="BG141" s="793"/>
    </row>
    <row r="142" spans="1:59" ht="15.6">
      <c r="A142" s="409"/>
      <c r="C142" s="980"/>
      <c r="E142" s="980"/>
      <c r="G142" s="980"/>
      <c r="I142" s="980"/>
      <c r="K142" s="980"/>
      <c r="M142" s="980"/>
      <c r="O142" s="980"/>
      <c r="Q142" s="980"/>
      <c r="S142" s="980"/>
      <c r="U142" s="980"/>
      <c r="W142" s="980"/>
      <c r="Y142" s="980"/>
      <c r="AA142" s="1015"/>
      <c r="AB142" s="980"/>
      <c r="AD142" s="1015"/>
      <c r="AE142" s="980"/>
      <c r="AF142" s="998"/>
      <c r="AG142" s="1019"/>
      <c r="AH142" s="1668"/>
      <c r="AI142" s="1668"/>
      <c r="AJ142" s="1668"/>
    </row>
    <row r="143" spans="1:59" ht="16.2" thickBot="1">
      <c r="A143" s="1016" t="s">
        <v>146</v>
      </c>
      <c r="C143" s="1017">
        <f>ROUND(SUM(C16+C141),1)</f>
        <v>15345.1</v>
      </c>
      <c r="D143" s="471"/>
      <c r="E143" s="1017">
        <f>ROUND(SUM(E16+E141),1)</f>
        <v>0</v>
      </c>
      <c r="F143" s="471"/>
      <c r="G143" s="1017">
        <f>ROUND(SUM(G16+G141),1)</f>
        <v>0</v>
      </c>
      <c r="H143" s="471"/>
      <c r="I143" s="1017">
        <f>ROUND(SUM(I16+I141),1)</f>
        <v>0</v>
      </c>
      <c r="J143" s="1018"/>
      <c r="K143" s="1017">
        <f>ROUND(SUM(K16+K141),1)</f>
        <v>0</v>
      </c>
      <c r="L143" s="1018"/>
      <c r="M143" s="1017">
        <f>ROUND(SUM(M16+M141),1)</f>
        <v>0</v>
      </c>
      <c r="N143" s="1018"/>
      <c r="O143" s="1017">
        <f>ROUND(SUM(O16+O141),1)</f>
        <v>0</v>
      </c>
      <c r="P143" s="1018"/>
      <c r="Q143" s="1017">
        <f>ROUND(SUM(Q16+Q141),1)</f>
        <v>0</v>
      </c>
      <c r="R143" s="1018"/>
      <c r="S143" s="1017">
        <f>ROUND(SUM(S16+S141),1)</f>
        <v>0</v>
      </c>
      <c r="T143" s="1018"/>
      <c r="U143" s="1017">
        <f>ROUND(SUM(U16+U141),1)</f>
        <v>0</v>
      </c>
      <c r="V143" s="1018"/>
      <c r="W143" s="1017">
        <f>ROUND(SUM(W16+W141),1)</f>
        <v>0</v>
      </c>
      <c r="X143" s="1018"/>
      <c r="Y143" s="1017">
        <f>ROUND(SUM(Y16+Y141),1)</f>
        <v>0</v>
      </c>
      <c r="Z143" s="471"/>
      <c r="AA143" s="1019"/>
      <c r="AB143" s="1017">
        <f>ROUND(SUM(AB16+AB141),1)</f>
        <v>15345.1</v>
      </c>
      <c r="AC143" s="471"/>
      <c r="AD143" s="1019"/>
      <c r="AE143" s="1017">
        <f>ROUND(SUM(AE16+AE141),1)</f>
        <v>14306.4</v>
      </c>
      <c r="AF143" s="998"/>
      <c r="AG143" s="1019"/>
      <c r="AH143" s="1017">
        <f>ROUND(SUM(AB143-AE143),1)</f>
        <v>1038.7</v>
      </c>
      <c r="AI143" s="409"/>
      <c r="AJ143" s="530">
        <f>ROUND(SUM(AH143/ABS(AE143)),3)</f>
        <v>7.2999999999999995E-2</v>
      </c>
      <c r="AK143" s="793"/>
    </row>
    <row r="144" spans="1:59" ht="16.2" thickTop="1">
      <c r="A144" s="1020"/>
      <c r="C144" s="417"/>
      <c r="AH144" s="1668"/>
      <c r="AI144" s="1668"/>
      <c r="AJ144" s="1668"/>
    </row>
    <row r="145" spans="1:36" ht="15">
      <c r="A145" s="1113" t="s">
        <v>1336</v>
      </c>
      <c r="AH145" s="1668"/>
      <c r="AI145" s="1668"/>
      <c r="AJ145" s="1668"/>
    </row>
    <row r="146" spans="1:36" ht="15">
      <c r="A146" s="1113" t="s">
        <v>1291</v>
      </c>
      <c r="AH146" s="1668"/>
      <c r="AI146" s="1668"/>
      <c r="AJ146" s="1668"/>
    </row>
    <row r="147" spans="1:36" ht="15">
      <c r="A147" s="2331" t="s">
        <v>1379</v>
      </c>
      <c r="AH147" s="1668"/>
      <c r="AI147" s="1668"/>
      <c r="AJ147" s="1668"/>
    </row>
    <row r="148" spans="1:36" ht="16.5" customHeight="1">
      <c r="AH148" s="1668"/>
      <c r="AI148" s="1668"/>
      <c r="AJ148" s="1668"/>
    </row>
    <row r="149" spans="1:36" ht="16.5" customHeight="1">
      <c r="AH149" s="1668"/>
      <c r="AI149" s="1668"/>
      <c r="AJ149" s="1668"/>
    </row>
    <row r="150" spans="1:36" ht="16.5" customHeight="1">
      <c r="AH150" s="1668"/>
      <c r="AI150" s="1668"/>
      <c r="AJ150" s="1668"/>
    </row>
    <row r="151" spans="1:36" ht="16.5" customHeight="1">
      <c r="AH151" s="1668"/>
      <c r="AI151" s="1668"/>
      <c r="AJ151" s="1668"/>
    </row>
    <row r="152" spans="1:36" ht="16.5" customHeight="1">
      <c r="AH152" s="1668"/>
      <c r="AI152" s="1668"/>
      <c r="AJ152" s="1668"/>
    </row>
    <row r="153" spans="1:36" ht="16.5" customHeight="1">
      <c r="AH153" s="1668"/>
      <c r="AI153" s="1668"/>
      <c r="AJ153" s="1668"/>
    </row>
    <row r="154" spans="1:36" ht="16.5" customHeight="1">
      <c r="AH154" s="1668"/>
      <c r="AI154" s="1668"/>
      <c r="AJ154" s="1668"/>
    </row>
    <row r="155" spans="1:36" ht="16.5" customHeight="1">
      <c r="AH155" s="1668"/>
      <c r="AI155" s="1668"/>
      <c r="AJ155" s="1668"/>
    </row>
    <row r="156" spans="1:36" ht="16.5" customHeight="1">
      <c r="AH156" s="1668"/>
      <c r="AI156" s="1668"/>
      <c r="AJ156" s="1668"/>
    </row>
    <row r="157" spans="1:36" ht="16.5" customHeight="1">
      <c r="AH157" s="1668"/>
      <c r="AI157" s="1668"/>
      <c r="AJ157" s="1668"/>
    </row>
    <row r="158" spans="1:36" ht="16.5" customHeight="1">
      <c r="AH158" s="1668"/>
      <c r="AI158" s="1668"/>
      <c r="AJ158" s="1668"/>
    </row>
    <row r="159" spans="1:36" ht="16.5" customHeight="1">
      <c r="AH159" s="1668"/>
      <c r="AI159" s="1668"/>
      <c r="AJ159" s="1668"/>
    </row>
    <row r="160" spans="1:36" ht="16.5" customHeight="1">
      <c r="AH160" s="1668"/>
      <c r="AI160" s="1668"/>
      <c r="AJ160" s="1668"/>
    </row>
    <row r="161" spans="34:36" ht="16.5" customHeight="1">
      <c r="AH161" s="1668"/>
      <c r="AI161" s="1668"/>
      <c r="AJ161" s="1668"/>
    </row>
  </sheetData>
  <customSheetViews>
    <customSheetView guid="{8EE6466D-211E-4E05-9F84-CC0A1C6F79F4}" scale="60" showGridLines="0" topLeftCell="E43">
      <selection activeCell="Y12" sqref="Y12"/>
      <rowBreaks count="1" manualBreakCount="1">
        <brk id="84" max="35" man="1"/>
      </rowBreaks>
      <pageMargins left="0" right="0" top="0.4" bottom="0.25" header="0.47" footer="0.3"/>
      <pageSetup scale="41" firstPageNumber="18" fitToHeight="2" orientation="landscape" useFirstPageNumber="1" r:id="rId1"/>
      <headerFooter scaleWithDoc="0">
        <oddFooter>&amp;C&amp;8 &amp;P</oddFooter>
      </headerFooter>
    </customSheetView>
  </customSheetViews>
  <mergeCells count="2">
    <mergeCell ref="AC5:AJ5"/>
    <mergeCell ref="AB12:AJ12"/>
  </mergeCells>
  <pageMargins left="0.25" right="0" top="0.25" bottom="0.25" header="0.47" footer="0.3"/>
  <pageSetup scale="39" firstPageNumber="18" orientation="landscape" useFirstPageNumber="1" r:id="rId2"/>
  <headerFooter scaleWithDoc="0" alignWithMargins="0">
    <oddFooter>&amp;C&amp;8&amp;P</oddFooter>
  </headerFooter>
  <rowBreaks count="1" manualBreakCount="1">
    <brk id="84" max="35" man="1"/>
  </rowBreaks>
  <ignoredErrors>
    <ignoredError sqref="AB12 AJ36:AJ37 AJ83 AJ27:AJ34 AJ70 AJ103" unlockedFormula="1"/>
    <ignoredError sqref="AB26 AH24 AH35:AJ35 AJ53" formula="1"/>
    <ignoredError sqref="AJ82 AJ38 AJ72:AJ74 AJ69 AJ66:AJ67 AJ68 AJ71 AJ110" formula="1" unlockedFormula="1"/>
  </ignoredError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211"/>
  <sheetViews>
    <sheetView zoomScale="70" zoomScaleNormal="70" workbookViewId="0"/>
  </sheetViews>
  <sheetFormatPr defaultColWidth="8.90625" defaultRowHeight="13.2"/>
  <cols>
    <col min="1" max="1" width="5.08984375" style="410" customWidth="1"/>
    <col min="2" max="2" width="48.54296875" style="410" customWidth="1"/>
    <col min="3" max="3" width="1.08984375" style="410" customWidth="1"/>
    <col min="4" max="4" width="12.453125" style="410" bestFit="1" customWidth="1"/>
    <col min="5" max="5" width="1.6328125" style="410" customWidth="1"/>
    <col min="6" max="6" width="12" style="410" customWidth="1"/>
    <col min="7" max="7" width="1.6328125" style="410" customWidth="1"/>
    <col min="8" max="8" width="12.36328125" style="410" customWidth="1"/>
    <col min="9" max="9" width="1.6328125" style="410" customWidth="1"/>
    <col min="10" max="10" width="13.81640625" style="2094" customWidth="1"/>
    <col min="11" max="11" width="1.6328125" style="410" customWidth="1"/>
    <col min="12" max="12" width="12.36328125" style="410" bestFit="1" customWidth="1"/>
    <col min="13" max="13" width="1.6328125" style="410" customWidth="1"/>
    <col min="14" max="14" width="13.90625" style="410" customWidth="1"/>
    <col min="15" max="15" width="1.6328125" style="410" customWidth="1"/>
    <col min="16" max="16" width="12.36328125" style="410" customWidth="1"/>
    <col min="17" max="17" width="1.6328125" style="410" customWidth="1"/>
    <col min="18" max="18" width="12.1796875" style="410" customWidth="1"/>
    <col min="19" max="19" width="1.6328125" style="410" customWidth="1"/>
    <col min="20" max="20" width="10.6328125" style="410" customWidth="1"/>
    <col min="21" max="21" width="1.6328125" style="410" customWidth="1"/>
    <col min="22" max="22" width="11.36328125" style="410" customWidth="1"/>
    <col min="23" max="23" width="1.6328125" style="410" customWidth="1"/>
    <col min="24" max="24" width="10.6328125" style="410" customWidth="1"/>
    <col min="25" max="25" width="1.6328125" style="410" customWidth="1"/>
    <col min="26" max="26" width="10.6328125" style="410" customWidth="1"/>
    <col min="27" max="27" width="1.54296875" style="410" customWidth="1"/>
    <col min="28" max="28" width="1.6328125" style="410" customWidth="1"/>
    <col min="29" max="29" width="12.36328125" style="410" bestFit="1" customWidth="1"/>
    <col min="30" max="30" width="1.453125" style="410" customWidth="1"/>
    <col min="31" max="31" width="1.36328125" style="410" customWidth="1"/>
    <col min="32" max="32" width="12.36328125" style="2099" bestFit="1" customWidth="1"/>
    <col min="33" max="33" width="1" style="410" customWidth="1"/>
    <col min="34" max="34" width="1.08984375" style="410" customWidth="1"/>
    <col min="35" max="35" width="13.08984375" style="410" bestFit="1" customWidth="1"/>
    <col min="36" max="36" width="1" style="416" customWidth="1"/>
    <col min="37" max="37" width="13.6328125" style="458" bestFit="1" customWidth="1"/>
    <col min="38" max="38" width="10.36328125" style="410" customWidth="1"/>
    <col min="39" max="16384" width="8.90625" style="410"/>
  </cols>
  <sheetData>
    <row r="1" spans="1:37" ht="15">
      <c r="B1" s="1172" t="s">
        <v>1103</v>
      </c>
    </row>
    <row r="2" spans="1:37">
      <c r="A2" s="455"/>
      <c r="B2" s="456"/>
      <c r="C2" s="456"/>
      <c r="D2" s="456"/>
      <c r="E2" s="456"/>
      <c r="F2" s="456"/>
      <c r="G2" s="456"/>
      <c r="H2" s="456"/>
      <c r="I2" s="456"/>
      <c r="J2" s="2095"/>
      <c r="K2" s="456"/>
      <c r="L2" s="456"/>
      <c r="M2" s="456"/>
      <c r="N2" s="456"/>
      <c r="O2" s="456"/>
      <c r="P2" s="456"/>
      <c r="Q2" s="456"/>
      <c r="R2" s="456"/>
      <c r="S2" s="456"/>
      <c r="T2" s="456"/>
      <c r="U2" s="456"/>
      <c r="V2" s="456"/>
      <c r="W2" s="456"/>
      <c r="X2" s="456"/>
      <c r="Y2" s="456"/>
      <c r="Z2" s="456"/>
      <c r="AA2" s="456"/>
      <c r="AB2" s="456"/>
      <c r="AC2" s="456"/>
      <c r="AD2" s="456"/>
      <c r="AE2" s="456"/>
      <c r="AF2" s="1779"/>
      <c r="AG2" s="456"/>
      <c r="AH2" s="457"/>
    </row>
    <row r="3" spans="1:37">
      <c r="A3" s="455"/>
      <c r="B3" s="456"/>
      <c r="C3" s="456"/>
      <c r="D3" s="456"/>
      <c r="E3" s="456"/>
      <c r="F3" s="456"/>
      <c r="G3" s="456"/>
      <c r="H3" s="456"/>
      <c r="I3" s="456"/>
      <c r="J3" s="2095"/>
      <c r="K3" s="456"/>
      <c r="L3" s="456"/>
      <c r="M3" s="456"/>
      <c r="N3" s="456"/>
      <c r="O3" s="456"/>
      <c r="P3" s="456"/>
      <c r="Q3" s="456"/>
      <c r="R3" s="456"/>
      <c r="S3" s="456"/>
      <c r="T3" s="456"/>
      <c r="U3" s="456"/>
      <c r="V3" s="456"/>
      <c r="W3" s="456"/>
      <c r="X3" s="456"/>
      <c r="Y3" s="456"/>
      <c r="Z3" s="456"/>
      <c r="AA3" s="456"/>
      <c r="AB3" s="456"/>
      <c r="AC3" s="456"/>
      <c r="AD3" s="456"/>
      <c r="AE3" s="456"/>
      <c r="AF3" s="1779"/>
      <c r="AG3" s="456"/>
      <c r="AH3" s="457"/>
    </row>
    <row r="4" spans="1:37">
      <c r="A4" s="455"/>
      <c r="B4" s="456"/>
      <c r="C4" s="456"/>
      <c r="D4" s="456"/>
      <c r="E4" s="456"/>
      <c r="F4" s="456"/>
      <c r="G4" s="456"/>
      <c r="H4" s="456"/>
      <c r="I4" s="456"/>
      <c r="J4" s="2095"/>
      <c r="K4" s="456"/>
      <c r="L4" s="456"/>
      <c r="M4" s="456"/>
      <c r="N4" s="456"/>
      <c r="O4" s="456"/>
      <c r="P4" s="456"/>
      <c r="Q4" s="456"/>
      <c r="R4" s="456"/>
      <c r="S4" s="456"/>
      <c r="T4" s="456"/>
      <c r="U4" s="456"/>
      <c r="V4" s="456"/>
      <c r="W4" s="456"/>
      <c r="X4" s="456"/>
      <c r="Y4" s="456"/>
      <c r="Z4" s="456"/>
      <c r="AA4" s="456"/>
      <c r="AB4" s="456"/>
      <c r="AC4" s="456"/>
      <c r="AD4" s="456"/>
      <c r="AE4" s="456"/>
      <c r="AF4" s="1779"/>
      <c r="AG4" s="456"/>
      <c r="AH4" s="457"/>
    </row>
    <row r="5" spans="1:37" ht="17.399999999999999">
      <c r="A5" s="455"/>
      <c r="B5" s="459" t="s">
        <v>0</v>
      </c>
      <c r="C5" s="456"/>
      <c r="D5" s="456"/>
      <c r="E5" s="456"/>
      <c r="F5" s="357"/>
      <c r="G5" s="456"/>
      <c r="H5" s="456"/>
      <c r="I5" s="456"/>
      <c r="J5" s="2095"/>
      <c r="K5" s="456"/>
      <c r="L5" s="456"/>
      <c r="M5" s="221"/>
      <c r="N5" s="412"/>
      <c r="O5" s="456"/>
      <c r="P5" s="456"/>
      <c r="Q5" s="456"/>
      <c r="R5" s="456"/>
      <c r="S5" s="456"/>
      <c r="T5" s="456"/>
      <c r="U5" s="456"/>
      <c r="V5" s="456"/>
      <c r="W5" s="456"/>
      <c r="X5" s="456"/>
      <c r="Y5" s="456"/>
      <c r="Z5" s="456"/>
      <c r="AA5" s="456"/>
      <c r="AB5" s="456"/>
      <c r="AC5" s="456"/>
      <c r="AD5" s="456"/>
      <c r="AE5" s="456"/>
      <c r="AF5" s="1779"/>
      <c r="AG5" s="456"/>
      <c r="AH5" s="457"/>
      <c r="AK5" s="463" t="s">
        <v>152</v>
      </c>
    </row>
    <row r="6" spans="1:37" ht="17.399999999999999">
      <c r="A6" s="455"/>
      <c r="B6" s="460" t="s">
        <v>151</v>
      </c>
      <c r="C6" s="456"/>
      <c r="D6" s="456"/>
      <c r="E6" s="456"/>
      <c r="F6" s="357"/>
      <c r="G6" s="456"/>
      <c r="H6" s="456" t="s">
        <v>16</v>
      </c>
      <c r="I6" s="456"/>
      <c r="J6" s="2095"/>
      <c r="K6" s="456"/>
      <c r="L6" s="456"/>
      <c r="M6" s="221"/>
      <c r="N6" s="412"/>
      <c r="O6" s="456"/>
      <c r="P6" s="456"/>
      <c r="Q6" s="456"/>
      <c r="R6" s="456"/>
      <c r="S6" s="456"/>
      <c r="T6" s="456"/>
      <c r="U6" s="456"/>
      <c r="V6" s="456"/>
      <c r="W6" s="456"/>
      <c r="X6" s="456"/>
      <c r="Y6" s="456"/>
      <c r="Z6" s="456"/>
      <c r="AA6" s="456"/>
      <c r="AB6" s="456"/>
      <c r="AC6" s="461"/>
      <c r="AD6" s="461"/>
      <c r="AE6" s="461"/>
      <c r="AF6" s="2100"/>
      <c r="AG6" s="462"/>
      <c r="AH6" s="457"/>
    </row>
    <row r="7" spans="1:37" ht="17.399999999999999">
      <c r="A7" s="455"/>
      <c r="B7" s="460" t="s">
        <v>153</v>
      </c>
      <c r="C7" s="456"/>
      <c r="D7" s="456"/>
      <c r="E7" s="456"/>
      <c r="F7" s="357"/>
      <c r="G7" s="456"/>
      <c r="H7" s="456"/>
      <c r="I7" s="456"/>
      <c r="J7" s="2095"/>
      <c r="K7" s="456"/>
      <c r="L7" s="456"/>
      <c r="M7" s="221"/>
      <c r="N7" s="412"/>
      <c r="O7" s="456"/>
      <c r="P7" s="456"/>
      <c r="Q7" s="456"/>
      <c r="R7" s="456"/>
      <c r="S7" s="456"/>
      <c r="T7" s="456"/>
      <c r="U7" s="456"/>
      <c r="V7" s="456"/>
      <c r="W7" s="456"/>
      <c r="X7" s="456"/>
      <c r="Y7" s="456"/>
      <c r="Z7" s="456"/>
      <c r="AA7" s="456"/>
      <c r="AB7" s="456"/>
      <c r="AD7" s="464"/>
      <c r="AE7" s="464"/>
      <c r="AH7" s="457"/>
    </row>
    <row r="8" spans="1:37" ht="18" customHeight="1">
      <c r="A8" s="455"/>
      <c r="B8" s="2996" t="s">
        <v>1472</v>
      </c>
      <c r="C8" s="456"/>
      <c r="D8" s="456"/>
      <c r="E8" s="456"/>
      <c r="F8" s="357"/>
      <c r="G8" s="456"/>
      <c r="H8" s="456"/>
      <c r="I8" s="456"/>
      <c r="J8" s="2095"/>
      <c r="K8" s="456"/>
      <c r="L8" s="456"/>
      <c r="M8" s="221"/>
      <c r="N8" s="412"/>
      <c r="O8" s="456"/>
      <c r="P8" s="456"/>
      <c r="Q8" s="456"/>
      <c r="R8" s="456"/>
      <c r="S8" s="456"/>
      <c r="T8" s="456"/>
      <c r="U8" s="456"/>
      <c r="V8" s="456"/>
      <c r="W8" s="456"/>
      <c r="X8" s="456"/>
      <c r="Y8" s="456"/>
      <c r="Z8" s="456"/>
      <c r="AA8" s="456"/>
      <c r="AB8" s="456"/>
      <c r="AC8" s="456"/>
      <c r="AD8" s="456"/>
      <c r="AE8" s="456"/>
      <c r="AF8" s="1779"/>
      <c r="AG8" s="456"/>
      <c r="AH8" s="457"/>
    </row>
    <row r="9" spans="1:37" ht="15" customHeight="1">
      <c r="A9" s="455"/>
      <c r="B9" s="460" t="s">
        <v>991</v>
      </c>
      <c r="C9" s="456"/>
      <c r="D9" s="456"/>
      <c r="E9" s="456"/>
      <c r="F9" s="357"/>
      <c r="G9" s="456"/>
      <c r="H9" s="456"/>
      <c r="I9" s="456"/>
      <c r="J9" s="2095"/>
      <c r="K9" s="456"/>
      <c r="L9" s="412"/>
      <c r="M9" s="221"/>
      <c r="N9" s="456"/>
      <c r="O9" s="456"/>
      <c r="P9" s="456"/>
      <c r="Q9" s="456"/>
      <c r="R9" s="456"/>
      <c r="S9" s="456"/>
      <c r="T9" s="456"/>
      <c r="U9" s="456"/>
      <c r="V9" s="456"/>
      <c r="W9" s="456"/>
      <c r="X9" s="456"/>
      <c r="Y9" s="456"/>
      <c r="Z9" s="456"/>
      <c r="AA9" s="456"/>
      <c r="AB9" s="456"/>
      <c r="AC9" s="456"/>
      <c r="AD9" s="456"/>
      <c r="AE9" s="456"/>
      <c r="AF9" s="1779"/>
      <c r="AG9" s="456"/>
      <c r="AH9" s="457"/>
    </row>
    <row r="10" spans="1:37" ht="15.6">
      <c r="A10" s="455"/>
      <c r="B10" s="456"/>
      <c r="C10" s="456"/>
      <c r="D10" s="456"/>
      <c r="E10" s="456"/>
      <c r="F10" s="357"/>
      <c r="G10" s="456"/>
      <c r="H10" s="456"/>
      <c r="I10" s="456"/>
      <c r="J10" s="2095"/>
      <c r="K10" s="456"/>
      <c r="L10" s="456"/>
      <c r="M10" s="456"/>
      <c r="N10" s="456"/>
      <c r="O10" s="456"/>
      <c r="P10" s="456"/>
      <c r="Q10" s="456"/>
      <c r="R10" s="456"/>
      <c r="S10" s="456"/>
      <c r="T10" s="456"/>
      <c r="U10" s="456"/>
      <c r="V10" s="456"/>
      <c r="W10" s="456"/>
      <c r="X10" s="456"/>
      <c r="Y10" s="456"/>
      <c r="Z10" s="456"/>
      <c r="AA10" s="456"/>
      <c r="AB10" s="3405" t="s">
        <v>1465</v>
      </c>
      <c r="AC10" s="3405"/>
      <c r="AD10" s="3405"/>
      <c r="AE10" s="3405"/>
      <c r="AF10" s="3405"/>
      <c r="AG10" s="3405"/>
      <c r="AH10" s="3405"/>
      <c r="AI10" s="3405"/>
      <c r="AJ10" s="3405"/>
      <c r="AK10" s="3405"/>
    </row>
    <row r="11" spans="1:37" ht="15" customHeight="1">
      <c r="A11" s="455"/>
      <c r="B11" s="222"/>
      <c r="C11" s="222"/>
      <c r="D11" s="1476">
        <v>2016</v>
      </c>
      <c r="E11" s="221"/>
      <c r="F11" s="1477"/>
      <c r="G11" s="221"/>
      <c r="H11" s="412"/>
      <c r="I11" s="221"/>
      <c r="J11" s="312"/>
      <c r="K11" s="221"/>
      <c r="L11" s="412"/>
      <c r="M11" s="221"/>
      <c r="N11" s="412"/>
      <c r="O11" s="221"/>
      <c r="P11" s="412"/>
      <c r="Q11" s="221"/>
      <c r="R11" s="412"/>
      <c r="S11" s="221"/>
      <c r="T11" s="412"/>
      <c r="U11" s="221"/>
      <c r="V11" s="1476">
        <v>2017</v>
      </c>
      <c r="W11" s="221"/>
      <c r="X11" s="412"/>
      <c r="Y11" s="221"/>
      <c r="Z11" s="412"/>
      <c r="AA11" s="412"/>
      <c r="AB11" s="221"/>
      <c r="AC11" s="413"/>
      <c r="AD11" s="477"/>
      <c r="AE11" s="477"/>
      <c r="AF11" s="2083"/>
      <c r="AG11" s="413"/>
      <c r="AH11" s="1479"/>
      <c r="AI11" s="1480" t="s">
        <v>8</v>
      </c>
      <c r="AJ11" s="413"/>
      <c r="AK11" s="1481" t="s">
        <v>9</v>
      </c>
    </row>
    <row r="12" spans="1:37" ht="15" customHeight="1">
      <c r="A12" s="455"/>
      <c r="B12" s="222"/>
      <c r="C12" s="222"/>
      <c r="D12" s="1462" t="s">
        <v>129</v>
      </c>
      <c r="E12" s="221"/>
      <c r="F12" s="1482" t="s">
        <v>130</v>
      </c>
      <c r="G12" s="221"/>
      <c r="H12" s="1482" t="s">
        <v>131</v>
      </c>
      <c r="I12" s="221"/>
      <c r="J12" s="2096" t="s">
        <v>132</v>
      </c>
      <c r="K12" s="221"/>
      <c r="L12" s="1483" t="s">
        <v>133</v>
      </c>
      <c r="M12" s="221"/>
      <c r="N12" s="1483" t="s">
        <v>134</v>
      </c>
      <c r="O12" s="221"/>
      <c r="P12" s="1483" t="s">
        <v>135</v>
      </c>
      <c r="Q12" s="221"/>
      <c r="R12" s="1483" t="s">
        <v>136</v>
      </c>
      <c r="S12" s="221"/>
      <c r="T12" s="1483" t="s">
        <v>137</v>
      </c>
      <c r="U12" s="221"/>
      <c r="V12" s="1483" t="s">
        <v>154</v>
      </c>
      <c r="W12" s="221"/>
      <c r="X12" s="1483" t="s">
        <v>139</v>
      </c>
      <c r="Y12" s="221"/>
      <c r="Z12" s="1483" t="s">
        <v>140</v>
      </c>
      <c r="AA12" s="1481"/>
      <c r="AB12" s="221"/>
      <c r="AC12" s="1484">
        <v>2016</v>
      </c>
      <c r="AD12" s="221" t="s">
        <v>16</v>
      </c>
      <c r="AE12" s="221"/>
      <c r="AF12" s="2101">
        <v>2015</v>
      </c>
      <c r="AG12" s="1485"/>
      <c r="AH12" s="1479"/>
      <c r="AI12" s="1486" t="s">
        <v>13</v>
      </c>
      <c r="AJ12" s="412"/>
      <c r="AK12" s="1487" t="s">
        <v>14</v>
      </c>
    </row>
    <row r="13" spans="1:37" ht="5.25" customHeight="1">
      <c r="A13" s="455"/>
      <c r="B13" s="222"/>
      <c r="C13" s="222"/>
      <c r="D13" s="235" t="s">
        <v>16</v>
      </c>
      <c r="E13" s="222"/>
      <c r="F13" s="466"/>
      <c r="G13" s="222"/>
      <c r="H13" s="235"/>
      <c r="I13" s="222"/>
      <c r="J13" s="327"/>
      <c r="K13" s="222"/>
      <c r="L13" s="235"/>
      <c r="M13" s="222"/>
      <c r="N13" s="235"/>
      <c r="O13" s="222"/>
      <c r="P13" s="235"/>
      <c r="Q13" s="222"/>
      <c r="R13" s="235"/>
      <c r="S13" s="222"/>
      <c r="T13" s="235"/>
      <c r="U13" s="222"/>
      <c r="V13" s="235"/>
      <c r="W13" s="222"/>
      <c r="X13" s="235"/>
      <c r="Y13" s="222"/>
      <c r="Z13" s="235"/>
      <c r="AA13" s="229"/>
      <c r="AB13" s="222"/>
      <c r="AC13" s="229"/>
      <c r="AD13" s="222"/>
      <c r="AE13" s="222"/>
      <c r="AF13" s="2102"/>
      <c r="AG13" s="229"/>
      <c r="AH13" s="467"/>
    </row>
    <row r="14" spans="1:37" ht="15" customHeight="1">
      <c r="A14" s="352"/>
      <c r="B14" s="227" t="s">
        <v>141</v>
      </c>
      <c r="C14" s="223"/>
      <c r="D14" s="294">
        <v>8934.1</v>
      </c>
      <c r="E14" s="468"/>
      <c r="F14" s="294"/>
      <c r="G14" s="468"/>
      <c r="H14" s="294"/>
      <c r="I14" s="468"/>
      <c r="J14" s="336"/>
      <c r="K14" s="468"/>
      <c r="L14" s="294"/>
      <c r="M14" s="468"/>
      <c r="N14" s="294"/>
      <c r="O14" s="468"/>
      <c r="P14" s="294"/>
      <c r="Q14" s="468"/>
      <c r="R14" s="294"/>
      <c r="S14" s="468"/>
      <c r="T14" s="294"/>
      <c r="U14" s="468"/>
      <c r="V14" s="294"/>
      <c r="W14" s="294"/>
      <c r="X14" s="294"/>
      <c r="Y14" s="468"/>
      <c r="Z14" s="468"/>
      <c r="AA14" s="468"/>
      <c r="AB14" s="469"/>
      <c r="AC14" s="294">
        <f>D14</f>
        <v>8934.1</v>
      </c>
      <c r="AD14" s="468"/>
      <c r="AE14" s="469"/>
      <c r="AF14" s="336">
        <v>7299.5</v>
      </c>
      <c r="AG14" s="468"/>
      <c r="AH14" s="470"/>
      <c r="AI14" s="294">
        <f>ROUND(SUM(+AC14-AF14),1)</f>
        <v>1634.6</v>
      </c>
      <c r="AJ14" s="2682"/>
      <c r="AK14" s="2731">
        <f>ROUND(IF(AF14=0,0,AI14/ABS(AF14)),3)</f>
        <v>0.224</v>
      </c>
    </row>
    <row r="15" spans="1:37" ht="15" customHeight="1">
      <c r="A15" s="352"/>
      <c r="B15" s="223"/>
      <c r="C15" s="223"/>
      <c r="D15" s="223"/>
      <c r="E15" s="223"/>
      <c r="F15" s="381"/>
      <c r="G15" s="223"/>
      <c r="H15" s="381"/>
      <c r="I15" s="223"/>
      <c r="J15" s="318"/>
      <c r="K15" s="223"/>
      <c r="L15" s="381"/>
      <c r="M15" s="223"/>
      <c r="N15" s="222"/>
      <c r="O15" s="223"/>
      <c r="P15" s="222"/>
      <c r="Q15" s="223"/>
      <c r="R15" s="222"/>
      <c r="S15" s="223"/>
      <c r="T15" s="222"/>
      <c r="U15" s="223"/>
      <c r="V15" s="222"/>
      <c r="W15" s="223"/>
      <c r="X15" s="222"/>
      <c r="Y15" s="223"/>
      <c r="Z15" s="222"/>
      <c r="AA15" s="222"/>
      <c r="AB15" s="237"/>
      <c r="AC15" s="222"/>
      <c r="AD15" s="223"/>
      <c r="AE15" s="237"/>
      <c r="AF15" s="306"/>
      <c r="AG15" s="222"/>
      <c r="AH15" s="467"/>
      <c r="AI15" s="456"/>
      <c r="AJ15" s="2042"/>
      <c r="AK15" s="1561"/>
    </row>
    <row r="16" spans="1:37" ht="15" customHeight="1">
      <c r="A16" s="352"/>
      <c r="B16" s="221" t="s">
        <v>15</v>
      </c>
      <c r="C16" s="223"/>
      <c r="D16" s="223"/>
      <c r="E16" s="223"/>
      <c r="F16" s="222"/>
      <c r="G16" s="223"/>
      <c r="H16" s="222"/>
      <c r="I16" s="223"/>
      <c r="J16" s="318"/>
      <c r="K16" s="223"/>
      <c r="L16" s="222"/>
      <c r="M16" s="223"/>
      <c r="N16" s="222"/>
      <c r="O16" s="223"/>
      <c r="P16" s="222"/>
      <c r="Q16" s="223"/>
      <c r="R16" s="222"/>
      <c r="S16" s="223"/>
      <c r="T16" s="222"/>
      <c r="U16" s="223"/>
      <c r="V16" s="222"/>
      <c r="W16" s="223"/>
      <c r="X16" s="222"/>
      <c r="Y16" s="223"/>
      <c r="Z16" s="222"/>
      <c r="AA16" s="222"/>
      <c r="AB16" s="237"/>
      <c r="AC16" s="222"/>
      <c r="AD16" s="223"/>
      <c r="AE16" s="237"/>
      <c r="AF16" s="306"/>
      <c r="AG16" s="222"/>
      <c r="AH16" s="467"/>
      <c r="AI16" s="456"/>
      <c r="AJ16" s="2042"/>
      <c r="AK16" s="1561"/>
    </row>
    <row r="17" spans="1:37" ht="15" customHeight="1">
      <c r="A17" s="352"/>
      <c r="B17" s="489" t="s">
        <v>1238</v>
      </c>
      <c r="C17" s="223"/>
      <c r="D17" s="223"/>
      <c r="E17" s="223"/>
      <c r="F17" s="222"/>
      <c r="G17" s="223"/>
      <c r="H17" s="222"/>
      <c r="I17" s="223"/>
      <c r="J17" s="318"/>
      <c r="K17" s="223"/>
      <c r="L17" s="222"/>
      <c r="M17" s="223"/>
      <c r="N17" s="222"/>
      <c r="O17" s="223"/>
      <c r="P17" s="222"/>
      <c r="Q17" s="223"/>
      <c r="R17" s="222"/>
      <c r="S17" s="223"/>
      <c r="T17" s="222"/>
      <c r="U17" s="223"/>
      <c r="V17" s="222"/>
      <c r="W17" s="223"/>
      <c r="X17" s="222"/>
      <c r="Y17" s="223"/>
      <c r="Z17" s="222"/>
      <c r="AA17" s="222"/>
      <c r="AB17" s="237"/>
      <c r="AC17" s="222"/>
      <c r="AD17" s="223"/>
      <c r="AE17" s="237"/>
      <c r="AF17" s="306"/>
      <c r="AG17" s="222"/>
      <c r="AH17" s="467"/>
      <c r="AI17" s="456"/>
      <c r="AJ17" s="2042"/>
      <c r="AK17" s="1561"/>
    </row>
    <row r="18" spans="1:37" ht="15" customHeight="1">
      <c r="A18" s="352"/>
      <c r="B18" s="2027" t="s">
        <v>1312</v>
      </c>
      <c r="C18" s="223"/>
      <c r="D18" s="223"/>
      <c r="E18" s="223"/>
      <c r="F18" s="222"/>
      <c r="G18" s="223"/>
      <c r="H18" s="222"/>
      <c r="I18" s="223"/>
      <c r="J18" s="318"/>
      <c r="K18" s="223"/>
      <c r="L18" s="222"/>
      <c r="M18" s="223"/>
      <c r="N18" s="222"/>
      <c r="O18" s="223"/>
      <c r="P18" s="222"/>
      <c r="Q18" s="223"/>
      <c r="R18" s="222"/>
      <c r="S18" s="223"/>
      <c r="T18" s="222"/>
      <c r="U18" s="223"/>
      <c r="V18" s="222"/>
      <c r="W18" s="223"/>
      <c r="X18" s="222"/>
      <c r="Y18" s="223"/>
      <c r="Z18" s="222"/>
      <c r="AA18" s="222"/>
      <c r="AB18" s="237"/>
      <c r="AC18" s="222"/>
      <c r="AD18" s="223"/>
      <c r="AE18" s="237"/>
      <c r="AF18" s="306"/>
      <c r="AG18" s="222"/>
      <c r="AH18" s="467"/>
      <c r="AI18" s="456"/>
      <c r="AJ18" s="2042"/>
      <c r="AK18" s="1561"/>
    </row>
    <row r="19" spans="1:37" ht="15" customHeight="1">
      <c r="A19" s="352"/>
      <c r="B19" s="1256" t="s">
        <v>1246</v>
      </c>
      <c r="C19" s="223"/>
      <c r="D19" s="2992">
        <v>2649.4</v>
      </c>
      <c r="E19" s="1629"/>
      <c r="F19" s="2992"/>
      <c r="G19" s="1629"/>
      <c r="H19" s="2992"/>
      <c r="I19" s="2068"/>
      <c r="J19" s="318"/>
      <c r="K19" s="261"/>
      <c r="L19" s="2992"/>
      <c r="M19" s="261"/>
      <c r="N19" s="261"/>
      <c r="O19" s="261"/>
      <c r="P19" s="261"/>
      <c r="Q19" s="261"/>
      <c r="R19" s="261"/>
      <c r="S19" s="261"/>
      <c r="T19" s="261"/>
      <c r="U19" s="261"/>
      <c r="V19" s="261"/>
      <c r="W19" s="261"/>
      <c r="X19" s="261"/>
      <c r="Y19" s="261"/>
      <c r="Z19" s="261"/>
      <c r="AA19" s="222"/>
      <c r="AB19" s="237"/>
      <c r="AC19" s="261">
        <f>ROUND(SUM(D19:Z19),1)</f>
        <v>2649.4</v>
      </c>
      <c r="AD19" s="223"/>
      <c r="AE19" s="237"/>
      <c r="AF19" s="85">
        <v>2961.1</v>
      </c>
      <c r="AG19" s="222"/>
      <c r="AH19" s="467"/>
      <c r="AI19" s="1159">
        <f>ROUND(SUM(+AC19-AF19),1)</f>
        <v>-311.7</v>
      </c>
      <c r="AJ19" s="2042"/>
      <c r="AK19" s="1816">
        <f>ROUND(IF(AF19=0,0,AI19/ABS(AF19)),3)</f>
        <v>-0.105</v>
      </c>
    </row>
    <row r="20" spans="1:37" ht="15" customHeight="1">
      <c r="A20" s="352"/>
      <c r="B20" s="1256" t="s">
        <v>1247</v>
      </c>
      <c r="C20" s="223"/>
      <c r="D20" s="2992">
        <v>4784</v>
      </c>
      <c r="E20" s="1124"/>
      <c r="F20" s="1124"/>
      <c r="G20" s="1124"/>
      <c r="H20" s="1124"/>
      <c r="I20" s="223"/>
      <c r="J20" s="318"/>
      <c r="K20" s="223"/>
      <c r="L20" s="1124"/>
      <c r="M20" s="223"/>
      <c r="N20" s="261"/>
      <c r="O20" s="261"/>
      <c r="P20" s="261"/>
      <c r="Q20" s="261"/>
      <c r="R20" s="261"/>
      <c r="S20" s="261"/>
      <c r="T20" s="261"/>
      <c r="U20" s="261"/>
      <c r="V20" s="2993"/>
      <c r="W20" s="261"/>
      <c r="X20" s="261"/>
      <c r="Y20" s="261"/>
      <c r="Z20" s="261"/>
      <c r="AA20" s="222"/>
      <c r="AB20" s="237"/>
      <c r="AC20" s="261">
        <f>ROUND(SUM(D20:Z20),1)</f>
        <v>4784</v>
      </c>
      <c r="AD20" s="223"/>
      <c r="AE20" s="237"/>
      <c r="AF20" s="85">
        <v>5313.5</v>
      </c>
      <c r="AG20" s="222"/>
      <c r="AH20" s="467"/>
      <c r="AI20" s="1159">
        <f>ROUND(SUM(+AC20-AF20),1)</f>
        <v>-529.5</v>
      </c>
      <c r="AJ20" s="2042"/>
      <c r="AK20" s="1816">
        <f>ROUND(IF(AF20=0,0,AI20/ABS(AF20)),3)</f>
        <v>-0.1</v>
      </c>
    </row>
    <row r="21" spans="1:37" ht="15" customHeight="1">
      <c r="A21" s="352"/>
      <c r="B21" s="1256" t="s">
        <v>1248</v>
      </c>
      <c r="C21" s="223"/>
      <c r="D21" s="2992">
        <v>1717.3</v>
      </c>
      <c r="E21" s="1124"/>
      <c r="F21" s="1124"/>
      <c r="G21" s="1124"/>
      <c r="H21" s="1124"/>
      <c r="I21" s="223"/>
      <c r="J21" s="318"/>
      <c r="K21" s="223"/>
      <c r="L21" s="1124"/>
      <c r="M21" s="223"/>
      <c r="N21" s="261"/>
      <c r="O21" s="261"/>
      <c r="P21" s="261"/>
      <c r="Q21" s="261"/>
      <c r="R21" s="261"/>
      <c r="S21" s="261"/>
      <c r="T21" s="261"/>
      <c r="U21" s="261"/>
      <c r="V21" s="2993"/>
      <c r="W21" s="261"/>
      <c r="X21" s="261"/>
      <c r="Y21" s="261"/>
      <c r="Z21" s="261"/>
      <c r="AA21" s="222"/>
      <c r="AB21" s="237"/>
      <c r="AC21" s="261">
        <f>ROUND(SUM(D21:Z21),1)</f>
        <v>1717.3</v>
      </c>
      <c r="AD21" s="223"/>
      <c r="AE21" s="237"/>
      <c r="AF21" s="85">
        <v>1687.1</v>
      </c>
      <c r="AG21" s="222"/>
      <c r="AH21" s="467"/>
      <c r="AI21" s="1159">
        <f>ROUND(SUM(+AC21-AF21),1)</f>
        <v>30.2</v>
      </c>
      <c r="AJ21" s="2042"/>
      <c r="AK21" s="1816">
        <f>ROUND(IF(AF21=0,0,AI21/ABS(AF21)),3)</f>
        <v>1.7999999999999999E-2</v>
      </c>
    </row>
    <row r="22" spans="1:37" ht="15" customHeight="1">
      <c r="A22" s="352"/>
      <c r="B22" s="2065" t="s">
        <v>1249</v>
      </c>
      <c r="C22" s="223"/>
      <c r="D22" s="2992">
        <v>-184.9</v>
      </c>
      <c r="E22" s="1124"/>
      <c r="F22" s="1124"/>
      <c r="G22" s="1124"/>
      <c r="H22" s="1124"/>
      <c r="I22" s="223"/>
      <c r="J22" s="318"/>
      <c r="K22" s="223"/>
      <c r="L22" s="1124"/>
      <c r="M22" s="223"/>
      <c r="N22" s="261"/>
      <c r="O22" s="261"/>
      <c r="P22" s="261"/>
      <c r="Q22" s="261"/>
      <c r="R22" s="261"/>
      <c r="S22" s="261"/>
      <c r="T22" s="261"/>
      <c r="U22" s="261"/>
      <c r="V22" s="2993"/>
      <c r="W22" s="261"/>
      <c r="X22" s="261"/>
      <c r="Y22" s="261"/>
      <c r="Z22" s="261"/>
      <c r="AA22" s="222"/>
      <c r="AB22" s="237"/>
      <c r="AC22" s="261">
        <f>ROUND(SUM(D22:Z22),1)</f>
        <v>-184.9</v>
      </c>
      <c r="AD22" s="223"/>
      <c r="AE22" s="237"/>
      <c r="AF22" s="85">
        <v>-144.80000000000001</v>
      </c>
      <c r="AG22" s="222"/>
      <c r="AH22" s="467"/>
      <c r="AI22" s="1159">
        <f>-ROUND(SUM(+AC22-AF22),1)</f>
        <v>40.1</v>
      </c>
      <c r="AJ22" s="2042"/>
      <c r="AK22" s="2741">
        <f>ROUND(IF(AF22=0,0,AI22/ABS(AF22)),3)</f>
        <v>0.27700000000000002</v>
      </c>
    </row>
    <row r="23" spans="1:37" ht="15" customHeight="1">
      <c r="A23" s="352"/>
      <c r="B23" s="2065" t="s">
        <v>1250</v>
      </c>
      <c r="C23" s="223"/>
      <c r="D23" s="2992">
        <v>170.4</v>
      </c>
      <c r="E23" s="1124"/>
      <c r="F23" s="1124"/>
      <c r="G23" s="1124"/>
      <c r="H23" s="1124"/>
      <c r="I23" s="223"/>
      <c r="J23" s="318"/>
      <c r="K23" s="223"/>
      <c r="L23" s="1124"/>
      <c r="M23" s="223"/>
      <c r="N23" s="261"/>
      <c r="O23" s="261"/>
      <c r="P23" s="261"/>
      <c r="Q23" s="261"/>
      <c r="R23" s="261"/>
      <c r="S23" s="261"/>
      <c r="T23" s="261"/>
      <c r="U23" s="261"/>
      <c r="V23" s="2993"/>
      <c r="W23" s="261"/>
      <c r="X23" s="261"/>
      <c r="Y23" s="261"/>
      <c r="Z23" s="261"/>
      <c r="AA23" s="222"/>
      <c r="AB23" s="237"/>
      <c r="AC23" s="261">
        <f>ROUND(SUM(D23:Z23),1)</f>
        <v>170.4</v>
      </c>
      <c r="AD23" s="223"/>
      <c r="AE23" s="237"/>
      <c r="AF23" s="85">
        <v>143.69999999999999</v>
      </c>
      <c r="AG23" s="222"/>
      <c r="AH23" s="467"/>
      <c r="AI23" s="1159">
        <f>ROUND(SUM(+AC23-AF23),1)</f>
        <v>26.7</v>
      </c>
      <c r="AJ23" s="2042"/>
      <c r="AK23" s="1816">
        <f>ROUND(IF(AF23=0,0,AI23/ABS(AF23)),3)</f>
        <v>0.186</v>
      </c>
    </row>
    <row r="24" spans="1:37" ht="15" customHeight="1">
      <c r="A24" s="352"/>
      <c r="B24" s="1257" t="s">
        <v>1251</v>
      </c>
      <c r="C24" s="223"/>
      <c r="D24" s="483">
        <f>ROUND(SUM(D19:D23),1)</f>
        <v>9136.2000000000007</v>
      </c>
      <c r="E24" s="223"/>
      <c r="F24" s="483">
        <f>ROUND(SUM(F19:F23),1)</f>
        <v>0</v>
      </c>
      <c r="G24" s="223"/>
      <c r="H24" s="483">
        <f>ROUND(SUM(H19:H23),1)</f>
        <v>0</v>
      </c>
      <c r="I24" s="223"/>
      <c r="J24" s="1269">
        <f>ROUND(SUM(J19:J23),1)</f>
        <v>0</v>
      </c>
      <c r="K24" s="223"/>
      <c r="L24" s="483">
        <f>ROUND(SUM(L19:L23),1)</f>
        <v>0</v>
      </c>
      <c r="M24" s="223"/>
      <c r="N24" s="483">
        <f>ROUND(SUM(N19:N23),1)</f>
        <v>0</v>
      </c>
      <c r="O24" s="261"/>
      <c r="P24" s="483">
        <f>ROUND(SUM(P19:P23),1)</f>
        <v>0</v>
      </c>
      <c r="Q24" s="261"/>
      <c r="R24" s="483">
        <f>ROUND(SUM(R19:R23),1)</f>
        <v>0</v>
      </c>
      <c r="S24" s="261"/>
      <c r="T24" s="483">
        <f>ROUND(SUM(T19:T23),1)</f>
        <v>0</v>
      </c>
      <c r="U24" s="261"/>
      <c r="V24" s="483">
        <f>ROUND(SUM(V19:V23),1)</f>
        <v>0</v>
      </c>
      <c r="W24" s="261"/>
      <c r="X24" s="483">
        <f>ROUND(SUM(X19:X23),1)</f>
        <v>0</v>
      </c>
      <c r="Y24" s="261"/>
      <c r="Z24" s="483">
        <f>ROUND(SUM(Z19:Z23),1)</f>
        <v>0</v>
      </c>
      <c r="AA24" s="222"/>
      <c r="AB24" s="237"/>
      <c r="AC24" s="483">
        <f>ROUND(SUM(AC19:AC23),1)</f>
        <v>9136.2000000000007</v>
      </c>
      <c r="AD24" s="223"/>
      <c r="AE24" s="237"/>
      <c r="AF24" s="1269">
        <f>ROUND(SUM(AF19:AF23),1)</f>
        <v>9960.6</v>
      </c>
      <c r="AG24" s="222"/>
      <c r="AH24" s="467"/>
      <c r="AI24" s="483">
        <f>ROUND(SUM(AC24-AF24),1)</f>
        <v>-824.4</v>
      </c>
      <c r="AJ24" s="2042"/>
      <c r="AK24" s="2053">
        <f>ROUND(SUM(+AI24/AF24),3)</f>
        <v>-8.3000000000000004E-2</v>
      </c>
    </row>
    <row r="25" spans="1:37" ht="15" customHeight="1">
      <c r="A25" s="352"/>
      <c r="B25" s="2065" t="s">
        <v>1253</v>
      </c>
      <c r="C25" s="223"/>
      <c r="D25" s="1421">
        <v>-1.3</v>
      </c>
      <c r="E25" s="1124"/>
      <c r="F25" s="1421"/>
      <c r="G25" s="1124"/>
      <c r="H25" s="1421"/>
      <c r="I25" s="223"/>
      <c r="J25" s="318"/>
      <c r="K25" s="223"/>
      <c r="L25" s="1421"/>
      <c r="M25" s="223"/>
      <c r="N25" s="261"/>
      <c r="O25" s="261"/>
      <c r="P25" s="261"/>
      <c r="Q25" s="261"/>
      <c r="R25" s="261"/>
      <c r="S25" s="261"/>
      <c r="T25" s="261"/>
      <c r="U25" s="261"/>
      <c r="V25" s="261"/>
      <c r="W25" s="261"/>
      <c r="X25" s="261"/>
      <c r="Y25" s="261"/>
      <c r="Z25" s="261"/>
      <c r="AA25" s="222"/>
      <c r="AB25" s="237"/>
      <c r="AC25" s="261">
        <f>ROUND(SUM(D25:Z25),1)</f>
        <v>-1.3</v>
      </c>
      <c r="AD25" s="223"/>
      <c r="AE25" s="237"/>
      <c r="AF25" s="2570">
        <v>-3.1</v>
      </c>
      <c r="AG25" s="222"/>
      <c r="AH25" s="467"/>
      <c r="AI25" s="1159">
        <f>-ROUND(SUM(+AC25-AF25),1)</f>
        <v>-1.8</v>
      </c>
      <c r="AJ25" s="2042"/>
      <c r="AK25" s="2741">
        <f>ROUND(IF(AF25=0,1,AI25/ABS(AF25)),3)</f>
        <v>-0.58099999999999996</v>
      </c>
    </row>
    <row r="26" spans="1:37" ht="15" customHeight="1">
      <c r="A26" s="352"/>
      <c r="B26" s="2065" t="s">
        <v>1254</v>
      </c>
      <c r="C26" s="223"/>
      <c r="D26" s="3008">
        <v>-1595.9</v>
      </c>
      <c r="E26" s="1124"/>
      <c r="F26" s="1190"/>
      <c r="G26" s="1124"/>
      <c r="H26" s="1190"/>
      <c r="I26" s="223"/>
      <c r="J26" s="318"/>
      <c r="K26" s="223"/>
      <c r="L26" s="1190"/>
      <c r="M26" s="223"/>
      <c r="N26" s="261"/>
      <c r="O26" s="261"/>
      <c r="P26" s="261"/>
      <c r="Q26" s="261"/>
      <c r="R26" s="261"/>
      <c r="S26" s="261"/>
      <c r="T26" s="261"/>
      <c r="U26" s="261"/>
      <c r="V26" s="261"/>
      <c r="W26" s="261"/>
      <c r="X26" s="261"/>
      <c r="Y26" s="261"/>
      <c r="Z26" s="261"/>
      <c r="AA26" s="222"/>
      <c r="AB26" s="237"/>
      <c r="AC26" s="261">
        <f>ROUND(SUM(D26:Z26),1)</f>
        <v>-1595.9</v>
      </c>
      <c r="AD26" s="223"/>
      <c r="AE26" s="237"/>
      <c r="AF26" s="2571">
        <v>-1679.6</v>
      </c>
      <c r="AG26" s="222"/>
      <c r="AH26" s="467"/>
      <c r="AI26" s="1159">
        <f>-ROUND(SUM(+AC26-AF26),1)</f>
        <v>-83.7</v>
      </c>
      <c r="AJ26" s="2042"/>
      <c r="AK26" s="2741">
        <f>ROUND(IF(AF26=0,0,AI26/ABS(AF26)),3)</f>
        <v>-0.05</v>
      </c>
    </row>
    <row r="27" spans="1:37" ht="15" customHeight="1">
      <c r="A27" s="352"/>
      <c r="B27" s="1256" t="s">
        <v>1255</v>
      </c>
      <c r="C27" s="223"/>
      <c r="D27" s="2992">
        <v>-2752.5</v>
      </c>
      <c r="E27" s="1124"/>
      <c r="F27" s="1124"/>
      <c r="G27" s="1124"/>
      <c r="H27" s="1124"/>
      <c r="I27" s="223"/>
      <c r="J27" s="318"/>
      <c r="K27" s="223"/>
      <c r="L27" s="1124"/>
      <c r="M27" s="223"/>
      <c r="N27" s="261"/>
      <c r="O27" s="261"/>
      <c r="P27" s="261"/>
      <c r="Q27" s="261"/>
      <c r="R27" s="261"/>
      <c r="S27" s="261"/>
      <c r="T27" s="261"/>
      <c r="U27" s="261"/>
      <c r="V27" s="261"/>
      <c r="W27" s="261"/>
      <c r="X27" s="261"/>
      <c r="Y27" s="261"/>
      <c r="Z27" s="261"/>
      <c r="AA27" s="222"/>
      <c r="AB27" s="237"/>
      <c r="AC27" s="261">
        <f>ROUND(SUM(D27:Z27),1)</f>
        <v>-2752.5</v>
      </c>
      <c r="AD27" s="223"/>
      <c r="AE27" s="237"/>
      <c r="AF27" s="85">
        <v>-3242.2</v>
      </c>
      <c r="AG27" s="222"/>
      <c r="AH27" s="467"/>
      <c r="AI27" s="1159">
        <f>-ROUND(SUM(+AC27-AF27),1)</f>
        <v>-489.7</v>
      </c>
      <c r="AJ27" s="2042"/>
      <c r="AK27" s="2741">
        <f>ROUND(IF(AF27=0,0,AI27/ABS(AF27)),3)</f>
        <v>-0.151</v>
      </c>
    </row>
    <row r="28" spans="1:37" ht="15" customHeight="1">
      <c r="A28" s="352"/>
      <c r="B28" s="588" t="s">
        <v>1252</v>
      </c>
      <c r="C28" s="222"/>
      <c r="D28" s="483">
        <f>ROUND(SUM(D24:D27),1)</f>
        <v>4786.5</v>
      </c>
      <c r="E28" s="261"/>
      <c r="F28" s="483">
        <f>ROUND(SUM(F24+F25+F26+F27),1)</f>
        <v>0</v>
      </c>
      <c r="G28" s="261"/>
      <c r="H28" s="483">
        <f>ROUND(SUM(H24+H25+H26+H27),1)</f>
        <v>0</v>
      </c>
      <c r="I28" s="261"/>
      <c r="J28" s="1269">
        <f>ROUND(SUM(J24+J25+J26+J27),1)</f>
        <v>0</v>
      </c>
      <c r="K28" s="261"/>
      <c r="L28" s="483">
        <f>ROUND(SUM(L24+L25+L26+L27),1)</f>
        <v>0</v>
      </c>
      <c r="M28" s="261"/>
      <c r="N28" s="483">
        <f>ROUND(SUM(N24+N25+N26+N27),1)</f>
        <v>0</v>
      </c>
      <c r="O28" s="261"/>
      <c r="P28" s="483">
        <f>ROUND(SUM(P24+P25+P26+P27),1)</f>
        <v>0</v>
      </c>
      <c r="Q28" s="261"/>
      <c r="R28" s="483">
        <f>ROUND(SUM(R24+R25+R26+R27),1)</f>
        <v>0</v>
      </c>
      <c r="S28" s="261"/>
      <c r="T28" s="483">
        <f>ROUND(SUM(T24+T25+T26+T27),1)</f>
        <v>0</v>
      </c>
      <c r="U28" s="261"/>
      <c r="V28" s="483">
        <f>ROUND(SUM(V24+V25+V26+V27),1)</f>
        <v>0</v>
      </c>
      <c r="W28" s="261"/>
      <c r="X28" s="483">
        <f>ROUND(SUM(X24+X25+X26+X27),1)</f>
        <v>0</v>
      </c>
      <c r="Y28" s="261"/>
      <c r="Z28" s="483">
        <f>ROUND(SUM(Z24+Z25+Z26+Z27),1)</f>
        <v>0</v>
      </c>
      <c r="AA28" s="367"/>
      <c r="AB28" s="237"/>
      <c r="AC28" s="483">
        <f>ROUND(SUM(AC24+AC25+AC26+AC27),1)</f>
        <v>4786.5</v>
      </c>
      <c r="AD28" s="261"/>
      <c r="AE28" s="250"/>
      <c r="AF28" s="1269">
        <f>ROUND(SUM(AF24+AF25+AF26+AF27),1)</f>
        <v>5035.7</v>
      </c>
      <c r="AG28" s="261"/>
      <c r="AH28" s="1262"/>
      <c r="AI28" s="483">
        <f>ROUND(SUM(AI24-AI25-AI26-AI27),1)</f>
        <v>-249.2</v>
      </c>
      <c r="AJ28" s="1860"/>
      <c r="AK28" s="2053">
        <f>ROUND(SUM(+AI28/AF28),3)</f>
        <v>-4.9000000000000002E-2</v>
      </c>
    </row>
    <row r="29" spans="1:37" ht="15" customHeight="1">
      <c r="A29" s="352"/>
      <c r="B29" s="2027" t="s">
        <v>1309</v>
      </c>
      <c r="C29" s="222"/>
      <c r="D29" s="273"/>
      <c r="E29" s="261"/>
      <c r="F29" s="273"/>
      <c r="G29" s="261"/>
      <c r="H29" s="273"/>
      <c r="I29" s="261"/>
      <c r="J29" s="315"/>
      <c r="K29" s="261"/>
      <c r="L29" s="273"/>
      <c r="M29" s="261"/>
      <c r="N29" s="273"/>
      <c r="O29" s="261"/>
      <c r="P29" s="273"/>
      <c r="Q29" s="261"/>
      <c r="R29" s="273"/>
      <c r="S29" s="261"/>
      <c r="T29" s="273"/>
      <c r="U29" s="261"/>
      <c r="V29" s="273"/>
      <c r="W29" s="261"/>
      <c r="X29" s="273"/>
      <c r="Y29" s="261"/>
      <c r="Z29" s="273"/>
      <c r="AA29" s="367"/>
      <c r="AB29" s="237"/>
      <c r="AC29" s="273"/>
      <c r="AD29" s="261"/>
      <c r="AE29" s="250"/>
      <c r="AF29" s="315"/>
      <c r="AG29" s="261"/>
      <c r="AH29" s="1262"/>
      <c r="AI29" s="273"/>
      <c r="AJ29" s="1860"/>
      <c r="AK29" s="2025"/>
    </row>
    <row r="30" spans="1:37" ht="15" customHeight="1">
      <c r="A30" s="352"/>
      <c r="B30" s="1256" t="s">
        <v>1258</v>
      </c>
      <c r="C30" s="222"/>
      <c r="D30" s="1124">
        <v>497.9</v>
      </c>
      <c r="E30" s="1124"/>
      <c r="F30" s="1124"/>
      <c r="G30" s="1124"/>
      <c r="H30" s="1124"/>
      <c r="I30" s="261"/>
      <c r="J30" s="1996"/>
      <c r="K30" s="261"/>
      <c r="L30" s="1124"/>
      <c r="M30" s="261"/>
      <c r="N30" s="1860"/>
      <c r="O30" s="261"/>
      <c r="P30" s="1860"/>
      <c r="Q30" s="1159"/>
      <c r="R30" s="1860"/>
      <c r="S30" s="1159"/>
      <c r="T30" s="1860"/>
      <c r="U30" s="1159"/>
      <c r="V30" s="1860"/>
      <c r="W30" s="1159"/>
      <c r="X30" s="1860"/>
      <c r="Y30" s="1159"/>
      <c r="Z30" s="1860"/>
      <c r="AA30" s="367"/>
      <c r="AB30" s="237"/>
      <c r="AC30" s="261">
        <f t="shared" ref="AC30:AC36" si="0">ROUND(SUM(D30:Z30),1)</f>
        <v>497.9</v>
      </c>
      <c r="AD30" s="261"/>
      <c r="AE30" s="250"/>
      <c r="AF30" s="85">
        <v>475.2</v>
      </c>
      <c r="AG30" s="261"/>
      <c r="AH30" s="1262"/>
      <c r="AI30" s="1159">
        <f t="shared" ref="AI30:AI36" si="1">ROUND(SUM(+AC30-AF30),1)</f>
        <v>22.7</v>
      </c>
      <c r="AJ30" s="1860"/>
      <c r="AK30" s="1816">
        <f t="shared" ref="AK30:AK36" si="2">ROUND(IF(AF30=0,0,AI30/ABS(AF30)),3)</f>
        <v>4.8000000000000001E-2</v>
      </c>
    </row>
    <row r="31" spans="1:37" ht="15" customHeight="1">
      <c r="A31" s="352"/>
      <c r="B31" s="1256" t="s">
        <v>1259</v>
      </c>
      <c r="C31" s="222"/>
      <c r="D31" s="1190">
        <v>0</v>
      </c>
      <c r="E31" s="1124"/>
      <c r="F31" s="1190"/>
      <c r="G31" s="1124"/>
      <c r="H31" s="1190"/>
      <c r="I31" s="261"/>
      <c r="J31" s="1996"/>
      <c r="K31" s="261"/>
      <c r="L31" s="1190"/>
      <c r="M31" s="261"/>
      <c r="N31" s="1860"/>
      <c r="O31" s="261"/>
      <c r="P31" s="1860"/>
      <c r="Q31" s="1159"/>
      <c r="R31" s="1860"/>
      <c r="S31" s="1159"/>
      <c r="T31" s="1860"/>
      <c r="U31" s="1159"/>
      <c r="V31" s="1860"/>
      <c r="W31" s="1159"/>
      <c r="X31" s="1860"/>
      <c r="Y31" s="1159"/>
      <c r="Z31" s="1860"/>
      <c r="AA31" s="367"/>
      <c r="AB31" s="237"/>
      <c r="AC31" s="261">
        <f t="shared" si="0"/>
        <v>0</v>
      </c>
      <c r="AD31" s="261"/>
      <c r="AE31" s="250"/>
      <c r="AF31" s="2572">
        <v>0</v>
      </c>
      <c r="AG31" s="261"/>
      <c r="AH31" s="1262"/>
      <c r="AI31" s="1159">
        <f t="shared" si="1"/>
        <v>0</v>
      </c>
      <c r="AJ31" s="1860"/>
      <c r="AK31" s="1816">
        <f t="shared" si="2"/>
        <v>0</v>
      </c>
    </row>
    <row r="32" spans="1:37" ht="15" customHeight="1">
      <c r="A32" s="352"/>
      <c r="B32" s="1256" t="s">
        <v>1260</v>
      </c>
      <c r="C32" s="222"/>
      <c r="D32" s="1124">
        <v>28.7</v>
      </c>
      <c r="E32" s="1124"/>
      <c r="F32" s="1124"/>
      <c r="G32" s="1124"/>
      <c r="H32" s="1124"/>
      <c r="I32" s="261"/>
      <c r="J32" s="1996"/>
      <c r="K32" s="261"/>
      <c r="L32" s="1124"/>
      <c r="M32" s="261"/>
      <c r="N32" s="1860"/>
      <c r="O32" s="261"/>
      <c r="P32" s="1860"/>
      <c r="Q32" s="1159"/>
      <c r="R32" s="1860"/>
      <c r="S32" s="1159"/>
      <c r="T32" s="1860"/>
      <c r="U32" s="1159"/>
      <c r="V32" s="1860"/>
      <c r="W32" s="1159"/>
      <c r="X32" s="1860"/>
      <c r="Y32" s="1159"/>
      <c r="Z32" s="1860"/>
      <c r="AA32" s="367"/>
      <c r="AB32" s="237"/>
      <c r="AC32" s="261">
        <f t="shared" si="0"/>
        <v>28.7</v>
      </c>
      <c r="AD32" s="261"/>
      <c r="AE32" s="250"/>
      <c r="AF32" s="85">
        <v>11.9</v>
      </c>
      <c r="AG32" s="261"/>
      <c r="AH32" s="1262"/>
      <c r="AI32" s="1159">
        <f t="shared" si="1"/>
        <v>16.8</v>
      </c>
      <c r="AJ32" s="1860"/>
      <c r="AK32" s="1816">
        <f t="shared" si="2"/>
        <v>1.4119999999999999</v>
      </c>
    </row>
    <row r="33" spans="1:37" ht="15" customHeight="1">
      <c r="A33" s="352"/>
      <c r="B33" s="1256" t="s">
        <v>1261</v>
      </c>
      <c r="C33" s="222"/>
      <c r="D33" s="1190">
        <v>0</v>
      </c>
      <c r="E33" s="1124"/>
      <c r="F33" s="1190"/>
      <c r="G33" s="1124"/>
      <c r="H33" s="1190"/>
      <c r="I33" s="261"/>
      <c r="J33" s="1996"/>
      <c r="K33" s="261"/>
      <c r="L33" s="1190"/>
      <c r="M33" s="261"/>
      <c r="N33" s="1860"/>
      <c r="O33" s="261"/>
      <c r="P33" s="1860"/>
      <c r="Q33" s="1159"/>
      <c r="R33" s="1860"/>
      <c r="S33" s="1159"/>
      <c r="T33" s="1860"/>
      <c r="U33" s="1159"/>
      <c r="V33" s="1860"/>
      <c r="W33" s="1159"/>
      <c r="X33" s="1860"/>
      <c r="Y33" s="1159"/>
      <c r="Z33" s="1860"/>
      <c r="AA33" s="367"/>
      <c r="AB33" s="237"/>
      <c r="AC33" s="261">
        <f t="shared" si="0"/>
        <v>0</v>
      </c>
      <c r="AD33" s="261"/>
      <c r="AE33" s="250"/>
      <c r="AF33" s="2572">
        <v>0</v>
      </c>
      <c r="AG33" s="261"/>
      <c r="AH33" s="1262"/>
      <c r="AI33" s="1159">
        <f t="shared" si="1"/>
        <v>0</v>
      </c>
      <c r="AJ33" s="1860"/>
      <c r="AK33" s="1816">
        <f t="shared" si="2"/>
        <v>0</v>
      </c>
    </row>
    <row r="34" spans="1:37" ht="15" customHeight="1">
      <c r="A34" s="352"/>
      <c r="B34" s="1256" t="s">
        <v>1262</v>
      </c>
      <c r="C34" s="222"/>
      <c r="D34" s="2992">
        <v>20.399999999999999</v>
      </c>
      <c r="E34" s="1124"/>
      <c r="F34" s="1124"/>
      <c r="G34" s="1124"/>
      <c r="H34" s="1124"/>
      <c r="I34" s="261"/>
      <c r="J34" s="1996"/>
      <c r="K34" s="261"/>
      <c r="L34" s="1124"/>
      <c r="M34" s="261"/>
      <c r="N34" s="1860"/>
      <c r="O34" s="261"/>
      <c r="P34" s="1860"/>
      <c r="Q34" s="1159"/>
      <c r="R34" s="1860"/>
      <c r="S34" s="1159"/>
      <c r="T34" s="1860"/>
      <c r="U34" s="1159"/>
      <c r="V34" s="1860"/>
      <c r="W34" s="1159"/>
      <c r="X34" s="1860"/>
      <c r="Y34" s="1159"/>
      <c r="Z34" s="1860"/>
      <c r="AA34" s="367"/>
      <c r="AB34" s="237"/>
      <c r="AC34" s="261">
        <f t="shared" si="0"/>
        <v>20.399999999999999</v>
      </c>
      <c r="AD34" s="261"/>
      <c r="AE34" s="250"/>
      <c r="AF34" s="85">
        <v>19.899999999999999</v>
      </c>
      <c r="AG34" s="261"/>
      <c r="AH34" s="1262"/>
      <c r="AI34" s="1159">
        <f t="shared" si="1"/>
        <v>0.5</v>
      </c>
      <c r="AJ34" s="1860"/>
      <c r="AK34" s="1816">
        <f t="shared" si="2"/>
        <v>2.5000000000000001E-2</v>
      </c>
    </row>
    <row r="35" spans="1:37" ht="15" customHeight="1">
      <c r="A35" s="352"/>
      <c r="B35" s="1256" t="s">
        <v>1263</v>
      </c>
      <c r="C35" s="222"/>
      <c r="D35" s="1190">
        <v>0</v>
      </c>
      <c r="E35" s="1124"/>
      <c r="F35" s="1190"/>
      <c r="G35" s="1124"/>
      <c r="H35" s="1190"/>
      <c r="I35" s="261"/>
      <c r="J35" s="1996"/>
      <c r="K35" s="261"/>
      <c r="L35" s="1190"/>
      <c r="M35" s="261"/>
      <c r="N35" s="1860"/>
      <c r="O35" s="261"/>
      <c r="P35" s="1860"/>
      <c r="Q35" s="1159"/>
      <c r="R35" s="1860"/>
      <c r="S35" s="1159"/>
      <c r="T35" s="1860"/>
      <c r="U35" s="1159"/>
      <c r="V35" s="1860"/>
      <c r="W35" s="1159"/>
      <c r="X35" s="1860"/>
      <c r="Y35" s="1159"/>
      <c r="Z35" s="1860"/>
      <c r="AA35" s="367"/>
      <c r="AB35" s="237"/>
      <c r="AC35" s="261">
        <f t="shared" si="0"/>
        <v>0</v>
      </c>
      <c r="AD35" s="261"/>
      <c r="AE35" s="250"/>
      <c r="AF35" s="1996">
        <v>0</v>
      </c>
      <c r="AG35" s="261"/>
      <c r="AH35" s="1262"/>
      <c r="AI35" s="1159">
        <f t="shared" si="1"/>
        <v>0</v>
      </c>
      <c r="AJ35" s="1860"/>
      <c r="AK35" s="1816">
        <f t="shared" si="2"/>
        <v>0</v>
      </c>
    </row>
    <row r="36" spans="1:37" ht="15" customHeight="1">
      <c r="A36" s="352"/>
      <c r="B36" s="2066" t="s">
        <v>1264</v>
      </c>
      <c r="C36" s="222"/>
      <c r="D36" s="1190">
        <v>0</v>
      </c>
      <c r="E36" s="1124"/>
      <c r="F36" s="1190"/>
      <c r="G36" s="1124"/>
      <c r="H36" s="1190"/>
      <c r="I36" s="261"/>
      <c r="J36" s="1996"/>
      <c r="K36" s="261"/>
      <c r="L36" s="1190"/>
      <c r="M36" s="261"/>
      <c r="N36" s="1860"/>
      <c r="O36" s="261"/>
      <c r="P36" s="1860"/>
      <c r="Q36" s="1159"/>
      <c r="R36" s="1860"/>
      <c r="S36" s="1159"/>
      <c r="T36" s="1860"/>
      <c r="U36" s="1159"/>
      <c r="V36" s="1860"/>
      <c r="W36" s="1159"/>
      <c r="X36" s="1860"/>
      <c r="Y36" s="1159"/>
      <c r="Z36" s="1860"/>
      <c r="AA36" s="367"/>
      <c r="AB36" s="237"/>
      <c r="AC36" s="261">
        <f t="shared" si="0"/>
        <v>0</v>
      </c>
      <c r="AD36" s="261"/>
      <c r="AE36" s="250"/>
      <c r="AF36" s="1996">
        <v>0</v>
      </c>
      <c r="AG36" s="261"/>
      <c r="AH36" s="1262"/>
      <c r="AI36" s="1159">
        <f t="shared" si="1"/>
        <v>0</v>
      </c>
      <c r="AJ36" s="1860"/>
      <c r="AK36" s="1816">
        <f t="shared" si="2"/>
        <v>0</v>
      </c>
    </row>
    <row r="37" spans="1:37" s="421" customFormat="1" ht="15" customHeight="1">
      <c r="A37" s="2051"/>
      <c r="B37" s="588" t="s">
        <v>1257</v>
      </c>
      <c r="C37" s="412"/>
      <c r="D37" s="483">
        <f>ROUND(SUM(D30:D36),1)</f>
        <v>547</v>
      </c>
      <c r="E37" s="1838"/>
      <c r="F37" s="483">
        <f>ROUND(SUM(F30:F36),1)</f>
        <v>0</v>
      </c>
      <c r="G37" s="1838"/>
      <c r="H37" s="483">
        <f>ROUND(SUM(H30:H36),1)</f>
        <v>0</v>
      </c>
      <c r="I37" s="1838"/>
      <c r="J37" s="1269">
        <f>ROUND(SUM(J30:J36),1)</f>
        <v>0</v>
      </c>
      <c r="K37" s="1838"/>
      <c r="L37" s="483">
        <f>ROUND(SUM(L30:L36),1)</f>
        <v>0</v>
      </c>
      <c r="M37" s="1838"/>
      <c r="N37" s="483">
        <f>ROUND(SUM(N30:N36),1)</f>
        <v>0</v>
      </c>
      <c r="O37" s="1838"/>
      <c r="P37" s="483">
        <f>ROUND(SUM(P30:P36),1)</f>
        <v>0</v>
      </c>
      <c r="Q37" s="1838"/>
      <c r="R37" s="483">
        <f>ROUND(SUM(R30:R36),1)</f>
        <v>0</v>
      </c>
      <c r="S37" s="1838"/>
      <c r="T37" s="483">
        <f>ROUND(SUM(T30:T36),1)</f>
        <v>0</v>
      </c>
      <c r="U37" s="1838"/>
      <c r="V37" s="483">
        <f>ROUND(SUM(V30:V36),1)</f>
        <v>0</v>
      </c>
      <c r="W37" s="1838"/>
      <c r="X37" s="483">
        <f>ROUND(SUM(X30:X36),1)</f>
        <v>0</v>
      </c>
      <c r="Y37" s="1838"/>
      <c r="Z37" s="483">
        <f>ROUND(SUM(Z30:Z36),1)</f>
        <v>0</v>
      </c>
      <c r="AA37" s="409"/>
      <c r="AB37" s="484"/>
      <c r="AC37" s="483">
        <f>ROUND(SUM(AC30:AC36),1)</f>
        <v>547</v>
      </c>
      <c r="AD37" s="1838"/>
      <c r="AE37" s="259"/>
      <c r="AF37" s="1269">
        <f>ROUND(SUM(AF30:AF36),1)</f>
        <v>507</v>
      </c>
      <c r="AG37" s="1838"/>
      <c r="AH37" s="1264"/>
      <c r="AI37" s="483">
        <f>ROUND(SUM(AI30:AI36),1)</f>
        <v>40</v>
      </c>
      <c r="AJ37" s="273"/>
      <c r="AK37" s="2053">
        <f>ROUND(SUM(+AI37/AF37),3)</f>
        <v>7.9000000000000001E-2</v>
      </c>
    </row>
    <row r="38" spans="1:37" s="421" customFormat="1" ht="15" customHeight="1">
      <c r="A38" s="2051"/>
      <c r="B38" s="2027" t="s">
        <v>1310</v>
      </c>
      <c r="C38" s="412"/>
      <c r="D38" s="273"/>
      <c r="E38" s="1838"/>
      <c r="F38" s="273"/>
      <c r="G38" s="1838"/>
      <c r="H38" s="273"/>
      <c r="I38" s="1838"/>
      <c r="J38" s="1996"/>
      <c r="K38" s="1838"/>
      <c r="L38" s="273"/>
      <c r="M38" s="1838"/>
      <c r="N38" s="273"/>
      <c r="O38" s="1838"/>
      <c r="P38" s="273"/>
      <c r="Q38" s="1838"/>
      <c r="R38" s="273"/>
      <c r="S38" s="1838"/>
      <c r="T38" s="273"/>
      <c r="U38" s="1838"/>
      <c r="V38" s="273"/>
      <c r="W38" s="1838"/>
      <c r="X38" s="273"/>
      <c r="Y38" s="1838"/>
      <c r="Z38" s="273"/>
      <c r="AA38" s="409"/>
      <c r="AB38" s="484"/>
      <c r="AC38" s="273"/>
      <c r="AD38" s="1838"/>
      <c r="AE38" s="259"/>
      <c r="AF38" s="315"/>
      <c r="AG38" s="1838"/>
      <c r="AH38" s="1264"/>
      <c r="AI38" s="273"/>
      <c r="AJ38" s="273"/>
      <c r="AK38" s="2025"/>
    </row>
    <row r="39" spans="1:37" s="421" customFormat="1" ht="15" customHeight="1">
      <c r="A39" s="2051"/>
      <c r="B39" s="1256" t="s">
        <v>1266</v>
      </c>
      <c r="C39" s="412"/>
      <c r="D39" s="1124">
        <v>123.8</v>
      </c>
      <c r="E39" s="1124"/>
      <c r="F39" s="1124"/>
      <c r="G39" s="1124"/>
      <c r="H39" s="1124"/>
      <c r="I39" s="1838"/>
      <c r="J39" s="1996"/>
      <c r="K39" s="1838"/>
      <c r="L39" s="1124"/>
      <c r="M39" s="1838"/>
      <c r="N39" s="1860"/>
      <c r="O39" s="1838"/>
      <c r="P39" s="1860"/>
      <c r="Q39" s="1159"/>
      <c r="R39" s="1860"/>
      <c r="S39" s="1159"/>
      <c r="T39" s="1860"/>
      <c r="U39" s="1159"/>
      <c r="V39" s="1860"/>
      <c r="W39" s="1159"/>
      <c r="X39" s="1860"/>
      <c r="Y39" s="1159"/>
      <c r="Z39" s="1860"/>
      <c r="AA39" s="409"/>
      <c r="AB39" s="484"/>
      <c r="AC39" s="261">
        <f>ROUND(SUM(D39:Z39),1)</f>
        <v>123.8</v>
      </c>
      <c r="AD39" s="1838"/>
      <c r="AE39" s="259"/>
      <c r="AF39" s="85">
        <v>170.2</v>
      </c>
      <c r="AG39" s="1838"/>
      <c r="AH39" s="1264"/>
      <c r="AI39" s="1159">
        <f>ROUND(SUM(+AC39-AF39),1)</f>
        <v>-46.4</v>
      </c>
      <c r="AJ39" s="273"/>
      <c r="AK39" s="1816">
        <f>ROUND(IF(AF39=0,0,AI39/ABS(AF39)),3)</f>
        <v>-0.27300000000000002</v>
      </c>
    </row>
    <row r="40" spans="1:37" s="421" customFormat="1" ht="15" customHeight="1">
      <c r="A40" s="2051"/>
      <c r="B40" s="1256" t="s">
        <v>1267</v>
      </c>
      <c r="C40" s="412"/>
      <c r="D40" s="1124">
        <v>8.1</v>
      </c>
      <c r="E40" s="1124"/>
      <c r="F40" s="1124"/>
      <c r="G40" s="1124"/>
      <c r="H40" s="1124"/>
      <c r="I40" s="1838"/>
      <c r="J40" s="1996"/>
      <c r="K40" s="1838"/>
      <c r="L40" s="1124"/>
      <c r="M40" s="1838"/>
      <c r="N40" s="1860"/>
      <c r="O40" s="1838"/>
      <c r="P40" s="1860"/>
      <c r="Q40" s="1159"/>
      <c r="R40" s="1860"/>
      <c r="S40" s="1159"/>
      <c r="T40" s="1860"/>
      <c r="U40" s="1159"/>
      <c r="V40" s="1860"/>
      <c r="W40" s="1159"/>
      <c r="X40" s="1860"/>
      <c r="Y40" s="1159"/>
      <c r="Z40" s="1860"/>
      <c r="AA40" s="409"/>
      <c r="AB40" s="484"/>
      <c r="AC40" s="261">
        <f>ROUND(SUM(D40:Z40),1)</f>
        <v>8.1</v>
      </c>
      <c r="AD40" s="1838"/>
      <c r="AE40" s="259"/>
      <c r="AF40" s="85">
        <v>3.2</v>
      </c>
      <c r="AG40" s="1838"/>
      <c r="AH40" s="1264"/>
      <c r="AI40" s="1159">
        <f>ROUND(SUM(+AC40-AF40),1)</f>
        <v>4.9000000000000004</v>
      </c>
      <c r="AJ40" s="273"/>
      <c r="AK40" s="1816">
        <f>ROUND(IF(AF40=0,0,AI40/ABS(AF40)),3)</f>
        <v>1.5309999999999999</v>
      </c>
    </row>
    <row r="41" spans="1:37" s="421" customFormat="1" ht="15" customHeight="1">
      <c r="A41" s="2051"/>
      <c r="B41" s="1256" t="s">
        <v>1268</v>
      </c>
      <c r="C41" s="412"/>
      <c r="D41" s="1124">
        <v>18.2</v>
      </c>
      <c r="E41" s="1124"/>
      <c r="F41" s="1124"/>
      <c r="G41" s="1124"/>
      <c r="H41" s="1124"/>
      <c r="I41" s="1838"/>
      <c r="J41" s="1996"/>
      <c r="K41" s="1838"/>
      <c r="L41" s="1124"/>
      <c r="M41" s="1838"/>
      <c r="N41" s="1860"/>
      <c r="O41" s="1838"/>
      <c r="P41" s="1860"/>
      <c r="Q41" s="1159"/>
      <c r="R41" s="1860"/>
      <c r="S41" s="1159"/>
      <c r="T41" s="1860"/>
      <c r="U41" s="1159"/>
      <c r="V41" s="1860"/>
      <c r="W41" s="1159"/>
      <c r="X41" s="1860"/>
      <c r="Y41" s="1159"/>
      <c r="Z41" s="1860"/>
      <c r="AA41" s="409"/>
      <c r="AB41" s="484"/>
      <c r="AC41" s="261">
        <f>ROUND(SUM(D41:Z41),1)</f>
        <v>18.2</v>
      </c>
      <c r="AD41" s="1838"/>
      <c r="AE41" s="259"/>
      <c r="AF41" s="85">
        <v>6.3</v>
      </c>
      <c r="AG41" s="1838"/>
      <c r="AH41" s="1264"/>
      <c r="AI41" s="1159">
        <f>ROUND(SUM(+AC41-AF41),1)</f>
        <v>11.9</v>
      </c>
      <c r="AJ41" s="273"/>
      <c r="AK41" s="1816">
        <f>ROUND(IF(AF41=0,0,AI41/ABS(AF41)),3)</f>
        <v>1.889</v>
      </c>
    </row>
    <row r="42" spans="1:37" s="421" customFormat="1" ht="15" customHeight="1">
      <c r="A42" s="2051"/>
      <c r="B42" s="1256" t="s">
        <v>1269</v>
      </c>
      <c r="C42" s="412"/>
      <c r="D42" s="1124">
        <v>7.9</v>
      </c>
      <c r="E42" s="1124"/>
      <c r="F42" s="1124"/>
      <c r="G42" s="1124"/>
      <c r="H42" s="1124"/>
      <c r="I42" s="1838"/>
      <c r="J42" s="1996"/>
      <c r="K42" s="1838"/>
      <c r="L42" s="1124"/>
      <c r="M42" s="1838"/>
      <c r="N42" s="1860"/>
      <c r="O42" s="1838"/>
      <c r="P42" s="1860"/>
      <c r="Q42" s="1159"/>
      <c r="R42" s="1860"/>
      <c r="S42" s="1159"/>
      <c r="T42" s="1860"/>
      <c r="U42" s="1159"/>
      <c r="V42" s="1860"/>
      <c r="W42" s="1159"/>
      <c r="X42" s="1860"/>
      <c r="Y42" s="1159"/>
      <c r="Z42" s="1860"/>
      <c r="AA42" s="409"/>
      <c r="AB42" s="484"/>
      <c r="AC42" s="261">
        <f>ROUND(SUM(D42:Z42),1)</f>
        <v>7.9</v>
      </c>
      <c r="AD42" s="1838"/>
      <c r="AE42" s="259"/>
      <c r="AF42" s="85">
        <v>23.8</v>
      </c>
      <c r="AG42" s="1838"/>
      <c r="AH42" s="1264"/>
      <c r="AI42" s="1159">
        <f>ROUND(SUM(+AC42-AF42),1)</f>
        <v>-15.9</v>
      </c>
      <c r="AJ42" s="273"/>
      <c r="AK42" s="1816">
        <f>ROUND(IF(AF42=0,0,AI42/ABS(AF42)),3)</f>
        <v>-0.66800000000000004</v>
      </c>
    </row>
    <row r="43" spans="1:37" s="421" customFormat="1" ht="15" customHeight="1">
      <c r="A43" s="2051"/>
      <c r="B43" s="1256" t="s">
        <v>1270</v>
      </c>
      <c r="C43" s="412"/>
      <c r="D43" s="1190">
        <v>0</v>
      </c>
      <c r="E43" s="1124"/>
      <c r="F43" s="1190"/>
      <c r="G43" s="1124"/>
      <c r="H43" s="1190"/>
      <c r="I43" s="1838"/>
      <c r="J43" s="315"/>
      <c r="K43" s="1838"/>
      <c r="L43" s="1190"/>
      <c r="M43" s="1838"/>
      <c r="N43" s="1860"/>
      <c r="O43" s="1838"/>
      <c r="P43" s="1860"/>
      <c r="Q43" s="1159"/>
      <c r="R43" s="1860"/>
      <c r="S43" s="1159"/>
      <c r="T43" s="1860"/>
      <c r="U43" s="1159"/>
      <c r="V43" s="1860"/>
      <c r="W43" s="1159"/>
      <c r="X43" s="1860"/>
      <c r="Y43" s="1159"/>
      <c r="Z43" s="1860"/>
      <c r="AA43" s="409"/>
      <c r="AB43" s="484"/>
      <c r="AC43" s="261">
        <f>ROUND(SUM(D43:Z43),1)</f>
        <v>0</v>
      </c>
      <c r="AD43" s="1838"/>
      <c r="AE43" s="259"/>
      <c r="AF43" s="2573">
        <v>0</v>
      </c>
      <c r="AG43" s="1838"/>
      <c r="AH43" s="1264"/>
      <c r="AI43" s="1159">
        <f>ROUND(SUM(+AC43-AF43),1)</f>
        <v>0</v>
      </c>
      <c r="AJ43" s="273"/>
      <c r="AK43" s="1816">
        <f>ROUND(IF(AF43=0,0,AI43/ABS(AF43)),3)</f>
        <v>0</v>
      </c>
    </row>
    <row r="44" spans="1:37" s="421" customFormat="1" ht="15" customHeight="1">
      <c r="A44" s="2051"/>
      <c r="B44" s="588" t="s">
        <v>1265</v>
      </c>
      <c r="C44" s="412"/>
      <c r="D44" s="1269">
        <f>ROUND(SUM(D39:D43),1)</f>
        <v>158</v>
      </c>
      <c r="E44" s="1838"/>
      <c r="F44" s="1269">
        <f>ROUND(SUM(F39:F43),1)</f>
        <v>0</v>
      </c>
      <c r="G44" s="1838"/>
      <c r="H44" s="1269">
        <f>ROUND(SUM(H39:H43),1)</f>
        <v>0</v>
      </c>
      <c r="I44" s="1838"/>
      <c r="J44" s="1269">
        <f>ROUND(SUM(J39:J43),1)</f>
        <v>0</v>
      </c>
      <c r="K44" s="1838"/>
      <c r="L44" s="1269">
        <f>ROUND(SUM(L39:L43),1)</f>
        <v>0</v>
      </c>
      <c r="M44" s="1838"/>
      <c r="N44" s="1269">
        <f>ROUND(SUM(N39:N43),1)</f>
        <v>0</v>
      </c>
      <c r="O44" s="1838"/>
      <c r="P44" s="1269">
        <f>ROUND(SUM(P39:P43),1)</f>
        <v>0</v>
      </c>
      <c r="Q44" s="1838"/>
      <c r="R44" s="1269">
        <f>ROUND(SUM(R39:R43),1)</f>
        <v>0</v>
      </c>
      <c r="S44" s="1838"/>
      <c r="T44" s="1269">
        <f>ROUND(SUM(T39:T43),1)</f>
        <v>0</v>
      </c>
      <c r="U44" s="1838"/>
      <c r="V44" s="1269">
        <f>ROUND(SUM(V39:V43),1)</f>
        <v>0</v>
      </c>
      <c r="W44" s="1838"/>
      <c r="X44" s="1269">
        <f>ROUND(SUM(X39:X43),1)</f>
        <v>0</v>
      </c>
      <c r="Y44" s="1838"/>
      <c r="Z44" s="1269">
        <f>ROUND(SUM(Z39:Z43),1)</f>
        <v>0</v>
      </c>
      <c r="AA44" s="409"/>
      <c r="AB44" s="484"/>
      <c r="AC44" s="1269">
        <f>ROUND(SUM(AC39:AC43),1)</f>
        <v>158</v>
      </c>
      <c r="AD44" s="1838"/>
      <c r="AE44" s="259"/>
      <c r="AF44" s="1269">
        <f>ROUND(SUM(AF39:AF43),1)</f>
        <v>203.5</v>
      </c>
      <c r="AG44" s="1838"/>
      <c r="AH44" s="1264"/>
      <c r="AI44" s="1269">
        <f>ROUND(SUM(AI39:AI43),1)</f>
        <v>-45.5</v>
      </c>
      <c r="AJ44" s="273"/>
      <c r="AK44" s="2053">
        <f>ROUND(SUM(+AI44/AF44),3)</f>
        <v>-0.224</v>
      </c>
    </row>
    <row r="45" spans="1:37" s="421" customFormat="1" ht="15" customHeight="1">
      <c r="A45" s="2051"/>
      <c r="B45" s="2027" t="s">
        <v>1311</v>
      </c>
      <c r="C45" s="412"/>
      <c r="D45" s="273"/>
      <c r="E45" s="1838"/>
      <c r="F45" s="273"/>
      <c r="G45" s="1838"/>
      <c r="H45" s="273"/>
      <c r="I45" s="1838"/>
      <c r="J45" s="315"/>
      <c r="K45" s="1838"/>
      <c r="L45" s="273"/>
      <c r="M45" s="1838"/>
      <c r="N45" s="273"/>
      <c r="O45" s="1838"/>
      <c r="P45" s="273"/>
      <c r="Q45" s="1838"/>
      <c r="R45" s="273"/>
      <c r="S45" s="1838"/>
      <c r="T45" s="273"/>
      <c r="U45" s="1838"/>
      <c r="V45" s="273"/>
      <c r="W45" s="1838"/>
      <c r="X45" s="273"/>
      <c r="Y45" s="1838"/>
      <c r="Z45" s="273"/>
      <c r="AA45" s="409"/>
      <c r="AB45" s="484"/>
      <c r="AC45" s="273"/>
      <c r="AD45" s="1838"/>
      <c r="AE45" s="259"/>
      <c r="AF45" s="315"/>
      <c r="AG45" s="1838"/>
      <c r="AH45" s="1264"/>
      <c r="AI45" s="273"/>
      <c r="AJ45" s="273"/>
      <c r="AK45" s="2025"/>
    </row>
    <row r="46" spans="1:37" s="421" customFormat="1" ht="15" customHeight="1">
      <c r="A46" s="2051"/>
      <c r="B46" s="1256" t="s">
        <v>1273</v>
      </c>
      <c r="C46" s="412"/>
      <c r="D46" s="1190">
        <v>0</v>
      </c>
      <c r="E46" s="1124"/>
      <c r="F46" s="1190"/>
      <c r="G46" s="1124"/>
      <c r="H46" s="1190"/>
      <c r="I46" s="1838"/>
      <c r="J46" s="315"/>
      <c r="K46" s="1838"/>
      <c r="L46" s="1190"/>
      <c r="M46" s="1838"/>
      <c r="N46" s="1860"/>
      <c r="O46" s="1838"/>
      <c r="P46" s="273"/>
      <c r="Q46" s="1838"/>
      <c r="R46" s="1860"/>
      <c r="S46" s="1838"/>
      <c r="T46" s="1860"/>
      <c r="U46" s="2993"/>
      <c r="V46" s="1860"/>
      <c r="W46" s="2993"/>
      <c r="X46" s="1860"/>
      <c r="Y46" s="2993"/>
      <c r="Z46" s="1860"/>
      <c r="AA46" s="409"/>
      <c r="AB46" s="484"/>
      <c r="AC46" s="261">
        <f t="shared" ref="AC46:AC51" si="3">ROUND(SUM(D46:Z46),1)</f>
        <v>0</v>
      </c>
      <c r="AD46" s="1838"/>
      <c r="AE46" s="259"/>
      <c r="AF46" s="2572">
        <v>0</v>
      </c>
      <c r="AG46" s="1838"/>
      <c r="AH46" s="1264"/>
      <c r="AI46" s="1159">
        <f t="shared" ref="AI46:AI51" si="4">ROUND(SUM(+AC46-AF46),1)</f>
        <v>0</v>
      </c>
      <c r="AJ46" s="273"/>
      <c r="AK46" s="2741">
        <f t="shared" ref="AK46:AK51" si="5">ROUND(IF(AF46=0,0,AI46/ABS(AF46)),3)</f>
        <v>0</v>
      </c>
    </row>
    <row r="47" spans="1:37" s="421" customFormat="1" ht="15" customHeight="1">
      <c r="A47" s="2051"/>
      <c r="B47" s="1256" t="s">
        <v>1274</v>
      </c>
      <c r="C47" s="412"/>
      <c r="D47" s="1124">
        <v>74.900000000000006</v>
      </c>
      <c r="E47" s="1124"/>
      <c r="F47" s="1124"/>
      <c r="G47" s="1124"/>
      <c r="H47" s="1124"/>
      <c r="I47" s="1838"/>
      <c r="J47" s="1996"/>
      <c r="K47" s="1838"/>
      <c r="L47" s="1124"/>
      <c r="M47" s="1838"/>
      <c r="N47" s="1860"/>
      <c r="O47" s="1838"/>
      <c r="P47" s="1860"/>
      <c r="Q47" s="1838"/>
      <c r="R47" s="1860"/>
      <c r="S47" s="1159"/>
      <c r="T47" s="1860"/>
      <c r="U47" s="1159"/>
      <c r="V47" s="1860"/>
      <c r="W47" s="1159"/>
      <c r="X47" s="1860"/>
      <c r="Y47" s="1159"/>
      <c r="Z47" s="1860"/>
      <c r="AA47" s="409"/>
      <c r="AB47" s="484"/>
      <c r="AC47" s="261">
        <f t="shared" si="3"/>
        <v>74.900000000000006</v>
      </c>
      <c r="AD47" s="1838"/>
      <c r="AE47" s="259"/>
      <c r="AF47" s="85">
        <v>148.9</v>
      </c>
      <c r="AG47" s="1838"/>
      <c r="AH47" s="1264"/>
      <c r="AI47" s="1159">
        <f t="shared" si="4"/>
        <v>-74</v>
      </c>
      <c r="AJ47" s="273"/>
      <c r="AK47" s="1816">
        <f t="shared" si="5"/>
        <v>-0.497</v>
      </c>
    </row>
    <row r="48" spans="1:37" s="421" customFormat="1" ht="15" customHeight="1">
      <c r="A48" s="2051"/>
      <c r="B48" s="1256" t="s">
        <v>1275</v>
      </c>
      <c r="C48" s="412"/>
      <c r="D48" s="1124">
        <v>0.7</v>
      </c>
      <c r="E48" s="1124"/>
      <c r="F48" s="1124"/>
      <c r="G48" s="1124"/>
      <c r="H48" s="1124"/>
      <c r="I48" s="1838"/>
      <c r="J48" s="1996"/>
      <c r="K48" s="1838"/>
      <c r="L48" s="1124"/>
      <c r="M48" s="1838"/>
      <c r="N48" s="1860"/>
      <c r="O48" s="1838"/>
      <c r="P48" s="1860"/>
      <c r="Q48" s="1838"/>
      <c r="R48" s="1860"/>
      <c r="S48" s="1159"/>
      <c r="T48" s="1860"/>
      <c r="U48" s="1159"/>
      <c r="V48" s="1860"/>
      <c r="W48" s="1159"/>
      <c r="X48" s="1860"/>
      <c r="Y48" s="1159"/>
      <c r="Z48" s="1860"/>
      <c r="AA48" s="409"/>
      <c r="AB48" s="484"/>
      <c r="AC48" s="261">
        <f t="shared" si="3"/>
        <v>0.7</v>
      </c>
      <c r="AD48" s="1838"/>
      <c r="AE48" s="259"/>
      <c r="AF48" s="85">
        <v>0.9</v>
      </c>
      <c r="AG48" s="1838"/>
      <c r="AH48" s="1264"/>
      <c r="AI48" s="1159">
        <f t="shared" si="4"/>
        <v>-0.2</v>
      </c>
      <c r="AJ48" s="273"/>
      <c r="AK48" s="1816">
        <f t="shared" si="5"/>
        <v>-0.222</v>
      </c>
    </row>
    <row r="49" spans="1:37" s="421" customFormat="1" ht="15" customHeight="1">
      <c r="A49" s="2051"/>
      <c r="B49" s="1256" t="s">
        <v>1276</v>
      </c>
      <c r="C49" s="412"/>
      <c r="D49" s="1190">
        <v>0</v>
      </c>
      <c r="E49" s="1124"/>
      <c r="F49" s="1190"/>
      <c r="G49" s="1124"/>
      <c r="H49" s="1190"/>
      <c r="I49" s="1838"/>
      <c r="J49" s="1996"/>
      <c r="K49" s="1838"/>
      <c r="L49" s="1190"/>
      <c r="M49" s="1838"/>
      <c r="N49" s="1860"/>
      <c r="O49" s="1838"/>
      <c r="P49" s="1860"/>
      <c r="Q49" s="1838"/>
      <c r="R49" s="1860"/>
      <c r="S49" s="1838"/>
      <c r="T49" s="1860"/>
      <c r="U49" s="2993"/>
      <c r="V49" s="1860"/>
      <c r="W49" s="2993"/>
      <c r="X49" s="1860"/>
      <c r="Y49" s="2993"/>
      <c r="Z49" s="1860"/>
      <c r="AA49" s="409"/>
      <c r="AB49" s="484"/>
      <c r="AC49" s="261">
        <f t="shared" si="3"/>
        <v>0</v>
      </c>
      <c r="AD49" s="1838"/>
      <c r="AE49" s="259"/>
      <c r="AF49" s="2572">
        <v>0</v>
      </c>
      <c r="AG49" s="1838"/>
      <c r="AH49" s="1264"/>
      <c r="AI49" s="1159">
        <f t="shared" si="4"/>
        <v>0</v>
      </c>
      <c r="AJ49" s="273"/>
      <c r="AK49" s="2741">
        <f t="shared" si="5"/>
        <v>0</v>
      </c>
    </row>
    <row r="50" spans="1:37" s="421" customFormat="1" ht="15" customHeight="1">
      <c r="A50" s="2051"/>
      <c r="B50" s="1256" t="s">
        <v>1277</v>
      </c>
      <c r="C50" s="412"/>
      <c r="D50" s="1190">
        <v>0</v>
      </c>
      <c r="E50" s="1124"/>
      <c r="F50" s="1190"/>
      <c r="G50" s="1124"/>
      <c r="H50" s="1190"/>
      <c r="I50" s="1838"/>
      <c r="J50" s="1996"/>
      <c r="K50" s="1838"/>
      <c r="L50" s="1190"/>
      <c r="M50" s="1838"/>
      <c r="N50" s="1860"/>
      <c r="O50" s="1838"/>
      <c r="P50" s="1860"/>
      <c r="Q50" s="1838"/>
      <c r="R50" s="1860"/>
      <c r="S50" s="1838"/>
      <c r="T50" s="1860"/>
      <c r="U50" s="1159"/>
      <c r="V50" s="1860"/>
      <c r="W50" s="1159"/>
      <c r="X50" s="1860"/>
      <c r="Y50" s="1838"/>
      <c r="Z50" s="1860"/>
      <c r="AA50" s="409"/>
      <c r="AB50" s="484"/>
      <c r="AC50" s="261">
        <f t="shared" si="3"/>
        <v>0</v>
      </c>
      <c r="AD50" s="1838"/>
      <c r="AE50" s="259"/>
      <c r="AF50" s="2574">
        <v>0</v>
      </c>
      <c r="AG50" s="1838"/>
      <c r="AH50" s="1264"/>
      <c r="AI50" s="1159">
        <f t="shared" si="4"/>
        <v>0</v>
      </c>
      <c r="AJ50" s="273"/>
      <c r="AK50" s="1816">
        <f t="shared" si="5"/>
        <v>0</v>
      </c>
    </row>
    <row r="51" spans="1:37" s="421" customFormat="1" ht="15" customHeight="1">
      <c r="A51" s="2051"/>
      <c r="B51" s="2066" t="s">
        <v>1382</v>
      </c>
      <c r="C51" s="412"/>
      <c r="D51" s="1190">
        <v>0</v>
      </c>
      <c r="E51" s="1124"/>
      <c r="F51" s="1190"/>
      <c r="G51" s="1124"/>
      <c r="H51" s="1190"/>
      <c r="I51" s="1838"/>
      <c r="J51" s="1996"/>
      <c r="K51" s="1838"/>
      <c r="L51" s="1190"/>
      <c r="M51" s="1838"/>
      <c r="N51" s="1860"/>
      <c r="O51" s="1838"/>
      <c r="P51" s="1860"/>
      <c r="Q51" s="1838"/>
      <c r="R51" s="1860"/>
      <c r="S51" s="1838"/>
      <c r="T51" s="1860"/>
      <c r="U51" s="2993"/>
      <c r="V51" s="1860"/>
      <c r="W51" s="2993"/>
      <c r="X51" s="1860"/>
      <c r="Y51" s="2993"/>
      <c r="Z51" s="1860"/>
      <c r="AA51" s="409"/>
      <c r="AB51" s="484"/>
      <c r="AC51" s="261">
        <f t="shared" si="3"/>
        <v>0</v>
      </c>
      <c r="AD51" s="1838"/>
      <c r="AE51" s="259"/>
      <c r="AF51" s="2573">
        <v>0</v>
      </c>
      <c r="AG51" s="1838"/>
      <c r="AH51" s="1264"/>
      <c r="AI51" s="1159">
        <f t="shared" si="4"/>
        <v>0</v>
      </c>
      <c r="AJ51" s="273"/>
      <c r="AK51" s="1816">
        <f t="shared" si="5"/>
        <v>0</v>
      </c>
    </row>
    <row r="52" spans="1:37" s="421" customFormat="1" ht="15" customHeight="1">
      <c r="A52" s="2051"/>
      <c r="B52" s="588" t="s">
        <v>1271</v>
      </c>
      <c r="C52" s="412"/>
      <c r="D52" s="1269">
        <f>ROUND(SUM(D46:D51),1)</f>
        <v>75.599999999999994</v>
      </c>
      <c r="E52" s="1838"/>
      <c r="F52" s="1269">
        <f>ROUND(SUM(F46:F51),1)</f>
        <v>0</v>
      </c>
      <c r="G52" s="1838"/>
      <c r="H52" s="1269">
        <f>ROUND(SUM(H46:H51),1)</f>
        <v>0</v>
      </c>
      <c r="I52" s="1838"/>
      <c r="J52" s="1269">
        <f>ROUND(SUM(J46:J51),1)</f>
        <v>0</v>
      </c>
      <c r="K52" s="1838"/>
      <c r="L52" s="1269">
        <f>ROUND(SUM(L46:L51),1)</f>
        <v>0</v>
      </c>
      <c r="M52" s="1838"/>
      <c r="N52" s="1269">
        <f>ROUND(SUM(N46:N51),1)</f>
        <v>0</v>
      </c>
      <c r="O52" s="1838"/>
      <c r="P52" s="1269">
        <f>ROUND(SUM(P46:P51),1)</f>
        <v>0</v>
      </c>
      <c r="Q52" s="1838"/>
      <c r="R52" s="1269">
        <f>ROUND(SUM(R46:R51),1)</f>
        <v>0</v>
      </c>
      <c r="S52" s="1838"/>
      <c r="T52" s="1269">
        <f>ROUND(SUM(T46:T51),1)</f>
        <v>0</v>
      </c>
      <c r="U52" s="1838"/>
      <c r="V52" s="1269">
        <f>ROUND(SUM(V46:V51),1)</f>
        <v>0</v>
      </c>
      <c r="W52" s="1838"/>
      <c r="X52" s="1269">
        <f>ROUND(SUM(X46:X51),1)</f>
        <v>0</v>
      </c>
      <c r="Y52" s="1838"/>
      <c r="Z52" s="1269">
        <f>ROUND(SUM(Z46:Z51),1)</f>
        <v>0</v>
      </c>
      <c r="AA52" s="409"/>
      <c r="AB52" s="484"/>
      <c r="AC52" s="1269">
        <f>ROUND(SUM(AC46:AC51),1)</f>
        <v>75.599999999999994</v>
      </c>
      <c r="AD52" s="1838"/>
      <c r="AE52" s="259"/>
      <c r="AF52" s="1269">
        <f>ROUND(SUM(AF46:AF51),1)</f>
        <v>149.80000000000001</v>
      </c>
      <c r="AG52" s="1838"/>
      <c r="AH52" s="1264"/>
      <c r="AI52" s="1269">
        <f>ROUND(SUM(AI46:AI51),1)</f>
        <v>-74.2</v>
      </c>
      <c r="AJ52" s="273"/>
      <c r="AK52" s="2053">
        <f>ROUND(SUM(+AI52/AF52),3)</f>
        <v>-0.495</v>
      </c>
    </row>
    <row r="53" spans="1:37" s="421" customFormat="1" ht="15" customHeight="1">
      <c r="A53" s="2051"/>
      <c r="B53" s="588"/>
      <c r="C53" s="412"/>
      <c r="D53" s="273"/>
      <c r="E53" s="1838"/>
      <c r="F53" s="273"/>
      <c r="G53" s="273"/>
      <c r="H53" s="273"/>
      <c r="I53" s="273"/>
      <c r="J53" s="315"/>
      <c r="K53" s="273"/>
      <c r="L53" s="273"/>
      <c r="M53" s="273"/>
      <c r="N53" s="273"/>
      <c r="O53" s="273"/>
      <c r="P53" s="273"/>
      <c r="Q53" s="273"/>
      <c r="R53" s="273"/>
      <c r="S53" s="273"/>
      <c r="T53" s="273"/>
      <c r="U53" s="273"/>
      <c r="V53" s="273"/>
      <c r="W53" s="273"/>
      <c r="X53" s="315"/>
      <c r="Y53" s="273"/>
      <c r="Z53" s="273"/>
      <c r="AA53" s="409"/>
      <c r="AB53" s="484"/>
      <c r="AC53" s="273"/>
      <c r="AD53" s="1838"/>
      <c r="AE53" s="259"/>
      <c r="AF53" s="315"/>
      <c r="AG53" s="1838"/>
      <c r="AH53" s="1264"/>
      <c r="AI53" s="273"/>
      <c r="AJ53" s="273"/>
      <c r="AK53" s="2025"/>
    </row>
    <row r="54" spans="1:37" ht="15" customHeight="1">
      <c r="A54" s="352"/>
      <c r="B54" s="588" t="s">
        <v>1272</v>
      </c>
      <c r="C54" s="222"/>
      <c r="D54" s="615">
        <f>ROUND(SUM(D28+D37+D44+D52),1)</f>
        <v>5567.1</v>
      </c>
      <c r="E54" s="261"/>
      <c r="F54" s="615">
        <f>ROUND(SUM(F28+F37+F44+F52),1)</f>
        <v>0</v>
      </c>
      <c r="G54" s="261"/>
      <c r="H54" s="615">
        <f>ROUND(SUM(H28+H37+H44+H52),1)</f>
        <v>0</v>
      </c>
      <c r="I54" s="261"/>
      <c r="J54" s="615">
        <f>ROUND(SUM(J28+J37+J44+J52),1)</f>
        <v>0</v>
      </c>
      <c r="K54" s="261"/>
      <c r="L54" s="615">
        <f>ROUND(SUM(L28+L37+L44+L52),1)</f>
        <v>0</v>
      </c>
      <c r="M54" s="261"/>
      <c r="N54" s="615">
        <f>ROUND(SUM(N28+N37+N44+N52),1)</f>
        <v>0</v>
      </c>
      <c r="O54" s="261"/>
      <c r="P54" s="615">
        <f>ROUND(SUM(P28+P37+P44+P52),1)</f>
        <v>0</v>
      </c>
      <c r="Q54" s="261"/>
      <c r="R54" s="615">
        <f>ROUND(SUM(R28+R37+R44+R52),1)</f>
        <v>0</v>
      </c>
      <c r="S54" s="261"/>
      <c r="T54" s="615">
        <f>ROUND(SUM(T28+T37+T44+T52),1)</f>
        <v>0</v>
      </c>
      <c r="U54" s="261"/>
      <c r="V54" s="615">
        <f>ROUND(SUM(V28+V37+V44+V52),1)</f>
        <v>0</v>
      </c>
      <c r="W54" s="261"/>
      <c r="X54" s="615">
        <f>ROUND(SUM(X28+X37+X44+X52),1)</f>
        <v>0</v>
      </c>
      <c r="Y54" s="261"/>
      <c r="Z54" s="615">
        <f>ROUND(SUM(Z28+Z37+Z44+Z52),1)</f>
        <v>0</v>
      </c>
      <c r="AA54" s="367"/>
      <c r="AB54" s="237"/>
      <c r="AC54" s="615">
        <f>ROUND(SUM(AC28+AC37+AC44+AC52),1)</f>
        <v>5567.1</v>
      </c>
      <c r="AD54" s="261"/>
      <c r="AE54" s="250"/>
      <c r="AF54" s="615">
        <f>ROUND(SUM(AF28+AF37+AF44+AF52),1)</f>
        <v>5896</v>
      </c>
      <c r="AG54" s="261"/>
      <c r="AH54" s="1262"/>
      <c r="AI54" s="615">
        <f>ROUND(SUM(AI28+AI37+AI44+AI52),1)</f>
        <v>-328.9</v>
      </c>
      <c r="AJ54" s="1860"/>
      <c r="AK54" s="524">
        <f>ROUND(SUM(+AI54/AF54),3)</f>
        <v>-5.6000000000000001E-2</v>
      </c>
    </row>
    <row r="55" spans="1:37" ht="8.25" customHeight="1">
      <c r="A55" s="352"/>
      <c r="B55" s="1343"/>
      <c r="C55" s="222"/>
      <c r="D55" s="261"/>
      <c r="E55" s="261"/>
      <c r="F55" s="261"/>
      <c r="G55" s="261"/>
      <c r="H55" s="261"/>
      <c r="I55" s="261"/>
      <c r="J55" s="318"/>
      <c r="K55" s="261"/>
      <c r="L55" s="261"/>
      <c r="M55" s="261"/>
      <c r="N55" s="261"/>
      <c r="O55" s="261"/>
      <c r="P55" s="261"/>
      <c r="Q55" s="261"/>
      <c r="R55" s="261"/>
      <c r="S55" s="261"/>
      <c r="T55" s="261"/>
      <c r="U55" s="261"/>
      <c r="V55" s="261"/>
      <c r="W55" s="261"/>
      <c r="X55" s="261"/>
      <c r="Y55" s="261"/>
      <c r="Z55" s="261"/>
      <c r="AA55" s="367"/>
      <c r="AB55" s="237"/>
      <c r="AC55" s="261"/>
      <c r="AD55" s="261"/>
      <c r="AE55" s="250"/>
      <c r="AF55" s="318"/>
      <c r="AG55" s="261"/>
      <c r="AH55" s="1262"/>
      <c r="AI55" s="1159"/>
      <c r="AJ55" s="1860"/>
      <c r="AK55" s="1884"/>
    </row>
    <row r="56" spans="1:37" ht="15" customHeight="1">
      <c r="A56" s="352"/>
      <c r="B56" s="489" t="s">
        <v>1173</v>
      </c>
      <c r="C56" s="1782"/>
      <c r="D56" s="1159"/>
      <c r="E56" s="1161"/>
      <c r="F56" s="261"/>
      <c r="G56" s="1161"/>
      <c r="H56" s="261"/>
      <c r="I56" s="261"/>
      <c r="J56" s="318"/>
      <c r="K56" s="261"/>
      <c r="L56" s="261"/>
      <c r="M56" s="261"/>
      <c r="N56" s="261"/>
      <c r="O56" s="261"/>
      <c r="P56" s="261"/>
      <c r="Q56" s="261"/>
      <c r="R56" s="261"/>
      <c r="S56" s="261"/>
      <c r="T56" s="261"/>
      <c r="U56" s="261"/>
      <c r="V56" s="261"/>
      <c r="W56" s="261"/>
      <c r="X56" s="261"/>
      <c r="Y56" s="261"/>
      <c r="Z56" s="261"/>
      <c r="AA56" s="367"/>
      <c r="AB56" s="237"/>
      <c r="AC56" s="261"/>
      <c r="AD56" s="261"/>
      <c r="AE56" s="250"/>
      <c r="AF56" s="318"/>
      <c r="AG56" s="261"/>
      <c r="AH56" s="1262"/>
      <c r="AI56" s="1159"/>
      <c r="AJ56" s="1860"/>
      <c r="AK56" s="1884"/>
    </row>
    <row r="57" spans="1:37" ht="15" customHeight="1">
      <c r="A57" s="352"/>
      <c r="B57" s="1784" t="s">
        <v>1301</v>
      </c>
      <c r="C57" s="1782"/>
      <c r="D57" s="1159"/>
      <c r="E57" s="1161"/>
      <c r="F57" s="261"/>
      <c r="G57" s="1161"/>
      <c r="H57" s="261"/>
      <c r="I57" s="261"/>
      <c r="J57" s="318"/>
      <c r="K57" s="261"/>
      <c r="L57" s="261"/>
      <c r="M57" s="261"/>
      <c r="N57" s="261"/>
      <c r="O57" s="261"/>
      <c r="P57" s="261"/>
      <c r="Q57" s="261"/>
      <c r="R57" s="261"/>
      <c r="S57" s="261"/>
      <c r="T57" s="261"/>
      <c r="U57" s="261"/>
      <c r="V57" s="261"/>
      <c r="W57" s="261"/>
      <c r="X57" s="261"/>
      <c r="Y57" s="261"/>
      <c r="Z57" s="261"/>
      <c r="AA57" s="367"/>
      <c r="AB57" s="237"/>
      <c r="AC57" s="261"/>
      <c r="AD57" s="261"/>
      <c r="AE57" s="250"/>
      <c r="AF57" s="1787" t="s">
        <v>190</v>
      </c>
      <c r="AG57" s="261"/>
      <c r="AH57" s="1262"/>
      <c r="AI57" s="1159"/>
      <c r="AJ57" s="1860"/>
      <c r="AK57" s="1884"/>
    </row>
    <row r="58" spans="1:37" ht="15" customHeight="1">
      <c r="A58" s="352"/>
      <c r="B58" s="1784" t="s">
        <v>1171</v>
      </c>
      <c r="C58" s="1784"/>
      <c r="D58" s="1159">
        <v>0</v>
      </c>
      <c r="E58" s="1161"/>
      <c r="F58" s="1159"/>
      <c r="G58" s="1161"/>
      <c r="H58" s="261"/>
      <c r="I58" s="261"/>
      <c r="J58" s="318"/>
      <c r="K58" s="261"/>
      <c r="L58" s="261"/>
      <c r="M58" s="261"/>
      <c r="N58" s="261"/>
      <c r="O58" s="261"/>
      <c r="P58" s="261"/>
      <c r="Q58" s="261"/>
      <c r="R58" s="261"/>
      <c r="S58" s="261"/>
      <c r="T58" s="261"/>
      <c r="U58" s="261"/>
      <c r="V58" s="261"/>
      <c r="W58" s="261"/>
      <c r="X58" s="261"/>
      <c r="Y58" s="261"/>
      <c r="Z58" s="261"/>
      <c r="AA58" s="367"/>
      <c r="AB58" s="237"/>
      <c r="AC58" s="261">
        <f t="shared" ref="AC58:AC88" si="6">ROUND(SUM(D58:Z58),1)</f>
        <v>0</v>
      </c>
      <c r="AD58" s="261"/>
      <c r="AE58" s="250"/>
      <c r="AF58" s="1787">
        <v>0</v>
      </c>
      <c r="AG58" s="261"/>
      <c r="AH58" s="1262"/>
      <c r="AI58" s="1159">
        <f>ROUND(SUM(+AC58-AF58),1)</f>
        <v>0</v>
      </c>
      <c r="AJ58" s="1860"/>
      <c r="AK58" s="2709">
        <f>ROUND(IF(AF58=0,0,AI58/ABS(AF58)),3)</f>
        <v>0</v>
      </c>
    </row>
    <row r="59" spans="1:37" ht="15" customHeight="1">
      <c r="A59" s="352"/>
      <c r="B59" s="1784" t="s">
        <v>1172</v>
      </c>
      <c r="C59" s="1784"/>
      <c r="D59" s="1159">
        <v>-0.3</v>
      </c>
      <c r="E59" s="1161"/>
      <c r="F59" s="261"/>
      <c r="G59" s="1161"/>
      <c r="H59" s="318"/>
      <c r="I59" s="261"/>
      <c r="J59" s="318"/>
      <c r="K59" s="261"/>
      <c r="L59" s="261"/>
      <c r="M59" s="261"/>
      <c r="N59" s="261"/>
      <c r="O59" s="261"/>
      <c r="P59" s="261"/>
      <c r="Q59" s="261"/>
      <c r="R59" s="261"/>
      <c r="S59" s="261"/>
      <c r="T59" s="261"/>
      <c r="U59" s="261"/>
      <c r="V59" s="261"/>
      <c r="W59" s="261"/>
      <c r="X59" s="261"/>
      <c r="Y59" s="261"/>
      <c r="Z59" s="261"/>
      <c r="AA59" s="367"/>
      <c r="AB59" s="237"/>
      <c r="AC59" s="261">
        <f t="shared" si="6"/>
        <v>-0.3</v>
      </c>
      <c r="AD59" s="261"/>
      <c r="AE59" s="250"/>
      <c r="AF59" s="318">
        <v>0.5</v>
      </c>
      <c r="AG59" s="261"/>
      <c r="AH59" s="1262"/>
      <c r="AI59" s="1159">
        <f>ROUND(SUM(+AC59-AF59),1)</f>
        <v>-0.8</v>
      </c>
      <c r="AJ59" s="1860"/>
      <c r="AK59" s="1816">
        <f>ROUND(IF(AF59=0,0,AI59/ABS(AF59)),3)</f>
        <v>-1.6</v>
      </c>
    </row>
    <row r="60" spans="1:37" ht="15" customHeight="1">
      <c r="A60" s="352"/>
      <c r="B60" s="1784" t="s">
        <v>1302</v>
      </c>
      <c r="C60" s="1784"/>
      <c r="D60" s="1159"/>
      <c r="E60" s="1161"/>
      <c r="F60" s="261"/>
      <c r="G60" s="1161"/>
      <c r="H60" s="261"/>
      <c r="I60" s="261"/>
      <c r="J60" s="318"/>
      <c r="K60" s="261"/>
      <c r="L60" s="261"/>
      <c r="M60" s="261"/>
      <c r="N60" s="261"/>
      <c r="O60" s="261"/>
      <c r="P60" s="261"/>
      <c r="Q60" s="261"/>
      <c r="R60" s="261"/>
      <c r="S60" s="261"/>
      <c r="T60" s="261"/>
      <c r="U60" s="261"/>
      <c r="V60" s="261"/>
      <c r="W60" s="261"/>
      <c r="X60" s="261"/>
      <c r="Y60" s="261"/>
      <c r="Z60" s="261"/>
      <c r="AA60" s="367"/>
      <c r="AB60" s="237"/>
      <c r="AC60" s="261"/>
      <c r="AD60" s="261"/>
      <c r="AE60" s="250"/>
      <c r="AF60" s="318"/>
      <c r="AG60" s="261"/>
      <c r="AH60" s="1262"/>
      <c r="AI60" s="1159"/>
      <c r="AJ60" s="1860"/>
      <c r="AK60" s="1884"/>
    </row>
    <row r="61" spans="1:37" ht="15" customHeight="1">
      <c r="A61" s="352"/>
      <c r="B61" s="1784" t="s">
        <v>1176</v>
      </c>
      <c r="C61" s="1784"/>
      <c r="D61" s="1159">
        <v>0</v>
      </c>
      <c r="E61" s="1161"/>
      <c r="F61" s="261"/>
      <c r="G61" s="1161"/>
      <c r="H61" s="261"/>
      <c r="I61" s="261"/>
      <c r="J61" s="318"/>
      <c r="K61" s="261"/>
      <c r="L61" s="261"/>
      <c r="M61" s="261"/>
      <c r="N61" s="261"/>
      <c r="O61" s="261"/>
      <c r="P61" s="261"/>
      <c r="Q61" s="261"/>
      <c r="R61" s="261"/>
      <c r="S61" s="261"/>
      <c r="T61" s="261"/>
      <c r="U61" s="261"/>
      <c r="V61" s="261"/>
      <c r="W61" s="261"/>
      <c r="X61" s="261"/>
      <c r="Y61" s="261"/>
      <c r="Z61" s="261"/>
      <c r="AA61" s="367"/>
      <c r="AB61" s="237"/>
      <c r="AC61" s="261">
        <f t="shared" si="6"/>
        <v>0</v>
      </c>
      <c r="AD61" s="261"/>
      <c r="AE61" s="250"/>
      <c r="AF61" s="318">
        <v>0</v>
      </c>
      <c r="AG61" s="261"/>
      <c r="AH61" s="1262"/>
      <c r="AI61" s="1159">
        <f>ROUND(SUM(+AC61-AF61),1)</f>
        <v>0</v>
      </c>
      <c r="AJ61" s="1860"/>
      <c r="AK61" s="1816">
        <f>ROUND(IF(AF61=0,0,AI61/ABS(AF61)),3)</f>
        <v>0</v>
      </c>
    </row>
    <row r="62" spans="1:37" ht="15" customHeight="1">
      <c r="A62" s="352"/>
      <c r="B62" s="1784" t="s">
        <v>1177</v>
      </c>
      <c r="C62" s="1784"/>
      <c r="D62" s="1159">
        <v>6.5</v>
      </c>
      <c r="E62" s="1161"/>
      <c r="F62" s="261"/>
      <c r="G62" s="1161"/>
      <c r="H62" s="261"/>
      <c r="I62" s="261"/>
      <c r="J62" s="318"/>
      <c r="K62" s="261"/>
      <c r="L62" s="261"/>
      <c r="M62" s="261"/>
      <c r="N62" s="261"/>
      <c r="O62" s="261"/>
      <c r="P62" s="261"/>
      <c r="Q62" s="261"/>
      <c r="R62" s="261"/>
      <c r="S62" s="261"/>
      <c r="T62" s="261"/>
      <c r="U62" s="261"/>
      <c r="V62" s="261"/>
      <c r="W62" s="261"/>
      <c r="X62" s="261"/>
      <c r="Y62" s="261"/>
      <c r="Z62" s="261"/>
      <c r="AA62" s="367"/>
      <c r="AB62" s="237"/>
      <c r="AC62" s="261">
        <f t="shared" si="6"/>
        <v>6.5</v>
      </c>
      <c r="AD62" s="261"/>
      <c r="AE62" s="250"/>
      <c r="AF62" s="318">
        <v>5.7</v>
      </c>
      <c r="AG62" s="261"/>
      <c r="AH62" s="1262"/>
      <c r="AI62" s="1159">
        <f>ROUND(SUM(+AC62-AF62),1)</f>
        <v>0.8</v>
      </c>
      <c r="AJ62" s="1860"/>
      <c r="AK62" s="1816">
        <f>ROUND(IF(AF62=0,0,AI62/ABS(AF62)),3)</f>
        <v>0.14000000000000001</v>
      </c>
    </row>
    <row r="63" spans="1:37" ht="15" customHeight="1">
      <c r="A63" s="352"/>
      <c r="B63" s="1784" t="s">
        <v>1178</v>
      </c>
      <c r="C63" s="1784"/>
      <c r="D63" s="1159">
        <v>0</v>
      </c>
      <c r="E63" s="1161"/>
      <c r="F63" s="1159"/>
      <c r="G63" s="1161"/>
      <c r="H63" s="261"/>
      <c r="I63" s="261"/>
      <c r="J63" s="318"/>
      <c r="K63" s="261"/>
      <c r="L63" s="261"/>
      <c r="M63" s="261"/>
      <c r="N63" s="261"/>
      <c r="O63" s="261"/>
      <c r="P63" s="261"/>
      <c r="Q63" s="261"/>
      <c r="R63" s="261"/>
      <c r="S63" s="261"/>
      <c r="T63" s="261"/>
      <c r="U63" s="261"/>
      <c r="V63" s="261"/>
      <c r="W63" s="261"/>
      <c r="X63" s="261"/>
      <c r="Y63" s="261"/>
      <c r="Z63" s="261"/>
      <c r="AA63" s="367"/>
      <c r="AB63" s="237"/>
      <c r="AC63" s="261">
        <f t="shared" si="6"/>
        <v>0</v>
      </c>
      <c r="AD63" s="261"/>
      <c r="AE63" s="250"/>
      <c r="AF63" s="2625">
        <v>0</v>
      </c>
      <c r="AG63" s="261"/>
      <c r="AH63" s="1262"/>
      <c r="AI63" s="1159">
        <f>ROUND(SUM(+AC63-AF63),1)</f>
        <v>0</v>
      </c>
      <c r="AJ63" s="1860"/>
      <c r="AK63" s="1816">
        <f>ROUND(IF(AF63=0,0,AI63/ABS(AF63)),3)</f>
        <v>0</v>
      </c>
    </row>
    <row r="64" spans="1:37" ht="15" customHeight="1">
      <c r="A64" s="352"/>
      <c r="B64" s="1784" t="s">
        <v>1179</v>
      </c>
      <c r="C64" s="1784"/>
      <c r="D64" s="1159">
        <v>0.1</v>
      </c>
      <c r="E64" s="1161"/>
      <c r="F64" s="261"/>
      <c r="G64" s="1161"/>
      <c r="H64" s="261"/>
      <c r="I64" s="261"/>
      <c r="J64" s="318"/>
      <c r="K64" s="261"/>
      <c r="L64" s="261"/>
      <c r="M64" s="261"/>
      <c r="N64" s="261"/>
      <c r="O64" s="261"/>
      <c r="P64" s="261"/>
      <c r="Q64" s="261"/>
      <c r="R64" s="261"/>
      <c r="S64" s="261"/>
      <c r="T64" s="261"/>
      <c r="U64" s="261"/>
      <c r="V64" s="261"/>
      <c r="W64" s="261"/>
      <c r="X64" s="261"/>
      <c r="Y64" s="261"/>
      <c r="Z64" s="261"/>
      <c r="AA64" s="367"/>
      <c r="AB64" s="237"/>
      <c r="AC64" s="261">
        <f t="shared" si="6"/>
        <v>0.1</v>
      </c>
      <c r="AD64" s="261"/>
      <c r="AE64" s="250"/>
      <c r="AF64" s="318">
        <v>0</v>
      </c>
      <c r="AG64" s="261"/>
      <c r="AH64" s="1262"/>
      <c r="AI64" s="1159">
        <f>ROUND(SUM(+AC64-AF64),1)</f>
        <v>0.1</v>
      </c>
      <c r="AJ64" s="1860"/>
      <c r="AK64" s="1816">
        <f>ROUND(IF(AF64=0,1,AI64/ABS(AF64)),3)</f>
        <v>1</v>
      </c>
    </row>
    <row r="65" spans="1:37" ht="15" customHeight="1">
      <c r="A65" s="352"/>
      <c r="B65" s="1784" t="s">
        <v>1307</v>
      </c>
      <c r="C65" s="1784"/>
      <c r="D65" s="1159"/>
      <c r="E65" s="1161"/>
      <c r="F65" s="261"/>
      <c r="G65" s="1161"/>
      <c r="H65" s="261"/>
      <c r="I65" s="261"/>
      <c r="J65" s="318"/>
      <c r="K65" s="261"/>
      <c r="L65" s="261"/>
      <c r="M65" s="261"/>
      <c r="N65" s="261"/>
      <c r="O65" s="261"/>
      <c r="P65" s="261"/>
      <c r="Q65" s="261"/>
      <c r="R65" s="261"/>
      <c r="S65" s="261"/>
      <c r="T65" s="261"/>
      <c r="U65" s="261"/>
      <c r="V65" s="261"/>
      <c r="W65" s="261"/>
      <c r="X65" s="261"/>
      <c r="Y65" s="261"/>
      <c r="Z65" s="261"/>
      <c r="AA65" s="367"/>
      <c r="AB65" s="237"/>
      <c r="AC65" s="261"/>
      <c r="AD65" s="261"/>
      <c r="AE65" s="250"/>
      <c r="AF65" s="318"/>
      <c r="AG65" s="261"/>
      <c r="AH65" s="1262"/>
      <c r="AI65" s="1159"/>
      <c r="AJ65" s="1860"/>
      <c r="AK65" s="2732"/>
    </row>
    <row r="66" spans="1:37" ht="15" customHeight="1">
      <c r="A66" s="352"/>
      <c r="B66" s="1784" t="s">
        <v>1180</v>
      </c>
      <c r="C66" s="1784"/>
      <c r="D66" s="1159">
        <v>5.6</v>
      </c>
      <c r="E66" s="1161"/>
      <c r="F66" s="261"/>
      <c r="G66" s="1161"/>
      <c r="H66" s="261"/>
      <c r="I66" s="261"/>
      <c r="J66" s="318"/>
      <c r="K66" s="261"/>
      <c r="L66" s="261"/>
      <c r="M66" s="261"/>
      <c r="N66" s="261"/>
      <c r="O66" s="261"/>
      <c r="P66" s="261"/>
      <c r="Q66" s="261"/>
      <c r="R66" s="261"/>
      <c r="S66" s="261"/>
      <c r="T66" s="261"/>
      <c r="U66" s="261"/>
      <c r="V66" s="261"/>
      <c r="W66" s="261"/>
      <c r="X66" s="261"/>
      <c r="Y66" s="261"/>
      <c r="Z66" s="261"/>
      <c r="AA66" s="367"/>
      <c r="AB66" s="237"/>
      <c r="AC66" s="261">
        <f t="shared" si="6"/>
        <v>5.6</v>
      </c>
      <c r="AD66" s="261"/>
      <c r="AE66" s="250"/>
      <c r="AF66" s="318">
        <v>6.9</v>
      </c>
      <c r="AG66" s="261"/>
      <c r="AH66" s="1262"/>
      <c r="AI66" s="1159">
        <f t="shared" ref="AI66:AI72" si="7">ROUND(SUM(+AC66-AF66),1)</f>
        <v>-1.3</v>
      </c>
      <c r="AJ66" s="1860"/>
      <c r="AK66" s="1816">
        <f>ROUND(IF(AF66=0,0,AI66/ABS(AF66)),3)</f>
        <v>-0.188</v>
      </c>
    </row>
    <row r="67" spans="1:37" ht="15" customHeight="1">
      <c r="A67" s="352"/>
      <c r="B67" s="1784" t="s">
        <v>1181</v>
      </c>
      <c r="C67" s="1784"/>
      <c r="D67" s="1159">
        <v>0.9</v>
      </c>
      <c r="E67" s="1161"/>
      <c r="F67" s="261"/>
      <c r="G67" s="1161"/>
      <c r="H67" s="261"/>
      <c r="I67" s="261"/>
      <c r="J67" s="318"/>
      <c r="K67" s="261"/>
      <c r="L67" s="261"/>
      <c r="M67" s="261"/>
      <c r="N67" s="261"/>
      <c r="O67" s="261"/>
      <c r="P67" s="261"/>
      <c r="Q67" s="261"/>
      <c r="R67" s="261"/>
      <c r="S67" s="261"/>
      <c r="T67" s="261"/>
      <c r="U67" s="261"/>
      <c r="V67" s="261"/>
      <c r="W67" s="261"/>
      <c r="X67" s="261"/>
      <c r="Y67" s="261"/>
      <c r="Z67" s="261"/>
      <c r="AA67" s="367"/>
      <c r="AB67" s="237"/>
      <c r="AC67" s="261">
        <f t="shared" si="6"/>
        <v>0.9</v>
      </c>
      <c r="AD67" s="261"/>
      <c r="AE67" s="250"/>
      <c r="AF67" s="318">
        <v>6.6</v>
      </c>
      <c r="AG67" s="261"/>
      <c r="AH67" s="1262"/>
      <c r="AI67" s="1159">
        <f t="shared" si="7"/>
        <v>-5.7</v>
      </c>
      <c r="AJ67" s="1860"/>
      <c r="AK67" s="1816">
        <f>ROUND(IF(AF67=0,0,AI67/ABS(AF67)),3)</f>
        <v>-0.86399999999999999</v>
      </c>
    </row>
    <row r="68" spans="1:37" ht="15" customHeight="1">
      <c r="A68" s="352"/>
      <c r="B68" s="1784" t="s">
        <v>1182</v>
      </c>
      <c r="C68" s="1784"/>
      <c r="D68" s="1159">
        <v>19.2</v>
      </c>
      <c r="E68" s="1161"/>
      <c r="F68" s="261"/>
      <c r="G68" s="1161"/>
      <c r="H68" s="261"/>
      <c r="I68" s="261"/>
      <c r="J68" s="318"/>
      <c r="K68" s="261"/>
      <c r="L68" s="261"/>
      <c r="M68" s="261"/>
      <c r="N68" s="261"/>
      <c r="O68" s="261"/>
      <c r="P68" s="261"/>
      <c r="Q68" s="261"/>
      <c r="R68" s="261"/>
      <c r="S68" s="261"/>
      <c r="T68" s="261"/>
      <c r="U68" s="261"/>
      <c r="V68" s="261"/>
      <c r="W68" s="261"/>
      <c r="X68" s="261"/>
      <c r="Y68" s="261"/>
      <c r="Z68" s="261"/>
      <c r="AA68" s="367"/>
      <c r="AB68" s="237"/>
      <c r="AC68" s="261">
        <f t="shared" si="6"/>
        <v>19.2</v>
      </c>
      <c r="AD68" s="261"/>
      <c r="AE68" s="250"/>
      <c r="AF68" s="318">
        <v>23.2</v>
      </c>
      <c r="AG68" s="261"/>
      <c r="AH68" s="1262"/>
      <c r="AI68" s="1159">
        <f t="shared" si="7"/>
        <v>-4</v>
      </c>
      <c r="AJ68" s="1860"/>
      <c r="AK68" s="1816">
        <f>ROUND(IF(AF68=0,0,AI68/ABS(AF68)),3)</f>
        <v>-0.17199999999999999</v>
      </c>
    </row>
    <row r="69" spans="1:37" ht="15" customHeight="1">
      <c r="A69" s="352"/>
      <c r="B69" s="1784" t="s">
        <v>1183</v>
      </c>
      <c r="C69" s="1784"/>
      <c r="D69" s="1159">
        <v>0</v>
      </c>
      <c r="E69" s="1161"/>
      <c r="F69" s="261"/>
      <c r="G69" s="1161"/>
      <c r="H69" s="261"/>
      <c r="I69" s="261"/>
      <c r="J69" s="318"/>
      <c r="K69" s="261"/>
      <c r="L69" s="261"/>
      <c r="M69" s="261"/>
      <c r="N69" s="261"/>
      <c r="O69" s="261"/>
      <c r="P69" s="261"/>
      <c r="Q69" s="261"/>
      <c r="R69" s="261"/>
      <c r="S69" s="261"/>
      <c r="T69" s="261"/>
      <c r="U69" s="261"/>
      <c r="V69" s="261"/>
      <c r="W69" s="261"/>
      <c r="X69" s="261"/>
      <c r="Y69" s="261"/>
      <c r="Z69" s="261"/>
      <c r="AA69" s="367"/>
      <c r="AB69" s="237"/>
      <c r="AC69" s="261">
        <f t="shared" si="6"/>
        <v>0</v>
      </c>
      <c r="AD69" s="261"/>
      <c r="AE69" s="250"/>
      <c r="AF69" s="318">
        <v>0.1</v>
      </c>
      <c r="AG69" s="261"/>
      <c r="AH69" s="1262"/>
      <c r="AI69" s="1159">
        <f t="shared" si="7"/>
        <v>-0.1</v>
      </c>
      <c r="AJ69" s="1860"/>
      <c r="AK69" s="1816">
        <f>ROUND(IF(AF69=0,0,AI69/ABS(AF69)),3)</f>
        <v>-1</v>
      </c>
    </row>
    <row r="70" spans="1:37" ht="15" customHeight="1">
      <c r="A70" s="352"/>
      <c r="B70" s="1784" t="s">
        <v>1184</v>
      </c>
      <c r="C70" s="1784"/>
      <c r="D70" s="1159">
        <v>16.899999999999999</v>
      </c>
      <c r="E70" s="1161"/>
      <c r="F70" s="261"/>
      <c r="G70" s="1161"/>
      <c r="H70" s="261"/>
      <c r="I70" s="261"/>
      <c r="J70" s="318"/>
      <c r="K70" s="261"/>
      <c r="L70" s="261"/>
      <c r="M70" s="261"/>
      <c r="N70" s="261"/>
      <c r="O70" s="261"/>
      <c r="P70" s="261"/>
      <c r="Q70" s="261"/>
      <c r="R70" s="261"/>
      <c r="S70" s="261"/>
      <c r="T70" s="261"/>
      <c r="U70" s="261"/>
      <c r="V70" s="261"/>
      <c r="W70" s="261"/>
      <c r="X70" s="261"/>
      <c r="Y70" s="261"/>
      <c r="Z70" s="261"/>
      <c r="AA70" s="367"/>
      <c r="AB70" s="237"/>
      <c r="AC70" s="261">
        <f>ROUND(SUM(D70:Z70),1)</f>
        <v>16.899999999999999</v>
      </c>
      <c r="AD70" s="261"/>
      <c r="AE70" s="250"/>
      <c r="AF70" s="318">
        <v>36</v>
      </c>
      <c r="AG70" s="261"/>
      <c r="AH70" s="1262"/>
      <c r="AI70" s="1159">
        <f t="shared" si="7"/>
        <v>-19.100000000000001</v>
      </c>
      <c r="AJ70" s="1860"/>
      <c r="AK70" s="2799">
        <f>ROUND(IF(AF70=0,1,AI70/ABS(AF70)),3)</f>
        <v>-0.53100000000000003</v>
      </c>
    </row>
    <row r="71" spans="1:37" ht="15" customHeight="1">
      <c r="A71" s="352"/>
      <c r="B71" s="1784" t="s">
        <v>1185</v>
      </c>
      <c r="C71" s="1784"/>
      <c r="D71" s="1159">
        <v>1.1000000000000001</v>
      </c>
      <c r="E71" s="1161"/>
      <c r="F71" s="261"/>
      <c r="G71" s="1161"/>
      <c r="H71" s="261"/>
      <c r="I71" s="261"/>
      <c r="J71" s="318"/>
      <c r="K71" s="261"/>
      <c r="L71" s="261"/>
      <c r="M71" s="261"/>
      <c r="N71" s="261"/>
      <c r="O71" s="261"/>
      <c r="P71" s="261"/>
      <c r="Q71" s="261"/>
      <c r="R71" s="261"/>
      <c r="S71" s="261"/>
      <c r="T71" s="261"/>
      <c r="U71" s="261"/>
      <c r="V71" s="261"/>
      <c r="W71" s="261"/>
      <c r="X71" s="261"/>
      <c r="Y71" s="261"/>
      <c r="Z71" s="261"/>
      <c r="AA71" s="367"/>
      <c r="AB71" s="237"/>
      <c r="AC71" s="261">
        <f t="shared" si="6"/>
        <v>1.1000000000000001</v>
      </c>
      <c r="AD71" s="261"/>
      <c r="AE71" s="250"/>
      <c r="AF71" s="1787">
        <v>1.2</v>
      </c>
      <c r="AG71" s="261"/>
      <c r="AH71" s="1262"/>
      <c r="AI71" s="1159">
        <f t="shared" si="7"/>
        <v>-0.1</v>
      </c>
      <c r="AJ71" s="1860"/>
      <c r="AK71" s="1816">
        <f>ROUND(IF(AF71=0,0,AI71/ABS(AF71)),3)</f>
        <v>-8.3000000000000004E-2</v>
      </c>
    </row>
    <row r="72" spans="1:37" ht="15" customHeight="1">
      <c r="A72" s="352"/>
      <c r="B72" s="1784" t="s">
        <v>1174</v>
      </c>
      <c r="C72" s="1784"/>
      <c r="D72" s="1159">
        <v>1.8</v>
      </c>
      <c r="E72" s="1161"/>
      <c r="F72" s="261"/>
      <c r="G72" s="1161"/>
      <c r="H72" s="261"/>
      <c r="I72" s="261"/>
      <c r="J72" s="1787"/>
      <c r="K72" s="261"/>
      <c r="L72" s="261"/>
      <c r="M72" s="261"/>
      <c r="N72" s="261"/>
      <c r="O72" s="261"/>
      <c r="P72" s="261"/>
      <c r="Q72" s="261"/>
      <c r="R72" s="261"/>
      <c r="S72" s="261"/>
      <c r="T72" s="261"/>
      <c r="U72" s="261"/>
      <c r="V72" s="261"/>
      <c r="W72" s="261"/>
      <c r="X72" s="261"/>
      <c r="Y72" s="261"/>
      <c r="Z72" s="261"/>
      <c r="AA72" s="367"/>
      <c r="AB72" s="237"/>
      <c r="AC72" s="261">
        <f t="shared" si="6"/>
        <v>1.8</v>
      </c>
      <c r="AD72" s="261"/>
      <c r="AE72" s="250"/>
      <c r="AF72" s="318">
        <v>8.6</v>
      </c>
      <c r="AG72" s="261"/>
      <c r="AH72" s="1262"/>
      <c r="AI72" s="1159">
        <f t="shared" si="7"/>
        <v>-6.8</v>
      </c>
      <c r="AJ72" s="1860"/>
      <c r="AK72" s="1816">
        <f>ROUND(IF(AF72=0,0,AI72/ABS(AF72)),3)</f>
        <v>-0.79100000000000004</v>
      </c>
    </row>
    <row r="73" spans="1:37" ht="15" customHeight="1">
      <c r="A73" s="352"/>
      <c r="B73" s="1784" t="s">
        <v>1175</v>
      </c>
      <c r="C73" s="1784"/>
      <c r="D73" s="1159">
        <v>2.4</v>
      </c>
      <c r="E73" s="1161"/>
      <c r="F73" s="261"/>
      <c r="G73" s="1161"/>
      <c r="H73" s="261"/>
      <c r="I73" s="261"/>
      <c r="J73" s="318"/>
      <c r="K73" s="261"/>
      <c r="L73" s="261"/>
      <c r="M73" s="261"/>
      <c r="N73" s="261"/>
      <c r="O73" s="261"/>
      <c r="P73" s="261"/>
      <c r="Q73" s="261"/>
      <c r="R73" s="261"/>
      <c r="S73" s="261"/>
      <c r="T73" s="261"/>
      <c r="U73" s="261"/>
      <c r="V73" s="261"/>
      <c r="W73" s="261"/>
      <c r="X73" s="261"/>
      <c r="Y73" s="261"/>
      <c r="Z73" s="261"/>
      <c r="AA73" s="367"/>
      <c r="AB73" s="237"/>
      <c r="AC73" s="261">
        <f t="shared" si="6"/>
        <v>2.4</v>
      </c>
      <c r="AD73" s="261"/>
      <c r="AE73" s="250"/>
      <c r="AF73" s="318">
        <v>0.4</v>
      </c>
      <c r="AG73" s="261"/>
      <c r="AH73" s="1262"/>
      <c r="AI73" s="1159">
        <f>ROUND(SUM(+AC73-AF73),1)</f>
        <v>2</v>
      </c>
      <c r="AJ73" s="1860"/>
      <c r="AK73" s="2709">
        <f>ROUND(IF(AF73=0,1,AI73/ABS(AF73)),3)</f>
        <v>5</v>
      </c>
    </row>
    <row r="74" spans="1:37" ht="15" customHeight="1">
      <c r="A74" s="352"/>
      <c r="B74" s="1784" t="s">
        <v>1305</v>
      </c>
      <c r="C74" s="1784"/>
      <c r="D74" s="1159"/>
      <c r="E74" s="1161"/>
      <c r="F74" s="261"/>
      <c r="G74" s="1161"/>
      <c r="H74" s="261"/>
      <c r="I74" s="261"/>
      <c r="J74" s="318"/>
      <c r="K74" s="261"/>
      <c r="L74" s="261"/>
      <c r="M74" s="261"/>
      <c r="N74" s="261"/>
      <c r="O74" s="261"/>
      <c r="P74" s="261"/>
      <c r="Q74" s="261"/>
      <c r="R74" s="261"/>
      <c r="S74" s="261"/>
      <c r="T74" s="261"/>
      <c r="U74" s="261"/>
      <c r="V74" s="261"/>
      <c r="W74" s="261"/>
      <c r="X74" s="261"/>
      <c r="Y74" s="261"/>
      <c r="Z74" s="261"/>
      <c r="AA74" s="367"/>
      <c r="AB74" s="237"/>
      <c r="AC74" s="261"/>
      <c r="AD74" s="261"/>
      <c r="AE74" s="250"/>
      <c r="AF74" s="318"/>
      <c r="AG74" s="261"/>
      <c r="AH74" s="1262"/>
      <c r="AI74" s="1159"/>
      <c r="AJ74" s="1860"/>
      <c r="AK74" s="2732"/>
    </row>
    <row r="75" spans="1:37" ht="15" customHeight="1">
      <c r="A75" s="352"/>
      <c r="B75" s="1784" t="s">
        <v>1190</v>
      </c>
      <c r="C75" s="1784"/>
      <c r="D75" s="1159">
        <v>0</v>
      </c>
      <c r="E75" s="1161"/>
      <c r="F75" s="261"/>
      <c r="G75" s="1161"/>
      <c r="H75" s="261"/>
      <c r="I75" s="261"/>
      <c r="J75" s="318"/>
      <c r="K75" s="261"/>
      <c r="L75" s="261"/>
      <c r="M75" s="261"/>
      <c r="N75" s="261"/>
      <c r="O75" s="261"/>
      <c r="P75" s="261"/>
      <c r="Q75" s="261"/>
      <c r="R75" s="261"/>
      <c r="S75" s="261"/>
      <c r="T75" s="261"/>
      <c r="U75" s="261"/>
      <c r="V75" s="261"/>
      <c r="W75" s="261"/>
      <c r="X75" s="261"/>
      <c r="Y75" s="261"/>
      <c r="Z75" s="261"/>
      <c r="AA75" s="367"/>
      <c r="AB75" s="237"/>
      <c r="AC75" s="261">
        <f t="shared" si="6"/>
        <v>0</v>
      </c>
      <c r="AD75" s="261"/>
      <c r="AE75" s="250"/>
      <c r="AF75" s="318">
        <v>0</v>
      </c>
      <c r="AG75" s="261"/>
      <c r="AH75" s="1262"/>
      <c r="AI75" s="1159">
        <f>ROUND(SUM(+AC75-AF75),1)</f>
        <v>0</v>
      </c>
      <c r="AJ75" s="1860"/>
      <c r="AK75" s="1816">
        <f>ROUND(IF(AF75=0,0,AI75/ABS(AF75)),3)</f>
        <v>0</v>
      </c>
    </row>
    <row r="76" spans="1:37" ht="15" customHeight="1">
      <c r="A76" s="352"/>
      <c r="B76" s="1784" t="s">
        <v>1191</v>
      </c>
      <c r="C76" s="1784"/>
      <c r="D76" s="1159">
        <v>8.4</v>
      </c>
      <c r="E76" s="1161"/>
      <c r="F76" s="261"/>
      <c r="G76" s="1161"/>
      <c r="H76" s="261"/>
      <c r="I76" s="261"/>
      <c r="J76" s="318"/>
      <c r="K76" s="261"/>
      <c r="L76" s="261"/>
      <c r="M76" s="261"/>
      <c r="N76" s="261"/>
      <c r="O76" s="261"/>
      <c r="P76" s="261"/>
      <c r="Q76" s="261"/>
      <c r="R76" s="261"/>
      <c r="S76" s="261"/>
      <c r="T76" s="261"/>
      <c r="U76" s="261"/>
      <c r="V76" s="261"/>
      <c r="W76" s="261"/>
      <c r="X76" s="261"/>
      <c r="Y76" s="261"/>
      <c r="Z76" s="261"/>
      <c r="AA76" s="367"/>
      <c r="AB76" s="237"/>
      <c r="AC76" s="261">
        <f t="shared" si="6"/>
        <v>8.4</v>
      </c>
      <c r="AD76" s="261"/>
      <c r="AE76" s="250"/>
      <c r="AF76" s="318">
        <v>0</v>
      </c>
      <c r="AG76" s="261"/>
      <c r="AH76" s="1262"/>
      <c r="AI76" s="1159">
        <f>ROUND(SUM(+AC76-AF76),1)</f>
        <v>8.4</v>
      </c>
      <c r="AJ76" s="1860"/>
      <c r="AK76" s="1816">
        <f>ROUND(IF(AF76=0,1,AI76/ABS(AF76)),3)</f>
        <v>1</v>
      </c>
    </row>
    <row r="77" spans="1:37" ht="15" customHeight="1">
      <c r="A77" s="352"/>
      <c r="B77" s="1784" t="s">
        <v>1192</v>
      </c>
      <c r="C77" s="1784"/>
      <c r="D77" s="1159">
        <v>0</v>
      </c>
      <c r="E77" s="1161"/>
      <c r="F77" s="261"/>
      <c r="G77" s="1161"/>
      <c r="H77" s="261"/>
      <c r="I77" s="261"/>
      <c r="J77" s="318"/>
      <c r="K77" s="261"/>
      <c r="L77" s="261"/>
      <c r="M77" s="261"/>
      <c r="N77" s="261"/>
      <c r="O77" s="261"/>
      <c r="P77" s="261"/>
      <c r="Q77" s="261"/>
      <c r="R77" s="261"/>
      <c r="S77" s="261"/>
      <c r="T77" s="261"/>
      <c r="U77" s="261"/>
      <c r="V77" s="261"/>
      <c r="W77" s="261"/>
      <c r="X77" s="261"/>
      <c r="Y77" s="261"/>
      <c r="Z77" s="261"/>
      <c r="AA77" s="367"/>
      <c r="AB77" s="237"/>
      <c r="AC77" s="261">
        <f t="shared" si="6"/>
        <v>0</v>
      </c>
      <c r="AD77" s="261"/>
      <c r="AE77" s="250"/>
      <c r="AF77" s="318">
        <v>0</v>
      </c>
      <c r="AG77" s="261"/>
      <c r="AH77" s="1262"/>
      <c r="AI77" s="1159">
        <f>ROUND(SUM(+AC77-AF77),1)</f>
        <v>0</v>
      </c>
      <c r="AJ77" s="1860"/>
      <c r="AK77" s="1816">
        <f>ROUND(IF(AF77=0,0,AI77/ABS(AF77)),3)</f>
        <v>0</v>
      </c>
    </row>
    <row r="78" spans="1:37" ht="15" customHeight="1">
      <c r="A78" s="352"/>
      <c r="B78" s="1784" t="s">
        <v>1193</v>
      </c>
      <c r="C78" s="1784"/>
      <c r="D78" s="1159">
        <v>0</v>
      </c>
      <c r="E78" s="1161"/>
      <c r="F78" s="261"/>
      <c r="G78" s="1161"/>
      <c r="H78" s="261"/>
      <c r="I78" s="261"/>
      <c r="J78" s="318"/>
      <c r="K78" s="261"/>
      <c r="L78" s="261"/>
      <c r="M78" s="261"/>
      <c r="N78" s="261"/>
      <c r="O78" s="261"/>
      <c r="P78" s="261"/>
      <c r="Q78" s="261"/>
      <c r="R78" s="261"/>
      <c r="S78" s="261"/>
      <c r="T78" s="261"/>
      <c r="U78" s="261"/>
      <c r="V78" s="261"/>
      <c r="W78" s="261"/>
      <c r="X78" s="261"/>
      <c r="Y78" s="261"/>
      <c r="Z78" s="261"/>
      <c r="AA78" s="367"/>
      <c r="AB78" s="237"/>
      <c r="AC78" s="261">
        <f t="shared" si="6"/>
        <v>0</v>
      </c>
      <c r="AD78" s="261"/>
      <c r="AE78" s="250"/>
      <c r="AF78" s="318">
        <v>0</v>
      </c>
      <c r="AG78" s="261"/>
      <c r="AH78" s="1262"/>
      <c r="AI78" s="1159">
        <f>ROUND(SUM(+AC78-AF78),1)</f>
        <v>0</v>
      </c>
      <c r="AJ78" s="1860"/>
      <c r="AK78" s="2741">
        <f>ROUND(IF(AF78=0,0,AI78/ABS(AF78)),3)</f>
        <v>0</v>
      </c>
    </row>
    <row r="79" spans="1:37" ht="15" customHeight="1">
      <c r="A79" s="352"/>
      <c r="B79" s="1784" t="s">
        <v>1194</v>
      </c>
      <c r="C79" s="1784"/>
      <c r="D79" s="1159">
        <v>0.1</v>
      </c>
      <c r="E79" s="1161"/>
      <c r="F79" s="261"/>
      <c r="G79" s="1161"/>
      <c r="H79" s="261"/>
      <c r="I79" s="261"/>
      <c r="J79" s="318"/>
      <c r="K79" s="261"/>
      <c r="L79" s="261"/>
      <c r="M79" s="261"/>
      <c r="N79" s="261"/>
      <c r="O79" s="261"/>
      <c r="P79" s="261"/>
      <c r="Q79" s="261"/>
      <c r="R79" s="261"/>
      <c r="S79" s="261"/>
      <c r="T79" s="261"/>
      <c r="U79" s="261"/>
      <c r="V79" s="261"/>
      <c r="W79" s="261"/>
      <c r="X79" s="261"/>
      <c r="Y79" s="261"/>
      <c r="Z79" s="261"/>
      <c r="AA79" s="367"/>
      <c r="AB79" s="237"/>
      <c r="AC79" s="261">
        <f t="shared" si="6"/>
        <v>0.1</v>
      </c>
      <c r="AD79" s="261"/>
      <c r="AE79" s="250"/>
      <c r="AF79" s="318">
        <v>0.2</v>
      </c>
      <c r="AG79" s="261"/>
      <c r="AH79" s="1262"/>
      <c r="AI79" s="1159">
        <f>ROUND(SUM(+AC79-AF79),1)</f>
        <v>-0.1</v>
      </c>
      <c r="AJ79" s="1860"/>
      <c r="AK79" s="2709">
        <f>ROUND(IF(AF79=0,0,AI79/ABS(AF79)),3)</f>
        <v>-0.5</v>
      </c>
    </row>
    <row r="80" spans="1:37" ht="15" customHeight="1">
      <c r="A80" s="352"/>
      <c r="B80" s="1784" t="s">
        <v>1306</v>
      </c>
      <c r="C80" s="1784"/>
      <c r="D80" s="1159"/>
      <c r="E80" s="1161"/>
      <c r="F80" s="261"/>
      <c r="G80" s="1161"/>
      <c r="H80" s="261"/>
      <c r="I80" s="261"/>
      <c r="J80" s="318"/>
      <c r="K80" s="261"/>
      <c r="L80" s="261"/>
      <c r="M80" s="261"/>
      <c r="N80" s="261"/>
      <c r="O80" s="261"/>
      <c r="P80" s="261"/>
      <c r="Q80" s="261"/>
      <c r="R80" s="261"/>
      <c r="S80" s="261"/>
      <c r="T80" s="261"/>
      <c r="U80" s="261"/>
      <c r="V80" s="261"/>
      <c r="W80" s="261"/>
      <c r="X80" s="261"/>
      <c r="Y80" s="261"/>
      <c r="Z80" s="261"/>
      <c r="AA80" s="367"/>
      <c r="AB80" s="237"/>
      <c r="AC80" s="261"/>
      <c r="AD80" s="261"/>
      <c r="AE80" s="250"/>
      <c r="AF80" s="318"/>
      <c r="AG80" s="261"/>
      <c r="AH80" s="1262"/>
      <c r="AI80" s="1159"/>
      <c r="AJ80" s="1860"/>
      <c r="AK80" s="2732"/>
    </row>
    <row r="81" spans="1:37" ht="15" customHeight="1">
      <c r="A81" s="352"/>
      <c r="B81" s="1784" t="s">
        <v>1195</v>
      </c>
      <c r="C81" s="1784"/>
      <c r="D81" s="1159">
        <v>0</v>
      </c>
      <c r="E81" s="1161"/>
      <c r="F81" s="261"/>
      <c r="G81" s="1161"/>
      <c r="H81" s="261"/>
      <c r="I81" s="261"/>
      <c r="J81" s="318"/>
      <c r="K81" s="261"/>
      <c r="L81" s="261"/>
      <c r="M81" s="261"/>
      <c r="N81" s="261"/>
      <c r="O81" s="261"/>
      <c r="P81" s="1159"/>
      <c r="Q81" s="261"/>
      <c r="R81" s="261"/>
      <c r="S81" s="261"/>
      <c r="T81" s="1159"/>
      <c r="U81" s="261"/>
      <c r="V81" s="261"/>
      <c r="W81" s="261"/>
      <c r="X81" s="261"/>
      <c r="Y81" s="261"/>
      <c r="Z81" s="261"/>
      <c r="AA81" s="367"/>
      <c r="AB81" s="237"/>
      <c r="AC81" s="261">
        <f t="shared" si="6"/>
        <v>0</v>
      </c>
      <c r="AD81" s="261"/>
      <c r="AE81" s="250"/>
      <c r="AF81" s="318">
        <v>0</v>
      </c>
      <c r="AG81" s="261"/>
      <c r="AH81" s="1262"/>
      <c r="AI81" s="1159">
        <f t="shared" ref="AI81:AI88" si="8">ROUND(SUM(+AC81-AF81),1)</f>
        <v>0</v>
      </c>
      <c r="AJ81" s="1860"/>
      <c r="AK81" s="2741">
        <f>ROUND(IF(AF81=0,0,AI81/ABS(AF81)),3)</f>
        <v>0</v>
      </c>
    </row>
    <row r="82" spans="1:37" ht="15" customHeight="1">
      <c r="A82" s="352"/>
      <c r="B82" s="1784" t="s">
        <v>1197</v>
      </c>
      <c r="C82" s="1784"/>
      <c r="D82" s="1159">
        <v>0</v>
      </c>
      <c r="E82" s="1161"/>
      <c r="F82" s="261"/>
      <c r="G82" s="1161"/>
      <c r="H82" s="261"/>
      <c r="I82" s="261"/>
      <c r="J82" s="318"/>
      <c r="K82" s="261"/>
      <c r="L82" s="261"/>
      <c r="M82" s="261"/>
      <c r="N82" s="261"/>
      <c r="O82" s="261"/>
      <c r="P82" s="261"/>
      <c r="Q82" s="261"/>
      <c r="R82" s="261"/>
      <c r="S82" s="261"/>
      <c r="T82" s="261"/>
      <c r="U82" s="261"/>
      <c r="V82" s="261"/>
      <c r="W82" s="261"/>
      <c r="X82" s="261"/>
      <c r="Y82" s="261"/>
      <c r="Z82" s="261"/>
      <c r="AA82" s="367"/>
      <c r="AB82" s="237"/>
      <c r="AC82" s="261">
        <f t="shared" si="6"/>
        <v>0</v>
      </c>
      <c r="AD82" s="261"/>
      <c r="AE82" s="250"/>
      <c r="AF82" s="318">
        <v>0.1</v>
      </c>
      <c r="AG82" s="261"/>
      <c r="AH82" s="1262"/>
      <c r="AI82" s="1159">
        <f t="shared" si="8"/>
        <v>-0.1</v>
      </c>
      <c r="AJ82" s="1860"/>
      <c r="AK82" s="2741">
        <f>ROUND(IF(AF82=0,1,AI82/ABS(AF82)),3)</f>
        <v>-1</v>
      </c>
    </row>
    <row r="83" spans="1:37" ht="15" customHeight="1">
      <c r="A83" s="352"/>
      <c r="B83" s="1784" t="s">
        <v>1198</v>
      </c>
      <c r="C83" s="1784"/>
      <c r="D83" s="1159">
        <v>0.4</v>
      </c>
      <c r="E83" s="1161"/>
      <c r="F83" s="261"/>
      <c r="G83" s="1161"/>
      <c r="H83" s="261"/>
      <c r="I83" s="261"/>
      <c r="J83" s="318"/>
      <c r="K83" s="261"/>
      <c r="L83" s="261"/>
      <c r="M83" s="261"/>
      <c r="N83" s="261"/>
      <c r="O83" s="261"/>
      <c r="P83" s="261"/>
      <c r="Q83" s="261"/>
      <c r="R83" s="261"/>
      <c r="S83" s="261"/>
      <c r="T83" s="261"/>
      <c r="U83" s="261"/>
      <c r="V83" s="261"/>
      <c r="W83" s="261"/>
      <c r="X83" s="261"/>
      <c r="Y83" s="261"/>
      <c r="Z83" s="261"/>
      <c r="AA83" s="367"/>
      <c r="AB83" s="237"/>
      <c r="AC83" s="261">
        <f t="shared" si="6"/>
        <v>0.4</v>
      </c>
      <c r="AD83" s="261"/>
      <c r="AE83" s="250"/>
      <c r="AF83" s="318">
        <v>1.4</v>
      </c>
      <c r="AG83" s="261"/>
      <c r="AH83" s="1262"/>
      <c r="AI83" s="1159">
        <f t="shared" si="8"/>
        <v>-1</v>
      </c>
      <c r="AJ83" s="1860"/>
      <c r="AK83" s="1816">
        <f>ROUND(IF(AF83=0,1,AI83/ABS(AF83)),3)</f>
        <v>-0.71399999999999997</v>
      </c>
    </row>
    <row r="84" spans="1:37" ht="15" customHeight="1">
      <c r="A84" s="352"/>
      <c r="B84" s="1784" t="s">
        <v>1200</v>
      </c>
      <c r="C84" s="1784"/>
      <c r="D84" s="1159">
        <v>-1.8</v>
      </c>
      <c r="E84" s="1161"/>
      <c r="F84" s="261"/>
      <c r="G84" s="1161"/>
      <c r="H84" s="261"/>
      <c r="I84" s="261"/>
      <c r="J84" s="318"/>
      <c r="K84" s="261"/>
      <c r="L84" s="261"/>
      <c r="M84" s="261"/>
      <c r="N84" s="261"/>
      <c r="O84" s="261"/>
      <c r="P84" s="261"/>
      <c r="Q84" s="261"/>
      <c r="R84" s="261"/>
      <c r="S84" s="261"/>
      <c r="T84" s="261"/>
      <c r="U84" s="261"/>
      <c r="V84" s="261"/>
      <c r="W84" s="261"/>
      <c r="X84" s="261"/>
      <c r="Y84" s="261"/>
      <c r="Z84" s="1159"/>
      <c r="AA84" s="367"/>
      <c r="AB84" s="237"/>
      <c r="AC84" s="261">
        <f t="shared" si="6"/>
        <v>-1.8</v>
      </c>
      <c r="AD84" s="261"/>
      <c r="AE84" s="250"/>
      <c r="AF84" s="318">
        <v>0</v>
      </c>
      <c r="AG84" s="261"/>
      <c r="AH84" s="1262"/>
      <c r="AI84" s="1159">
        <f t="shared" si="8"/>
        <v>-1.8</v>
      </c>
      <c r="AJ84" s="1860"/>
      <c r="AK84" s="2741">
        <f>-ROUND(IF(AF84=0,1,AI84/ABS(AF84)),3)</f>
        <v>-1</v>
      </c>
    </row>
    <row r="85" spans="1:37" ht="15" customHeight="1">
      <c r="A85" s="352"/>
      <c r="B85" s="1784" t="s">
        <v>1201</v>
      </c>
      <c r="C85" s="1784"/>
      <c r="D85" s="1159">
        <v>8.4</v>
      </c>
      <c r="E85" s="1161"/>
      <c r="F85" s="261"/>
      <c r="G85" s="1161"/>
      <c r="H85" s="261"/>
      <c r="I85" s="261"/>
      <c r="J85" s="318"/>
      <c r="K85" s="261"/>
      <c r="L85" s="261"/>
      <c r="M85" s="261"/>
      <c r="N85" s="261"/>
      <c r="O85" s="261"/>
      <c r="P85" s="261"/>
      <c r="Q85" s="261"/>
      <c r="R85" s="261"/>
      <c r="S85" s="261"/>
      <c r="T85" s="261"/>
      <c r="U85" s="261"/>
      <c r="V85" s="261"/>
      <c r="W85" s="261"/>
      <c r="X85" s="261"/>
      <c r="Y85" s="261"/>
      <c r="Z85" s="261"/>
      <c r="AA85" s="367"/>
      <c r="AB85" s="237"/>
      <c r="AC85" s="261">
        <f t="shared" si="6"/>
        <v>8.4</v>
      </c>
      <c r="AD85" s="261"/>
      <c r="AE85" s="250"/>
      <c r="AF85" s="318">
        <v>81.7</v>
      </c>
      <c r="AG85" s="261"/>
      <c r="AH85" s="1262"/>
      <c r="AI85" s="1159">
        <f t="shared" si="8"/>
        <v>-73.3</v>
      </c>
      <c r="AJ85" s="1860"/>
      <c r="AK85" s="2799">
        <f>ROUND(IF(AF85=0,1,AI85/ABS(AF85)),3)</f>
        <v>-0.89700000000000002</v>
      </c>
    </row>
    <row r="86" spans="1:37" ht="15" customHeight="1">
      <c r="A86" s="352"/>
      <c r="B86" s="1784" t="s">
        <v>1202</v>
      </c>
      <c r="C86" s="1784"/>
      <c r="D86" s="1159">
        <v>0</v>
      </c>
      <c r="E86" s="1161"/>
      <c r="F86" s="261"/>
      <c r="G86" s="1161"/>
      <c r="H86" s="261"/>
      <c r="I86" s="261"/>
      <c r="J86" s="318"/>
      <c r="K86" s="261"/>
      <c r="L86" s="261"/>
      <c r="M86" s="261"/>
      <c r="N86" s="261"/>
      <c r="O86" s="261"/>
      <c r="P86" s="261"/>
      <c r="Q86" s="261"/>
      <c r="R86" s="261"/>
      <c r="S86" s="261"/>
      <c r="T86" s="261"/>
      <c r="U86" s="261"/>
      <c r="V86" s="261"/>
      <c r="W86" s="261"/>
      <c r="X86" s="261"/>
      <c r="Y86" s="261"/>
      <c r="Z86" s="261"/>
      <c r="AA86" s="367"/>
      <c r="AB86" s="237"/>
      <c r="AC86" s="261">
        <f t="shared" si="6"/>
        <v>0</v>
      </c>
      <c r="AD86" s="261"/>
      <c r="AE86" s="250"/>
      <c r="AF86" s="318">
        <v>0</v>
      </c>
      <c r="AG86" s="261"/>
      <c r="AH86" s="1262"/>
      <c r="AI86" s="1159">
        <f t="shared" si="8"/>
        <v>0</v>
      </c>
      <c r="AJ86" s="1860"/>
      <c r="AK86" s="1816">
        <f>ROUND(IF(AF86=0,0,AI86/ABS(AF86)),3)</f>
        <v>0</v>
      </c>
    </row>
    <row r="87" spans="1:37" ht="15" customHeight="1">
      <c r="A87" s="352"/>
      <c r="B87" s="1784" t="s">
        <v>1203</v>
      </c>
      <c r="C87" s="1784"/>
      <c r="D87" s="1159">
        <v>-1.4</v>
      </c>
      <c r="E87" s="1161"/>
      <c r="F87" s="261"/>
      <c r="G87" s="1161"/>
      <c r="H87" s="261"/>
      <c r="I87" s="261"/>
      <c r="J87" s="318"/>
      <c r="K87" s="261"/>
      <c r="L87" s="261"/>
      <c r="M87" s="261"/>
      <c r="N87" s="261"/>
      <c r="O87" s="261"/>
      <c r="P87" s="261"/>
      <c r="Q87" s="261"/>
      <c r="R87" s="261"/>
      <c r="S87" s="261"/>
      <c r="T87" s="261"/>
      <c r="U87" s="261"/>
      <c r="V87" s="261"/>
      <c r="W87" s="261"/>
      <c r="X87" s="261"/>
      <c r="Y87" s="261"/>
      <c r="Z87" s="261"/>
      <c r="AA87" s="367"/>
      <c r="AB87" s="237"/>
      <c r="AC87" s="261">
        <f t="shared" si="6"/>
        <v>-1.4</v>
      </c>
      <c r="AD87" s="261"/>
      <c r="AE87" s="250"/>
      <c r="AF87" s="318">
        <v>4.5999999999999996</v>
      </c>
      <c r="AG87" s="261"/>
      <c r="AH87" s="1262"/>
      <c r="AI87" s="1159">
        <f t="shared" si="8"/>
        <v>-6</v>
      </c>
      <c r="AJ87" s="1860"/>
      <c r="AK87" s="1816">
        <f>ROUND(IF(AF87=0,0,AI87/ABS(AF87)),3)</f>
        <v>-1.304</v>
      </c>
    </row>
    <row r="88" spans="1:37" ht="15" customHeight="1">
      <c r="A88" s="352"/>
      <c r="B88" s="1784" t="s">
        <v>1204</v>
      </c>
      <c r="C88" s="1784"/>
      <c r="D88" s="1159">
        <v>0</v>
      </c>
      <c r="E88" s="1161"/>
      <c r="F88" s="261"/>
      <c r="G88" s="1161"/>
      <c r="H88" s="261"/>
      <c r="I88" s="261"/>
      <c r="J88" s="318"/>
      <c r="K88" s="261"/>
      <c r="L88" s="261"/>
      <c r="M88" s="261"/>
      <c r="N88" s="261"/>
      <c r="O88" s="261"/>
      <c r="P88" s="261"/>
      <c r="Q88" s="261"/>
      <c r="R88" s="261"/>
      <c r="S88" s="261"/>
      <c r="T88" s="261"/>
      <c r="U88" s="261"/>
      <c r="V88" s="261"/>
      <c r="W88" s="261"/>
      <c r="X88" s="261"/>
      <c r="Y88" s="261"/>
      <c r="Z88" s="261"/>
      <c r="AA88" s="367"/>
      <c r="AB88" s="237"/>
      <c r="AC88" s="261">
        <f t="shared" si="6"/>
        <v>0</v>
      </c>
      <c r="AD88" s="261"/>
      <c r="AE88" s="250"/>
      <c r="AF88" s="318">
        <v>1</v>
      </c>
      <c r="AG88" s="261"/>
      <c r="AH88" s="1262"/>
      <c r="AI88" s="1159">
        <f t="shared" si="8"/>
        <v>-1</v>
      </c>
      <c r="AJ88" s="1860"/>
      <c r="AK88" s="2741">
        <f>ROUND(IF(AF88=0,1,AI88/ABS(AF88)),3)</f>
        <v>-1</v>
      </c>
    </row>
    <row r="89" spans="1:37" s="421" customFormat="1" ht="15" customHeight="1">
      <c r="A89" s="2051"/>
      <c r="B89" s="588" t="s">
        <v>1240</v>
      </c>
      <c r="C89" s="412"/>
      <c r="D89" s="483">
        <f>ROUND(SUM(D58:D88),1)</f>
        <v>68.3</v>
      </c>
      <c r="E89" s="2052"/>
      <c r="F89" s="483">
        <f>ROUND(SUM(F58:F88),1)</f>
        <v>0</v>
      </c>
      <c r="G89" s="2052"/>
      <c r="H89" s="483">
        <f>ROUND(SUM(H58:H88),1)</f>
        <v>0</v>
      </c>
      <c r="I89" s="1838"/>
      <c r="J89" s="1269">
        <f>ROUND(SUM(J58:J88),1)</f>
        <v>0</v>
      </c>
      <c r="K89" s="1838"/>
      <c r="L89" s="483">
        <f>ROUND(SUM(L58:L88),1)</f>
        <v>0</v>
      </c>
      <c r="M89" s="1838"/>
      <c r="N89" s="483">
        <f>ROUND(SUM(N58:N88),1)</f>
        <v>0</v>
      </c>
      <c r="O89" s="1838"/>
      <c r="P89" s="483">
        <f>ROUND(SUM(P58:P88),1)</f>
        <v>0</v>
      </c>
      <c r="Q89" s="1838"/>
      <c r="R89" s="483">
        <f>ROUND(SUM(R58:R88),1)</f>
        <v>0</v>
      </c>
      <c r="S89" s="1838"/>
      <c r="T89" s="483">
        <f>ROUND(SUM(T58:T88),1)</f>
        <v>0</v>
      </c>
      <c r="U89" s="1838"/>
      <c r="V89" s="483">
        <f>ROUND(SUM(V58:V88),1)</f>
        <v>0</v>
      </c>
      <c r="W89" s="1838"/>
      <c r="X89" s="483">
        <f>ROUND(SUM(X58:X88),1)</f>
        <v>0</v>
      </c>
      <c r="Y89" s="1838"/>
      <c r="Z89" s="483">
        <f>ROUND(SUM(Z58:Z88),1)</f>
        <v>0</v>
      </c>
      <c r="AA89" s="409"/>
      <c r="AB89" s="484"/>
      <c r="AC89" s="483">
        <f>ROUND(SUM(AC58:AC88),1)</f>
        <v>68.3</v>
      </c>
      <c r="AD89" s="1838"/>
      <c r="AE89" s="259"/>
      <c r="AF89" s="1269">
        <f>ROUND(SUM(AF58:AF88),1)</f>
        <v>178.2</v>
      </c>
      <c r="AG89" s="1838"/>
      <c r="AH89" s="1264"/>
      <c r="AI89" s="483">
        <f>ROUND(SUM(AI58:AI88),1)</f>
        <v>-109.9</v>
      </c>
      <c r="AJ89" s="273"/>
      <c r="AK89" s="2053">
        <f>ROUND(SUM(+AI89/AF89),3)</f>
        <v>-0.61699999999999999</v>
      </c>
    </row>
    <row r="90" spans="1:37" s="421" customFormat="1" ht="8.25" customHeight="1">
      <c r="A90" s="2051"/>
      <c r="B90" s="221"/>
      <c r="C90" s="412"/>
      <c r="D90" s="1838"/>
      <c r="E90" s="2052"/>
      <c r="F90" s="1838"/>
      <c r="G90" s="2052"/>
      <c r="H90" s="1838"/>
      <c r="I90" s="1838"/>
      <c r="J90" s="312"/>
      <c r="K90" s="1838"/>
      <c r="L90" s="1838"/>
      <c r="M90" s="1838"/>
      <c r="N90" s="1838"/>
      <c r="O90" s="1838"/>
      <c r="P90" s="1838"/>
      <c r="Q90" s="1838"/>
      <c r="R90" s="1838"/>
      <c r="S90" s="1838"/>
      <c r="T90" s="1838"/>
      <c r="U90" s="1838"/>
      <c r="V90" s="1838"/>
      <c r="W90" s="1838"/>
      <c r="X90" s="1838"/>
      <c r="Y90" s="1838"/>
      <c r="Z90" s="1838"/>
      <c r="AA90" s="409"/>
      <c r="AB90" s="477"/>
      <c r="AC90" s="1838"/>
      <c r="AD90" s="1838"/>
      <c r="AE90" s="259"/>
      <c r="AF90" s="312"/>
      <c r="AG90" s="1838"/>
      <c r="AH90" s="1264"/>
      <c r="AI90" s="1838"/>
      <c r="AJ90" s="273"/>
      <c r="AK90" s="512"/>
    </row>
    <row r="91" spans="1:37" ht="15" customHeight="1">
      <c r="A91" s="352"/>
      <c r="B91" s="1343" t="s">
        <v>1436</v>
      </c>
      <c r="C91" s="222"/>
      <c r="D91" s="1160">
        <v>0</v>
      </c>
      <c r="E91" s="261"/>
      <c r="F91" s="1160"/>
      <c r="G91" s="261"/>
      <c r="H91" s="1160"/>
      <c r="I91" s="261"/>
      <c r="J91" s="2086"/>
      <c r="K91" s="261"/>
      <c r="L91" s="1160"/>
      <c r="M91" s="261"/>
      <c r="N91" s="1160"/>
      <c r="O91" s="261"/>
      <c r="P91" s="1162"/>
      <c r="Q91" s="261"/>
      <c r="R91" s="1160"/>
      <c r="S91" s="261"/>
      <c r="T91" s="1160"/>
      <c r="U91" s="261"/>
      <c r="V91" s="1160"/>
      <c r="W91" s="261"/>
      <c r="X91" s="515"/>
      <c r="Y91" s="261"/>
      <c r="Z91" s="261"/>
      <c r="AA91" s="473"/>
      <c r="AB91" s="228"/>
      <c r="AC91" s="318">
        <f>ROUND(SUM(D91:Z91),1)</f>
        <v>0</v>
      </c>
      <c r="AD91" s="261"/>
      <c r="AE91" s="250"/>
      <c r="AF91" s="1263">
        <v>0</v>
      </c>
      <c r="AG91" s="249"/>
      <c r="AH91" s="1262"/>
      <c r="AI91" s="2683">
        <f>ROUND(SUM(+AC91-AF91),1)</f>
        <v>0</v>
      </c>
      <c r="AJ91" s="1860"/>
      <c r="AK91" s="2815">
        <f>ROUND(IF(AF91=0,0,AI91/ABS(AF91)),3)</f>
        <v>0</v>
      </c>
    </row>
    <row r="92" spans="1:37" ht="3.9" customHeight="1">
      <c r="A92" s="352"/>
      <c r="B92" s="223"/>
      <c r="C92" s="222"/>
      <c r="D92" s="288"/>
      <c r="E92" s="261"/>
      <c r="F92" s="288"/>
      <c r="G92" s="261"/>
      <c r="H92" s="288"/>
      <c r="I92" s="261"/>
      <c r="J92" s="327"/>
      <c r="K92" s="261"/>
      <c r="L92" s="288"/>
      <c r="M92" s="261"/>
      <c r="N92" s="288"/>
      <c r="O92" s="261"/>
      <c r="P92" s="261"/>
      <c r="Q92" s="261"/>
      <c r="R92" s="288"/>
      <c r="S92" s="261"/>
      <c r="T92" s="288"/>
      <c r="U92" s="261"/>
      <c r="V92" s="288"/>
      <c r="W92" s="261"/>
      <c r="X92" s="288"/>
      <c r="Y92" s="261"/>
      <c r="Z92" s="288"/>
      <c r="AA92" s="475"/>
      <c r="AB92" s="228"/>
      <c r="AC92" s="327"/>
      <c r="AD92" s="261"/>
      <c r="AE92" s="250"/>
      <c r="AF92" s="327"/>
      <c r="AG92" s="249"/>
      <c r="AH92" s="1262"/>
      <c r="AI92" s="1159"/>
      <c r="AJ92" s="1860"/>
      <c r="AK92" s="1884"/>
    </row>
    <row r="93" spans="1:37" ht="15" customHeight="1">
      <c r="A93" s="352"/>
      <c r="B93" s="221" t="s">
        <v>156</v>
      </c>
      <c r="C93" s="222"/>
      <c r="D93" s="271">
        <f>ROUND(SUM(D91+D89+D54),1)</f>
        <v>5635.4</v>
      </c>
      <c r="E93" s="257"/>
      <c r="F93" s="271">
        <f>ROUND(SUM(F91+F89+F54),1)</f>
        <v>0</v>
      </c>
      <c r="G93" s="257"/>
      <c r="H93" s="271">
        <f>ROUND(SUM(H91+H89+H54),1)</f>
        <v>0</v>
      </c>
      <c r="I93" s="257"/>
      <c r="J93" s="313">
        <f>ROUND(SUM(J91+J89+J54),1)</f>
        <v>0</v>
      </c>
      <c r="K93" s="257"/>
      <c r="L93" s="1838">
        <f>ROUND(SUM(L91+L89+L54),1)</f>
        <v>0</v>
      </c>
      <c r="M93" s="257"/>
      <c r="N93" s="271">
        <f>ROUND(SUM(N91+N89+N54),1)</f>
        <v>0</v>
      </c>
      <c r="O93" s="1838"/>
      <c r="P93" s="271">
        <f>ROUND(SUM(P91+P89+P54),1)</f>
        <v>0</v>
      </c>
      <c r="Q93" s="1838"/>
      <c r="R93" s="271">
        <f>ROUND(SUM(R91+R89+R54),1)</f>
        <v>0</v>
      </c>
      <c r="S93" s="1838"/>
      <c r="T93" s="271">
        <f>ROUND(SUM(T91+T89+T54),1)</f>
        <v>0</v>
      </c>
      <c r="U93" s="1838"/>
      <c r="V93" s="271">
        <f>ROUND(SUM(V91+V89+V54),1)</f>
        <v>0</v>
      </c>
      <c r="W93" s="1838"/>
      <c r="X93" s="271">
        <f>ROUND(SUM(X91+X89+X54),1)</f>
        <v>0</v>
      </c>
      <c r="Y93" s="1838"/>
      <c r="Z93" s="271">
        <f>ROUND(SUM(Z91+Z89+Z54),1)</f>
        <v>0</v>
      </c>
      <c r="AA93" s="476"/>
      <c r="AB93" s="477"/>
      <c r="AC93" s="271">
        <f>ROUND(SUM(AC91+AC89+AC54),1)</f>
        <v>5635.4</v>
      </c>
      <c r="AD93" s="257"/>
      <c r="AE93" s="259"/>
      <c r="AF93" s="313">
        <f>ROUND(SUM(AF91+AF89+AF54),1)</f>
        <v>6074.2</v>
      </c>
      <c r="AG93" s="273"/>
      <c r="AH93" s="1264"/>
      <c r="AI93" s="271">
        <f>ROUND(SUM(AI91+AI89+AI54),1)</f>
        <v>-438.8</v>
      </c>
      <c r="AJ93" s="273"/>
      <c r="AK93" s="524">
        <f>ROUND(SUM(+AI93/AF93),3)</f>
        <v>-7.1999999999999995E-2</v>
      </c>
    </row>
    <row r="94" spans="1:37" ht="15" customHeight="1">
      <c r="A94" s="352"/>
      <c r="B94" s="223"/>
      <c r="C94" s="222"/>
      <c r="D94" s="249"/>
      <c r="E94" s="261"/>
      <c r="F94" s="249"/>
      <c r="G94" s="261"/>
      <c r="H94" s="249"/>
      <c r="I94" s="261"/>
      <c r="J94" s="262"/>
      <c r="K94" s="261"/>
      <c r="L94" s="288"/>
      <c r="M94" s="261"/>
      <c r="N94" s="249"/>
      <c r="O94" s="261"/>
      <c r="P94" s="249"/>
      <c r="Q94" s="261"/>
      <c r="R94" s="249"/>
      <c r="S94" s="261"/>
      <c r="T94" s="249"/>
      <c r="U94" s="261"/>
      <c r="V94" s="249"/>
      <c r="W94" s="261"/>
      <c r="X94" s="249"/>
      <c r="Y94" s="261"/>
      <c r="Z94" s="249"/>
      <c r="AA94" s="253"/>
      <c r="AB94" s="237"/>
      <c r="AC94" s="249"/>
      <c r="AD94" s="261"/>
      <c r="AE94" s="250"/>
      <c r="AF94" s="262"/>
      <c r="AG94" s="249"/>
      <c r="AH94" s="1262"/>
      <c r="AI94" s="1159"/>
      <c r="AJ94" s="1860"/>
      <c r="AK94" s="1884"/>
    </row>
    <row r="95" spans="1:37" ht="15" customHeight="1">
      <c r="A95" s="352"/>
      <c r="B95" s="221" t="s">
        <v>24</v>
      </c>
      <c r="C95" s="222"/>
      <c r="D95" s="261"/>
      <c r="E95" s="261"/>
      <c r="F95" s="261"/>
      <c r="G95" s="261"/>
      <c r="H95" s="261"/>
      <c r="I95" s="261"/>
      <c r="J95" s="318"/>
      <c r="K95" s="261"/>
      <c r="L95" s="261"/>
      <c r="M95" s="261"/>
      <c r="N95" s="261"/>
      <c r="O95" s="261"/>
      <c r="P95" s="261"/>
      <c r="Q95" s="261"/>
      <c r="R95" s="261"/>
      <c r="S95" s="261"/>
      <c r="T95" s="261"/>
      <c r="U95" s="261"/>
      <c r="V95" s="261"/>
      <c r="W95" s="261"/>
      <c r="X95" s="261"/>
      <c r="Y95" s="261"/>
      <c r="Z95" s="261"/>
      <c r="AA95" s="367"/>
      <c r="AB95" s="237"/>
      <c r="AC95" s="261"/>
      <c r="AD95" s="261"/>
      <c r="AE95" s="250"/>
      <c r="AF95" s="318"/>
      <c r="AG95" s="261"/>
      <c r="AH95" s="1262"/>
      <c r="AI95" s="1159"/>
      <c r="AJ95" s="1860"/>
      <c r="AK95" s="1884"/>
    </row>
    <row r="96" spans="1:37" ht="15" customHeight="1">
      <c r="A96" s="352"/>
      <c r="B96" s="223" t="s">
        <v>157</v>
      </c>
      <c r="C96" s="222"/>
      <c r="D96" s="249"/>
      <c r="E96" s="249"/>
      <c r="F96" s="249"/>
      <c r="G96" s="249"/>
      <c r="H96" s="249"/>
      <c r="I96" s="249"/>
      <c r="J96" s="262"/>
      <c r="K96" s="249"/>
      <c r="L96" s="249"/>
      <c r="M96" s="249"/>
      <c r="N96" s="249"/>
      <c r="O96" s="249"/>
      <c r="P96" s="249"/>
      <c r="Q96" s="249"/>
      <c r="R96" s="249"/>
      <c r="S96" s="249"/>
      <c r="T96" s="249"/>
      <c r="U96" s="249"/>
      <c r="V96" s="249"/>
      <c r="W96" s="249"/>
      <c r="X96" s="249"/>
      <c r="Y96" s="249"/>
      <c r="Z96" s="249"/>
      <c r="AA96" s="367"/>
      <c r="AB96" s="237"/>
      <c r="AC96" s="261"/>
      <c r="AD96" s="261"/>
      <c r="AE96" s="250"/>
      <c r="AF96" s="2097"/>
      <c r="AG96" s="1266"/>
      <c r="AH96" s="1262"/>
      <c r="AI96" s="1159"/>
      <c r="AJ96" s="1860"/>
      <c r="AK96" s="1884"/>
    </row>
    <row r="97" spans="1:37" ht="15" customHeight="1">
      <c r="A97" s="352"/>
      <c r="B97" s="381" t="s">
        <v>26</v>
      </c>
      <c r="C97" s="222"/>
      <c r="D97" s="264">
        <v>828.1</v>
      </c>
      <c r="E97" s="249"/>
      <c r="F97" s="249"/>
      <c r="G97" s="249"/>
      <c r="H97" s="249"/>
      <c r="I97" s="249"/>
      <c r="J97" s="2097"/>
      <c r="K97" s="249"/>
      <c r="L97" s="1860"/>
      <c r="M97" s="249"/>
      <c r="N97" s="249"/>
      <c r="O97" s="249"/>
      <c r="P97" s="249"/>
      <c r="Q97" s="249"/>
      <c r="R97" s="264"/>
      <c r="S97" s="249"/>
      <c r="T97" s="249"/>
      <c r="U97" s="249"/>
      <c r="V97" s="264"/>
      <c r="W97" s="249"/>
      <c r="X97" s="249"/>
      <c r="Y97" s="249"/>
      <c r="Z97" s="249"/>
      <c r="AA97" s="367"/>
      <c r="AB97" s="237"/>
      <c r="AC97" s="261">
        <f>ROUND(SUM(D97:Z97),1)</f>
        <v>828.1</v>
      </c>
      <c r="AD97" s="261"/>
      <c r="AE97" s="250"/>
      <c r="AF97" s="1929">
        <v>571.6</v>
      </c>
      <c r="AG97" s="1266"/>
      <c r="AH97" s="1262"/>
      <c r="AI97" s="1159">
        <f>ROUND(SUM(+AC97-AF97),1)</f>
        <v>256.5</v>
      </c>
      <c r="AJ97" s="1860"/>
      <c r="AK97" s="1816">
        <f>ROUND(IF(AF97=0,0,AI97/ABS(AF97)),3)</f>
        <v>0.44900000000000001</v>
      </c>
    </row>
    <row r="98" spans="1:37" ht="15" customHeight="1">
      <c r="A98" s="352"/>
      <c r="B98" s="381" t="s">
        <v>27</v>
      </c>
      <c r="C98" s="222"/>
      <c r="D98" s="264">
        <v>0.1</v>
      </c>
      <c r="E98" s="261"/>
      <c r="F98" s="261"/>
      <c r="G98" s="261"/>
      <c r="H98" s="261"/>
      <c r="I98" s="261"/>
      <c r="J98" s="318"/>
      <c r="K98" s="261"/>
      <c r="L98" s="1159"/>
      <c r="M98" s="261"/>
      <c r="N98" s="261"/>
      <c r="O98" s="261"/>
      <c r="P98" s="261"/>
      <c r="Q98" s="261"/>
      <c r="R98" s="1160"/>
      <c r="S98" s="261"/>
      <c r="T98" s="1160"/>
      <c r="U98" s="261"/>
      <c r="V98" s="261"/>
      <c r="W98" s="261"/>
      <c r="X98" s="261"/>
      <c r="Y98" s="261"/>
      <c r="Z98" s="261"/>
      <c r="AA98" s="367"/>
      <c r="AB98" s="237"/>
      <c r="AC98" s="261">
        <f t="shared" ref="AC98:AC105" si="9">ROUND(SUM(D98:Z98),1)</f>
        <v>0.1</v>
      </c>
      <c r="AD98" s="261"/>
      <c r="AE98" s="250"/>
      <c r="AF98" s="2993">
        <v>0</v>
      </c>
      <c r="AG98" s="261"/>
      <c r="AH98" s="1262"/>
      <c r="AI98" s="1159">
        <f t="shared" ref="AI98:AI106" si="10">ROUND(SUM(+AC98-AF98),1)</f>
        <v>0.1</v>
      </c>
      <c r="AJ98" s="1860"/>
      <c r="AK98" s="1816">
        <f>ROUND(IF(AF98=0,1,AI98/ABS(AF98)),3)</f>
        <v>1</v>
      </c>
    </row>
    <row r="99" spans="1:37" ht="15" customHeight="1">
      <c r="A99" s="352"/>
      <c r="B99" s="381" t="s">
        <v>28</v>
      </c>
      <c r="C99" s="222"/>
      <c r="D99" s="264">
        <v>2.1</v>
      </c>
      <c r="E99" s="261"/>
      <c r="F99" s="261"/>
      <c r="G99" s="261"/>
      <c r="H99" s="261"/>
      <c r="I99" s="261"/>
      <c r="J99" s="318"/>
      <c r="K99" s="261"/>
      <c r="L99" s="1159"/>
      <c r="M99" s="261"/>
      <c r="N99" s="261"/>
      <c r="O99" s="261"/>
      <c r="P99" s="261"/>
      <c r="Q99" s="261"/>
      <c r="R99" s="261"/>
      <c r="S99" s="261"/>
      <c r="T99" s="261"/>
      <c r="U99" s="261"/>
      <c r="V99" s="261"/>
      <c r="W99" s="261"/>
      <c r="X99" s="261"/>
      <c r="Y99" s="261"/>
      <c r="Z99" s="261"/>
      <c r="AA99" s="367"/>
      <c r="AB99" s="237"/>
      <c r="AC99" s="261">
        <f t="shared" si="9"/>
        <v>2.1</v>
      </c>
      <c r="AD99" s="261"/>
      <c r="AE99" s="250"/>
      <c r="AF99" s="1787">
        <v>2.4</v>
      </c>
      <c r="AG99" s="261"/>
      <c r="AH99" s="1262"/>
      <c r="AI99" s="1159">
        <f t="shared" si="10"/>
        <v>-0.3</v>
      </c>
      <c r="AJ99" s="1860"/>
      <c r="AK99" s="1816">
        <f>ROUND(IF(AF99=0,0,AI99/ABS(AF99)),3)</f>
        <v>-0.125</v>
      </c>
    </row>
    <row r="100" spans="1:37" ht="15" customHeight="1">
      <c r="A100" s="352"/>
      <c r="B100" s="381" t="s">
        <v>29</v>
      </c>
      <c r="C100" s="222"/>
      <c r="D100" s="264"/>
      <c r="E100" s="261"/>
      <c r="F100" s="261"/>
      <c r="G100" s="261"/>
      <c r="H100" s="261"/>
      <c r="I100" s="261"/>
      <c r="J100" s="318"/>
      <c r="K100" s="261"/>
      <c r="L100" s="1159"/>
      <c r="M100" s="261"/>
      <c r="N100" s="261"/>
      <c r="O100" s="261"/>
      <c r="P100" s="261"/>
      <c r="Q100" s="261"/>
      <c r="R100" s="261"/>
      <c r="S100" s="261"/>
      <c r="T100" s="261"/>
      <c r="U100" s="261"/>
      <c r="V100" s="261"/>
      <c r="W100" s="261"/>
      <c r="X100" s="261"/>
      <c r="Y100" s="261"/>
      <c r="Z100" s="261"/>
      <c r="AA100" s="367"/>
      <c r="AB100" s="237"/>
      <c r="AC100" s="1159" t="s">
        <v>16</v>
      </c>
      <c r="AD100" s="261"/>
      <c r="AE100" s="250"/>
      <c r="AF100" s="1787"/>
      <c r="AG100" s="261"/>
      <c r="AH100" s="1262"/>
      <c r="AI100" s="1159" t="s">
        <v>16</v>
      </c>
      <c r="AJ100" s="1860"/>
      <c r="AK100" s="1884" t="s">
        <v>16</v>
      </c>
    </row>
    <row r="101" spans="1:37" ht="15" customHeight="1">
      <c r="A101" s="352"/>
      <c r="B101" s="1675" t="s">
        <v>30</v>
      </c>
      <c r="C101" s="222"/>
      <c r="D101" s="264">
        <v>990.1</v>
      </c>
      <c r="E101" s="261"/>
      <c r="F101" s="261"/>
      <c r="G101" s="261"/>
      <c r="H101" s="261"/>
      <c r="I101" s="261"/>
      <c r="J101" s="318"/>
      <c r="K101" s="261"/>
      <c r="L101" s="1159"/>
      <c r="M101" s="261"/>
      <c r="N101" s="261"/>
      <c r="O101" s="261"/>
      <c r="P101" s="261"/>
      <c r="Q101" s="261"/>
      <c r="R101" s="261"/>
      <c r="S101" s="261"/>
      <c r="T101" s="261"/>
      <c r="U101" s="261"/>
      <c r="V101" s="261"/>
      <c r="W101" s="261"/>
      <c r="X101" s="261"/>
      <c r="Y101" s="261"/>
      <c r="Z101" s="261"/>
      <c r="AA101" s="367"/>
      <c r="AB101" s="237"/>
      <c r="AC101" s="261">
        <f t="shared" si="9"/>
        <v>990.1</v>
      </c>
      <c r="AD101" s="261"/>
      <c r="AE101" s="250"/>
      <c r="AF101" s="1787">
        <v>1224.3</v>
      </c>
      <c r="AG101" s="261"/>
      <c r="AH101" s="1262"/>
      <c r="AI101" s="1159">
        <f t="shared" si="10"/>
        <v>-234.2</v>
      </c>
      <c r="AJ101" s="1860"/>
      <c r="AK101" s="1816">
        <f t="shared" ref="AK101:AK106" si="11">ROUND(IF(AF101=0,0,AI101/ABS(AF101)),3)</f>
        <v>-0.191</v>
      </c>
    </row>
    <row r="102" spans="1:37" ht="15" customHeight="1">
      <c r="A102" s="352"/>
      <c r="B102" s="381" t="s">
        <v>31</v>
      </c>
      <c r="C102" s="222"/>
      <c r="D102" s="264">
        <v>24.7</v>
      </c>
      <c r="E102" s="261"/>
      <c r="F102" s="261"/>
      <c r="G102" s="261"/>
      <c r="H102" s="261"/>
      <c r="I102" s="261"/>
      <c r="J102" s="318"/>
      <c r="K102" s="261"/>
      <c r="L102" s="1159"/>
      <c r="M102" s="261"/>
      <c r="N102" s="261"/>
      <c r="O102" s="261"/>
      <c r="P102" s="261"/>
      <c r="Q102" s="261"/>
      <c r="R102" s="261"/>
      <c r="S102" s="261"/>
      <c r="T102" s="261"/>
      <c r="U102" s="261"/>
      <c r="V102" s="261"/>
      <c r="W102" s="261"/>
      <c r="X102" s="261"/>
      <c r="Y102" s="261"/>
      <c r="Z102" s="261"/>
      <c r="AA102" s="367"/>
      <c r="AB102" s="237"/>
      <c r="AC102" s="261">
        <f t="shared" si="9"/>
        <v>24.7</v>
      </c>
      <c r="AD102" s="261"/>
      <c r="AE102" s="250"/>
      <c r="AF102" s="1787">
        <v>13</v>
      </c>
      <c r="AG102" s="261"/>
      <c r="AH102" s="1262"/>
      <c r="AI102" s="1159">
        <f t="shared" si="10"/>
        <v>11.7</v>
      </c>
      <c r="AJ102" s="1860"/>
      <c r="AK102" s="1816">
        <f t="shared" si="11"/>
        <v>0.9</v>
      </c>
    </row>
    <row r="103" spans="1:37" ht="15" customHeight="1">
      <c r="A103" s="352"/>
      <c r="B103" s="381" t="s">
        <v>32</v>
      </c>
      <c r="C103" s="222"/>
      <c r="D103" s="264">
        <v>7.2</v>
      </c>
      <c r="E103" s="261"/>
      <c r="F103" s="261"/>
      <c r="G103" s="261"/>
      <c r="H103" s="261"/>
      <c r="I103" s="261"/>
      <c r="J103" s="318"/>
      <c r="K103" s="261"/>
      <c r="L103" s="1159"/>
      <c r="M103" s="261"/>
      <c r="N103" s="261"/>
      <c r="O103" s="261"/>
      <c r="P103" s="261"/>
      <c r="Q103" s="261"/>
      <c r="R103" s="261"/>
      <c r="S103" s="261"/>
      <c r="T103" s="261"/>
      <c r="U103" s="261"/>
      <c r="V103" s="261"/>
      <c r="W103" s="261"/>
      <c r="X103" s="261"/>
      <c r="Y103" s="261"/>
      <c r="Z103" s="261"/>
      <c r="AA103" s="367"/>
      <c r="AB103" s="237"/>
      <c r="AC103" s="261">
        <f t="shared" si="9"/>
        <v>7.2</v>
      </c>
      <c r="AD103" s="261"/>
      <c r="AE103" s="250"/>
      <c r="AF103" s="1159">
        <v>4.4000000000000004</v>
      </c>
      <c r="AG103" s="261"/>
      <c r="AH103" s="1262" t="s">
        <v>16</v>
      </c>
      <c r="AI103" s="1159">
        <f t="shared" si="10"/>
        <v>2.8</v>
      </c>
      <c r="AJ103" s="1860"/>
      <c r="AK103" s="1816">
        <f t="shared" si="11"/>
        <v>0.63600000000000001</v>
      </c>
    </row>
    <row r="104" spans="1:37" ht="15" customHeight="1">
      <c r="A104" s="352"/>
      <c r="B104" s="381" t="s">
        <v>33</v>
      </c>
      <c r="C104" s="222"/>
      <c r="D104" s="264">
        <v>122.9</v>
      </c>
      <c r="E104" s="261"/>
      <c r="F104" s="261"/>
      <c r="G104" s="261"/>
      <c r="H104" s="261"/>
      <c r="I104" s="261"/>
      <c r="J104" s="318"/>
      <c r="K104" s="261"/>
      <c r="L104" s="1159"/>
      <c r="M104" s="261"/>
      <c r="N104" s="261"/>
      <c r="O104" s="261"/>
      <c r="P104" s="261"/>
      <c r="Q104" s="261"/>
      <c r="R104" s="261"/>
      <c r="S104" s="261"/>
      <c r="T104" s="261"/>
      <c r="U104" s="261"/>
      <c r="V104" s="261"/>
      <c r="W104" s="261"/>
      <c r="X104" s="261"/>
      <c r="Y104" s="261"/>
      <c r="Z104" s="261"/>
      <c r="AA104" s="367"/>
      <c r="AB104" s="237"/>
      <c r="AC104" s="261">
        <f t="shared" si="9"/>
        <v>122.9</v>
      </c>
      <c r="AD104" s="261"/>
      <c r="AE104" s="250"/>
      <c r="AF104" s="1159">
        <v>132.19999999999999</v>
      </c>
      <c r="AG104" s="261"/>
      <c r="AH104" s="1262"/>
      <c r="AI104" s="1159">
        <f t="shared" si="10"/>
        <v>-9.3000000000000007</v>
      </c>
      <c r="AJ104" s="1860"/>
      <c r="AK104" s="1816">
        <f t="shared" si="11"/>
        <v>-7.0000000000000007E-2</v>
      </c>
    </row>
    <row r="105" spans="1:37" ht="15" customHeight="1">
      <c r="A105" s="352"/>
      <c r="B105" s="381" t="s">
        <v>34</v>
      </c>
      <c r="C105" s="222"/>
      <c r="D105" s="254">
        <v>2.2000000000000002</v>
      </c>
      <c r="E105" s="261"/>
      <c r="F105" s="516"/>
      <c r="G105" s="261"/>
      <c r="H105" s="261"/>
      <c r="I105" s="261"/>
      <c r="J105" s="318"/>
      <c r="K105" s="261"/>
      <c r="L105" s="1159"/>
      <c r="M105" s="261"/>
      <c r="N105" s="515"/>
      <c r="O105" s="261"/>
      <c r="P105" s="261"/>
      <c r="Q105" s="261"/>
      <c r="R105" s="261"/>
      <c r="S105" s="261"/>
      <c r="T105" s="261"/>
      <c r="U105" s="261"/>
      <c r="V105" s="515"/>
      <c r="W105" s="261"/>
      <c r="X105" s="261"/>
      <c r="Y105" s="261"/>
      <c r="Z105" s="261"/>
      <c r="AA105" s="367"/>
      <c r="AB105" s="237"/>
      <c r="AC105" s="261">
        <f t="shared" si="9"/>
        <v>2.2000000000000002</v>
      </c>
      <c r="AD105" s="261"/>
      <c r="AE105" s="250"/>
      <c r="AF105" s="1929">
        <v>2.2999999999999998</v>
      </c>
      <c r="AG105" s="261"/>
      <c r="AH105" s="1262"/>
      <c r="AI105" s="1159">
        <f t="shared" si="10"/>
        <v>-0.1</v>
      </c>
      <c r="AJ105" s="1860"/>
      <c r="AK105" s="1816">
        <f t="shared" si="11"/>
        <v>-4.2999999999999997E-2</v>
      </c>
    </row>
    <row r="106" spans="1:37" ht="15" customHeight="1">
      <c r="A106" s="352"/>
      <c r="B106" s="381" t="s">
        <v>35</v>
      </c>
      <c r="C106" s="222"/>
      <c r="D106" s="1160">
        <v>0</v>
      </c>
      <c r="E106" s="261"/>
      <c r="F106" s="516"/>
      <c r="G106" s="261"/>
      <c r="H106" s="261"/>
      <c r="I106" s="261"/>
      <c r="J106" s="2098"/>
      <c r="K106" s="261"/>
      <c r="L106" s="1159"/>
      <c r="M106" s="261"/>
      <c r="N106" s="261"/>
      <c r="O106" s="261"/>
      <c r="P106" s="1160"/>
      <c r="Q106" s="261"/>
      <c r="R106" s="261"/>
      <c r="S106" s="261"/>
      <c r="T106" s="261"/>
      <c r="U106" s="261"/>
      <c r="V106" s="261"/>
      <c r="W106" s="261"/>
      <c r="X106" s="261"/>
      <c r="Y106" s="261"/>
      <c r="Z106" s="261"/>
      <c r="AA106" s="367"/>
      <c r="AB106" s="237"/>
      <c r="AC106" s="261">
        <f>ROUND(SUM(D106:Z106),1)</f>
        <v>0</v>
      </c>
      <c r="AD106" s="266"/>
      <c r="AE106" s="1267"/>
      <c r="AF106" s="1340">
        <v>0</v>
      </c>
      <c r="AG106" s="266"/>
      <c r="AH106" s="1268"/>
      <c r="AI106" s="1159">
        <f t="shared" si="10"/>
        <v>0</v>
      </c>
      <c r="AJ106" s="2315"/>
      <c r="AK106" s="1816">
        <f t="shared" si="11"/>
        <v>0</v>
      </c>
    </row>
    <row r="107" spans="1:37" ht="15" customHeight="1">
      <c r="A107" s="352"/>
      <c r="B107" s="1343" t="s">
        <v>1122</v>
      </c>
      <c r="C107" s="222"/>
      <c r="D107" s="483">
        <f>ROUND(SUM(D97:D106),1)</f>
        <v>1977.4</v>
      </c>
      <c r="E107" s="257"/>
      <c r="F107" s="483">
        <f>ROUND(SUM(F97:F106),1)</f>
        <v>0</v>
      </c>
      <c r="G107" s="257"/>
      <c r="H107" s="483">
        <f>ROUND(SUM(H97:H106),1)</f>
        <v>0</v>
      </c>
      <c r="I107" s="273" t="s">
        <v>16</v>
      </c>
      <c r="J107" s="1269">
        <f>ROUND(SUM(J97:J106),1)</f>
        <v>0</v>
      </c>
      <c r="K107" s="273" t="s">
        <v>16</v>
      </c>
      <c r="L107" s="483">
        <f>ROUND(SUM(L97:L106),1)</f>
        <v>0</v>
      </c>
      <c r="M107" s="273" t="s">
        <v>16</v>
      </c>
      <c r="N107" s="483">
        <f>ROUND(SUM(N97:N106),1)</f>
        <v>0</v>
      </c>
      <c r="O107" s="273" t="s">
        <v>16</v>
      </c>
      <c r="P107" s="483">
        <f>ROUND(SUM(P97:P106),1)</f>
        <v>0</v>
      </c>
      <c r="Q107" s="273" t="s">
        <v>16</v>
      </c>
      <c r="R107" s="483">
        <f>ROUND(SUM(R97:R106),1)</f>
        <v>0</v>
      </c>
      <c r="S107" s="273" t="s">
        <v>16</v>
      </c>
      <c r="T107" s="483">
        <f>ROUND(SUM(T97:T106),1)</f>
        <v>0</v>
      </c>
      <c r="U107" s="273" t="s">
        <v>16</v>
      </c>
      <c r="V107" s="483">
        <f>ROUND(SUM(V97:V106),1)</f>
        <v>0</v>
      </c>
      <c r="W107" s="273" t="s">
        <v>16</v>
      </c>
      <c r="X107" s="483">
        <f>ROUND(SUM(X97:X106),1)</f>
        <v>0</v>
      </c>
      <c r="Y107" s="273" t="s">
        <v>16</v>
      </c>
      <c r="Z107" s="483">
        <f>ROUND(SUM(Z97:Z106),1)</f>
        <v>0</v>
      </c>
      <c r="AA107" s="368" t="s">
        <v>16</v>
      </c>
      <c r="AB107" s="484"/>
      <c r="AC107" s="1269">
        <f>SUM(AC97:AC106)</f>
        <v>1977.4000000000003</v>
      </c>
      <c r="AD107" s="257"/>
      <c r="AE107" s="259"/>
      <c r="AF107" s="1269">
        <f>ROUND(SUM(AF97:AF106),1)</f>
        <v>1950.2</v>
      </c>
      <c r="AG107" s="273"/>
      <c r="AH107" s="1264"/>
      <c r="AI107" s="483">
        <f>ROUND(SUM(+AC107-AF107),1)</f>
        <v>27.2</v>
      </c>
      <c r="AJ107" s="273"/>
      <c r="AK107" s="2684">
        <f>ROUND(SUM(AI107/AF107),3)</f>
        <v>1.4E-2</v>
      </c>
    </row>
    <row r="108" spans="1:37" ht="15" customHeight="1">
      <c r="A108" s="352"/>
      <c r="B108" s="223" t="s">
        <v>158</v>
      </c>
      <c r="C108" s="222"/>
      <c r="D108" s="261"/>
      <c r="E108" s="261"/>
      <c r="F108" s="261"/>
      <c r="G108" s="261"/>
      <c r="H108" s="261"/>
      <c r="I108" s="261"/>
      <c r="J108" s="318"/>
      <c r="K108" s="261"/>
      <c r="L108" s="261"/>
      <c r="M108" s="261"/>
      <c r="N108" s="261"/>
      <c r="O108" s="261"/>
      <c r="P108" s="261"/>
      <c r="Q108" s="261"/>
      <c r="R108" s="261"/>
      <c r="S108" s="261"/>
      <c r="T108" s="261"/>
      <c r="U108" s="261"/>
      <c r="V108" s="261"/>
      <c r="W108" s="261"/>
      <c r="X108" s="261"/>
      <c r="Y108" s="261"/>
      <c r="Z108" s="261"/>
      <c r="AA108" s="367"/>
      <c r="AB108" s="237"/>
      <c r="AC108" s="261"/>
      <c r="AD108" s="261"/>
      <c r="AE108" s="250"/>
      <c r="AF108" s="318"/>
      <c r="AG108" s="261"/>
      <c r="AH108" s="1262"/>
      <c r="AI108" s="1159"/>
      <c r="AJ108" s="1860"/>
      <c r="AK108" s="1884"/>
    </row>
    <row r="109" spans="1:37" ht="15" customHeight="1">
      <c r="A109" s="352"/>
      <c r="B109" s="223" t="s">
        <v>159</v>
      </c>
      <c r="C109" s="222"/>
      <c r="D109" s="261">
        <v>474.9</v>
      </c>
      <c r="E109" s="261"/>
      <c r="F109" s="261"/>
      <c r="G109" s="261"/>
      <c r="H109" s="261"/>
      <c r="I109" s="261"/>
      <c r="J109" s="318"/>
      <c r="K109" s="261"/>
      <c r="L109" s="1159"/>
      <c r="M109" s="261"/>
      <c r="N109" s="261"/>
      <c r="O109" s="261"/>
      <c r="P109" s="261"/>
      <c r="Q109" s="261"/>
      <c r="R109" s="261"/>
      <c r="S109" s="261"/>
      <c r="T109" s="261"/>
      <c r="U109" s="261"/>
      <c r="V109" s="261"/>
      <c r="W109" s="261"/>
      <c r="X109" s="261"/>
      <c r="Y109" s="261"/>
      <c r="Z109" s="261"/>
      <c r="AA109" s="367"/>
      <c r="AB109" s="237"/>
      <c r="AC109" s="261">
        <f>ROUND(SUM(D109:Z109),1)</f>
        <v>474.9</v>
      </c>
      <c r="AD109" s="261"/>
      <c r="AE109" s="250"/>
      <c r="AF109" s="1159">
        <v>554.20000000000005</v>
      </c>
      <c r="AG109" s="261"/>
      <c r="AH109" s="1262"/>
      <c r="AI109" s="1159">
        <f>ROUND(SUM(+AC109-AF109),1)</f>
        <v>-79.3</v>
      </c>
      <c r="AJ109" s="1860"/>
      <c r="AK109" s="1816">
        <f>ROUND(IF(AF109=0,0,AI109/ABS(AF109)),3)</f>
        <v>-0.14299999999999999</v>
      </c>
    </row>
    <row r="110" spans="1:37" ht="15" customHeight="1">
      <c r="A110" s="352"/>
      <c r="B110" s="247" t="s">
        <v>160</v>
      </c>
      <c r="C110" s="222"/>
      <c r="D110" s="261">
        <v>102.9</v>
      </c>
      <c r="E110" s="261"/>
      <c r="F110" s="261"/>
      <c r="G110" s="261"/>
      <c r="H110" s="261"/>
      <c r="I110" s="261"/>
      <c r="J110" s="318"/>
      <c r="K110" s="261"/>
      <c r="L110" s="1159"/>
      <c r="M110" s="261"/>
      <c r="N110" s="261"/>
      <c r="O110" s="261"/>
      <c r="P110" s="261"/>
      <c r="Q110" s="261"/>
      <c r="R110" s="261"/>
      <c r="S110" s="261"/>
      <c r="T110" s="261"/>
      <c r="U110" s="261"/>
      <c r="V110" s="261"/>
      <c r="W110" s="261"/>
      <c r="X110" s="261"/>
      <c r="Y110" s="261"/>
      <c r="Z110" s="261"/>
      <c r="AA110" s="367"/>
      <c r="AB110" s="237"/>
      <c r="AC110" s="261">
        <f>ROUND(SUM(D110:Z110),1)</f>
        <v>102.9</v>
      </c>
      <c r="AD110" s="261"/>
      <c r="AE110" s="250"/>
      <c r="AF110" s="1159">
        <v>68.400000000000006</v>
      </c>
      <c r="AG110" s="261"/>
      <c r="AH110" s="1262"/>
      <c r="AI110" s="1159">
        <f>ROUND(SUM(+AC110-AF110),1)</f>
        <v>34.5</v>
      </c>
      <c r="AJ110" s="1860"/>
      <c r="AK110" s="1816">
        <f>ROUND(IF(AF110=0,0,AI110/ABS(AF110)),3)</f>
        <v>0.504</v>
      </c>
    </row>
    <row r="111" spans="1:37" ht="15" customHeight="1">
      <c r="A111" s="352"/>
      <c r="B111" s="247" t="s">
        <v>161</v>
      </c>
      <c r="C111" s="222"/>
      <c r="D111" s="261">
        <v>2439.6999999999998</v>
      </c>
      <c r="E111" s="1161"/>
      <c r="F111" s="261"/>
      <c r="G111" s="1161"/>
      <c r="H111" s="261"/>
      <c r="I111" s="261"/>
      <c r="J111" s="318"/>
      <c r="K111" s="261"/>
      <c r="L111" s="1159"/>
      <c r="M111" s="261"/>
      <c r="N111" s="261"/>
      <c r="O111" s="261"/>
      <c r="P111" s="261"/>
      <c r="Q111" s="261"/>
      <c r="R111" s="488"/>
      <c r="S111" s="261"/>
      <c r="T111" s="261"/>
      <c r="U111" s="261"/>
      <c r="V111" s="261"/>
      <c r="W111" s="261"/>
      <c r="X111" s="261"/>
      <c r="Y111" s="261"/>
      <c r="Z111" s="261"/>
      <c r="AA111" s="485"/>
      <c r="AB111" s="228"/>
      <c r="AC111" s="261">
        <f>ROUND(SUM(D111:Z111),1)</f>
        <v>2439.6999999999998</v>
      </c>
      <c r="AD111" s="261"/>
      <c r="AE111" s="250"/>
      <c r="AF111" s="1159">
        <v>612.29999999999995</v>
      </c>
      <c r="AG111" s="249"/>
      <c r="AH111" s="1262"/>
      <c r="AI111" s="2683">
        <f>ROUND(SUM(+AC111-AF111),1)</f>
        <v>1827.4</v>
      </c>
      <c r="AJ111" s="1860"/>
      <c r="AK111" s="2560">
        <f>ROUND(IF(AF111=0,0,AI111/ABS(AF111)),3)</f>
        <v>2.984</v>
      </c>
    </row>
    <row r="112" spans="1:37" ht="7.5" customHeight="1">
      <c r="A112" s="352"/>
      <c r="B112" s="223"/>
      <c r="C112" s="222"/>
      <c r="D112" s="288"/>
      <c r="E112" s="261"/>
      <c r="F112" s="288"/>
      <c r="G112" s="261"/>
      <c r="H112" s="288"/>
      <c r="I112" s="261"/>
      <c r="J112" s="327"/>
      <c r="K112" s="261"/>
      <c r="L112" s="288"/>
      <c r="M112" s="261"/>
      <c r="N112" s="288"/>
      <c r="O112" s="261"/>
      <c r="P112" s="288"/>
      <c r="Q112" s="261"/>
      <c r="R112" s="261"/>
      <c r="S112" s="261"/>
      <c r="T112" s="288"/>
      <c r="U112" s="261"/>
      <c r="V112" s="288"/>
      <c r="W112" s="261"/>
      <c r="X112" s="288"/>
      <c r="Y112" s="261"/>
      <c r="Z112" s="288"/>
      <c r="AA112" s="253"/>
      <c r="AB112" s="237"/>
      <c r="AC112" s="327"/>
      <c r="AD112" s="261"/>
      <c r="AE112" s="250"/>
      <c r="AF112" s="327"/>
      <c r="AG112" s="249"/>
      <c r="AH112" s="1262"/>
      <c r="AI112" s="1159"/>
      <c r="AJ112" s="1860"/>
      <c r="AK112" s="1884"/>
    </row>
    <row r="113" spans="1:37" ht="15" customHeight="1">
      <c r="A113" s="352"/>
      <c r="B113" s="221" t="s">
        <v>162</v>
      </c>
      <c r="C113" s="222"/>
      <c r="D113" s="257">
        <f>ROUND(SUM(D109:D111)+D107,1)</f>
        <v>4994.8999999999996</v>
      </c>
      <c r="E113" s="257"/>
      <c r="F113" s="257">
        <f>ROUND(SUM(F107:F111),1)</f>
        <v>0</v>
      </c>
      <c r="G113" s="257"/>
      <c r="H113" s="257">
        <f>ROUND(SUM(H107:H111),1)</f>
        <v>0</v>
      </c>
      <c r="I113" s="257"/>
      <c r="J113" s="312">
        <f>ROUND(SUM(J107:J111),1)</f>
        <v>0</v>
      </c>
      <c r="K113" s="257"/>
      <c r="L113" s="257">
        <f>ROUND(SUM(L107:L111),1)</f>
        <v>0</v>
      </c>
      <c r="M113" s="257"/>
      <c r="N113" s="1838">
        <f>ROUND(SUM(N107:N111),1)</f>
        <v>0</v>
      </c>
      <c r="O113" s="1838"/>
      <c r="P113" s="1838">
        <f>ROUND(SUM(P107:P111),1)</f>
        <v>0</v>
      </c>
      <c r="Q113" s="1838"/>
      <c r="R113" s="1838">
        <f>ROUND(SUM(R107:R111),1)</f>
        <v>0</v>
      </c>
      <c r="S113" s="1838"/>
      <c r="T113" s="1838">
        <f>ROUND(SUM(T107:T111),1)</f>
        <v>0</v>
      </c>
      <c r="U113" s="1838"/>
      <c r="V113" s="1838">
        <f>ROUND(SUM(V107:V111),1)</f>
        <v>0</v>
      </c>
      <c r="W113" s="1838"/>
      <c r="X113" s="1838">
        <f>ROUND(SUM(X107:X111),1)</f>
        <v>0</v>
      </c>
      <c r="Y113" s="1838"/>
      <c r="Z113" s="1838">
        <f>ROUND(SUM(Z107:Z111),1)</f>
        <v>0</v>
      </c>
      <c r="AA113" s="476"/>
      <c r="AB113" s="477"/>
      <c r="AC113" s="312">
        <f>ROUND(SUM(AC107:AC111),1)</f>
        <v>4994.8999999999996</v>
      </c>
      <c r="AD113" s="257"/>
      <c r="AE113" s="259"/>
      <c r="AF113" s="312">
        <f>ROUND(SUM(AF107:AF111),1)</f>
        <v>3185.1</v>
      </c>
      <c r="AG113" s="273"/>
      <c r="AH113" s="1264"/>
      <c r="AI113" s="2139">
        <f>ROUND(SUM(AI107:AI111),1)</f>
        <v>1809.8</v>
      </c>
      <c r="AJ113" s="273"/>
      <c r="AK113" s="2685">
        <f>ROUND(SUM(AI113/AF113),3)</f>
        <v>0.56799999999999995</v>
      </c>
    </row>
    <row r="114" spans="1:37" ht="15" customHeight="1">
      <c r="A114" s="352"/>
      <c r="B114" s="223"/>
      <c r="C114" s="222"/>
      <c r="D114" s="288"/>
      <c r="E114" s="261"/>
      <c r="F114" s="288"/>
      <c r="G114" s="261"/>
      <c r="H114" s="288"/>
      <c r="I114" s="261"/>
      <c r="J114" s="327"/>
      <c r="K114" s="261"/>
      <c r="L114" s="288"/>
      <c r="M114" s="261"/>
      <c r="N114" s="288"/>
      <c r="O114" s="261"/>
      <c r="P114" s="288"/>
      <c r="Q114" s="261"/>
      <c r="R114" s="288"/>
      <c r="S114" s="261"/>
      <c r="T114" s="288"/>
      <c r="U114" s="261"/>
      <c r="V114" s="288"/>
      <c r="W114" s="261"/>
      <c r="X114" s="288"/>
      <c r="Y114" s="261"/>
      <c r="Z114" s="288"/>
      <c r="AA114" s="253"/>
      <c r="AB114" s="237"/>
      <c r="AC114" s="288"/>
      <c r="AD114" s="261"/>
      <c r="AE114" s="250"/>
      <c r="AF114" s="327"/>
      <c r="AG114" s="249"/>
      <c r="AH114" s="1262"/>
      <c r="AI114" s="1159"/>
      <c r="AJ114" s="1860"/>
      <c r="AK114" s="1884"/>
    </row>
    <row r="115" spans="1:37" ht="15" customHeight="1">
      <c r="A115" s="352"/>
      <c r="B115" s="221" t="s">
        <v>163</v>
      </c>
      <c r="C115" s="222"/>
      <c r="D115" s="261"/>
      <c r="E115" s="261"/>
      <c r="F115" s="261"/>
      <c r="G115" s="261"/>
      <c r="H115" s="261"/>
      <c r="I115" s="261"/>
      <c r="J115" s="318"/>
      <c r="K115" s="261"/>
      <c r="L115" s="261"/>
      <c r="M115" s="261"/>
      <c r="N115" s="261"/>
      <c r="O115" s="261"/>
      <c r="P115" s="261"/>
      <c r="Q115" s="261"/>
      <c r="R115" s="261"/>
      <c r="S115" s="261"/>
      <c r="T115" s="261"/>
      <c r="U115" s="261"/>
      <c r="V115" s="261"/>
      <c r="W115" s="261"/>
      <c r="X115" s="261"/>
      <c r="Y115" s="261"/>
      <c r="Z115" s="261"/>
      <c r="AA115" s="367"/>
      <c r="AB115" s="237"/>
      <c r="AC115" s="2993" t="s">
        <v>164</v>
      </c>
      <c r="AD115" s="261"/>
      <c r="AE115" s="250"/>
      <c r="AF115" s="318"/>
      <c r="AG115" s="261"/>
      <c r="AH115" s="1262"/>
      <c r="AI115" s="1159"/>
      <c r="AJ115" s="1860"/>
      <c r="AK115" s="1884"/>
    </row>
    <row r="116" spans="1:37" ht="15" customHeight="1">
      <c r="A116" s="352"/>
      <c r="B116" s="221" t="s">
        <v>46</v>
      </c>
      <c r="C116" s="222"/>
      <c r="D116" s="257">
        <f>ROUND(SUM(D93-D113),1)</f>
        <v>640.5</v>
      </c>
      <c r="E116" s="257"/>
      <c r="F116" s="257">
        <f>ROUND(SUM(F93-F113),1)</f>
        <v>0</v>
      </c>
      <c r="G116" s="257"/>
      <c r="H116" s="257">
        <f>ROUND(SUM(H93-H113),1)</f>
        <v>0</v>
      </c>
      <c r="I116" s="257"/>
      <c r="J116" s="312">
        <f>ROUND(SUM(J93-J113),1)</f>
        <v>0</v>
      </c>
      <c r="K116" s="257"/>
      <c r="L116" s="257">
        <f>ROUND(SUM(L93-L113),1)</f>
        <v>0</v>
      </c>
      <c r="M116" s="257"/>
      <c r="N116" s="1838">
        <f>ROUND(SUM(N93-N113),1)</f>
        <v>0</v>
      </c>
      <c r="O116" s="1838"/>
      <c r="P116" s="1838">
        <f>ROUND(SUM(P93-P113),1)</f>
        <v>0</v>
      </c>
      <c r="Q116" s="1838"/>
      <c r="R116" s="1838">
        <f>ROUND(SUM(R93-R113),1)</f>
        <v>0</v>
      </c>
      <c r="S116" s="1838"/>
      <c r="T116" s="1838">
        <f>ROUND(SUM(T93-T113),1)</f>
        <v>0</v>
      </c>
      <c r="U116" s="1838"/>
      <c r="V116" s="1838">
        <f>ROUND(SUM(V93-V113),1)</f>
        <v>0</v>
      </c>
      <c r="W116" s="1838"/>
      <c r="X116" s="1838">
        <f>ROUND(SUM(X93-X113),1)</f>
        <v>0</v>
      </c>
      <c r="Y116" s="1838"/>
      <c r="Z116" s="1838">
        <f>ROUND(SUM(Z93-Z113),1)</f>
        <v>0</v>
      </c>
      <c r="AA116" s="476"/>
      <c r="AB116" s="477"/>
      <c r="AC116" s="257">
        <f>ROUND(SUM(AC93-AC113),1)</f>
        <v>640.5</v>
      </c>
      <c r="AD116" s="257"/>
      <c r="AE116" s="259"/>
      <c r="AF116" s="312">
        <f>ROUND(SUM(AF93-AF113),1)</f>
        <v>2889.1</v>
      </c>
      <c r="AG116" s="257"/>
      <c r="AH116" s="1264"/>
      <c r="AI116" s="271">
        <f>ROUND(SUM(+AC116-AF116),1)</f>
        <v>-2248.6</v>
      </c>
      <c r="AJ116" s="273"/>
      <c r="AK116" s="524">
        <f>ROUND(SUM(AI116/AF116),3)</f>
        <v>-0.77800000000000002</v>
      </c>
    </row>
    <row r="117" spans="1:37" ht="15" customHeight="1">
      <c r="A117" s="352"/>
      <c r="B117" s="223"/>
      <c r="C117" s="222"/>
      <c r="D117" s="288"/>
      <c r="E117" s="261"/>
      <c r="F117" s="288"/>
      <c r="G117" s="261"/>
      <c r="H117" s="288"/>
      <c r="I117" s="261"/>
      <c r="J117" s="327"/>
      <c r="K117" s="261"/>
      <c r="L117" s="288"/>
      <c r="M117" s="261"/>
      <c r="N117" s="288"/>
      <c r="O117" s="261"/>
      <c r="P117" s="288"/>
      <c r="Q117" s="261"/>
      <c r="R117" s="288"/>
      <c r="S117" s="261"/>
      <c r="T117" s="288"/>
      <c r="U117" s="261"/>
      <c r="V117" s="288"/>
      <c r="W117" s="261"/>
      <c r="X117" s="288"/>
      <c r="Y117" s="261"/>
      <c r="Z117" s="288"/>
      <c r="AA117" s="253"/>
      <c r="AB117" s="237"/>
      <c r="AC117" s="288"/>
      <c r="AD117" s="261"/>
      <c r="AE117" s="250"/>
      <c r="AF117" s="327"/>
      <c r="AG117" s="288"/>
      <c r="AH117" s="1262"/>
      <c r="AI117" s="1159"/>
      <c r="AJ117" s="1860"/>
      <c r="AK117" s="1884"/>
    </row>
    <row r="118" spans="1:37" ht="15" customHeight="1">
      <c r="A118" s="352"/>
      <c r="B118" s="221" t="s">
        <v>47</v>
      </c>
      <c r="C118" s="222"/>
      <c r="D118" s="261"/>
      <c r="E118" s="261"/>
      <c r="F118" s="261"/>
      <c r="G118" s="261"/>
      <c r="H118" s="261"/>
      <c r="I118" s="261"/>
      <c r="J118" s="318"/>
      <c r="K118" s="261"/>
      <c r="L118" s="261"/>
      <c r="M118" s="261"/>
      <c r="N118" s="261"/>
      <c r="O118" s="261"/>
      <c r="P118" s="261"/>
      <c r="Q118" s="261"/>
      <c r="R118" s="261"/>
      <c r="S118" s="261"/>
      <c r="T118" s="261"/>
      <c r="U118" s="261"/>
      <c r="V118" s="261"/>
      <c r="W118" s="261"/>
      <c r="X118" s="261"/>
      <c r="Y118" s="261"/>
      <c r="Z118" s="261"/>
      <c r="AA118" s="367"/>
      <c r="AB118" s="237"/>
      <c r="AC118" s="261"/>
      <c r="AD118" s="261"/>
      <c r="AE118" s="250"/>
      <c r="AF118" s="318"/>
      <c r="AG118" s="261"/>
      <c r="AH118" s="1262"/>
      <c r="AI118" s="1159"/>
      <c r="AJ118" s="1860"/>
      <c r="AK118" s="1884"/>
    </row>
    <row r="119" spans="1:37" ht="15" customHeight="1">
      <c r="A119" s="352"/>
      <c r="B119" s="221"/>
      <c r="C119" s="222"/>
      <c r="D119" s="261"/>
      <c r="E119" s="261"/>
      <c r="F119" s="261"/>
      <c r="G119" s="261"/>
      <c r="H119" s="261"/>
      <c r="I119" s="261"/>
      <c r="J119" s="318"/>
      <c r="K119" s="261"/>
      <c r="L119" s="261"/>
      <c r="M119" s="261"/>
      <c r="N119" s="261"/>
      <c r="O119" s="261"/>
      <c r="P119" s="261"/>
      <c r="Q119" s="261"/>
      <c r="R119" s="261"/>
      <c r="S119" s="261"/>
      <c r="T119" s="261"/>
      <c r="U119" s="261"/>
      <c r="V119" s="261"/>
      <c r="W119" s="261"/>
      <c r="X119" s="261"/>
      <c r="Y119" s="261"/>
      <c r="Z119" s="261"/>
      <c r="AA119" s="367"/>
      <c r="AB119" s="237"/>
      <c r="AC119" s="261"/>
      <c r="AD119" s="261"/>
      <c r="AE119" s="250"/>
      <c r="AF119" s="318"/>
      <c r="AG119" s="261"/>
      <c r="AH119" s="1262"/>
      <c r="AI119" s="1159"/>
      <c r="AJ119" s="1860"/>
      <c r="AK119" s="1884"/>
    </row>
    <row r="120" spans="1:37" ht="15" customHeight="1">
      <c r="A120" s="352"/>
      <c r="B120" s="1808" t="s">
        <v>1136</v>
      </c>
      <c r="C120" s="306"/>
      <c r="D120" s="261">
        <v>1594.3</v>
      </c>
      <c r="E120" s="318"/>
      <c r="F120" s="274"/>
      <c r="G120" s="318"/>
      <c r="H120" s="274"/>
      <c r="I120" s="318"/>
      <c r="J120" s="319"/>
      <c r="K120" s="318"/>
      <c r="L120" s="1159"/>
      <c r="M120" s="318"/>
      <c r="N120" s="261"/>
      <c r="O120" s="318"/>
      <c r="P120" s="261"/>
      <c r="Q120" s="318"/>
      <c r="R120" s="261"/>
      <c r="S120" s="318"/>
      <c r="T120" s="261"/>
      <c r="U120" s="318"/>
      <c r="V120" s="261"/>
      <c r="W120" s="318"/>
      <c r="X120" s="261"/>
      <c r="Y120" s="318"/>
      <c r="Z120" s="261"/>
      <c r="AA120" s="367"/>
      <c r="AB120" s="487"/>
      <c r="AC120" s="261">
        <f t="shared" ref="AC120:AC128" si="12">ROUND(SUM(D120:Z120),1)</f>
        <v>1594.3</v>
      </c>
      <c r="AD120" s="318"/>
      <c r="AE120" s="1270"/>
      <c r="AF120" s="1787">
        <v>1679.4</v>
      </c>
      <c r="AG120" s="318"/>
      <c r="AH120" s="1262"/>
      <c r="AI120" s="1159">
        <f>ROUND(SUM(+AC120-AF120),1)</f>
        <v>-85.1</v>
      </c>
      <c r="AJ120" s="1860"/>
      <c r="AK120" s="1816">
        <f t="shared" ref="AK120:AK125" si="13">ROUND(IF(AF120=0,0,AI120/ABS(AF120)),3)</f>
        <v>-5.0999999999999997E-2</v>
      </c>
    </row>
    <row r="121" spans="1:37" ht="15" customHeight="1">
      <c r="A121" s="352"/>
      <c r="B121" s="1808" t="s">
        <v>1162</v>
      </c>
      <c r="C121" s="306"/>
      <c r="D121" s="261">
        <v>442.8</v>
      </c>
      <c r="E121" s="318"/>
      <c r="F121" s="274"/>
      <c r="G121" s="318"/>
      <c r="H121" s="274"/>
      <c r="I121" s="318"/>
      <c r="J121" s="319"/>
      <c r="K121" s="318"/>
      <c r="L121" s="1159"/>
      <c r="M121" s="318"/>
      <c r="N121" s="261"/>
      <c r="O121" s="318"/>
      <c r="P121" s="261"/>
      <c r="Q121" s="318"/>
      <c r="R121" s="261"/>
      <c r="S121" s="318"/>
      <c r="T121" s="261"/>
      <c r="U121" s="318"/>
      <c r="V121" s="261"/>
      <c r="W121" s="318"/>
      <c r="X121" s="261"/>
      <c r="Y121" s="318"/>
      <c r="Z121" s="261"/>
      <c r="AA121" s="261"/>
      <c r="AB121" s="1270"/>
      <c r="AC121" s="261">
        <f t="shared" si="12"/>
        <v>442.8</v>
      </c>
      <c r="AD121" s="318"/>
      <c r="AE121" s="1270"/>
      <c r="AF121" s="1787">
        <v>461.4</v>
      </c>
      <c r="AG121" s="318"/>
      <c r="AH121" s="1262"/>
      <c r="AI121" s="1159">
        <f>ROUND(SUM(+AC121-AF121),1)</f>
        <v>-18.600000000000001</v>
      </c>
      <c r="AJ121" s="1860"/>
      <c r="AK121" s="1816">
        <f t="shared" si="13"/>
        <v>-0.04</v>
      </c>
    </row>
    <row r="122" spans="1:37" ht="15" customHeight="1">
      <c r="A122" s="352"/>
      <c r="B122" s="1808" t="s">
        <v>1137</v>
      </c>
      <c r="C122" s="306"/>
      <c r="D122" s="261">
        <v>74</v>
      </c>
      <c r="E122" s="318"/>
      <c r="F122" s="274"/>
      <c r="G122" s="318"/>
      <c r="H122" s="274"/>
      <c r="I122" s="318"/>
      <c r="J122" s="319"/>
      <c r="K122" s="318"/>
      <c r="L122" s="1159"/>
      <c r="M122" s="318"/>
      <c r="N122" s="261"/>
      <c r="O122" s="318"/>
      <c r="P122" s="261"/>
      <c r="Q122" s="318"/>
      <c r="R122" s="261"/>
      <c r="S122" s="318"/>
      <c r="T122" s="261"/>
      <c r="U122" s="318"/>
      <c r="V122" s="261"/>
      <c r="W122" s="318"/>
      <c r="X122" s="261"/>
      <c r="Y122" s="318"/>
      <c r="Z122" s="261"/>
      <c r="AA122" s="261"/>
      <c r="AB122" s="1270"/>
      <c r="AC122" s="261">
        <f t="shared" si="12"/>
        <v>74</v>
      </c>
      <c r="AD122" s="318"/>
      <c r="AE122" s="1270"/>
      <c r="AF122" s="1787">
        <v>74.2</v>
      </c>
      <c r="AG122" s="318"/>
      <c r="AH122" s="1262"/>
      <c r="AI122" s="1159">
        <f>ROUND(SUM(+AC122-AF122),1)</f>
        <v>-0.2</v>
      </c>
      <c r="AJ122" s="1860"/>
      <c r="AK122" s="1816">
        <f t="shared" si="13"/>
        <v>-3.0000000000000001E-3</v>
      </c>
    </row>
    <row r="123" spans="1:37" ht="15" customHeight="1">
      <c r="A123" s="352"/>
      <c r="B123" s="486" t="s">
        <v>165</v>
      </c>
      <c r="C123" s="306"/>
      <c r="D123" s="261">
        <v>5</v>
      </c>
      <c r="E123" s="318"/>
      <c r="F123" s="274"/>
      <c r="G123" s="318"/>
      <c r="H123" s="274"/>
      <c r="I123" s="318"/>
      <c r="J123" s="319"/>
      <c r="K123" s="318"/>
      <c r="L123" s="1159"/>
      <c r="M123" s="318"/>
      <c r="N123" s="261"/>
      <c r="O123" s="318"/>
      <c r="P123" s="261"/>
      <c r="Q123" s="318"/>
      <c r="R123" s="261"/>
      <c r="S123" s="318"/>
      <c r="T123" s="261"/>
      <c r="U123" s="318"/>
      <c r="V123" s="261"/>
      <c r="W123" s="318"/>
      <c r="X123" s="261"/>
      <c r="Y123" s="318"/>
      <c r="Z123" s="261"/>
      <c r="AA123" s="261"/>
      <c r="AB123" s="1270"/>
      <c r="AC123" s="261">
        <f t="shared" si="12"/>
        <v>5</v>
      </c>
      <c r="AD123" s="318"/>
      <c r="AE123" s="1270"/>
      <c r="AF123" s="1787">
        <v>14.9</v>
      </c>
      <c r="AG123" s="318"/>
      <c r="AH123" s="1262"/>
      <c r="AI123" s="1159">
        <f>ROUND(SUM(+AC123-AF123),1)</f>
        <v>-9.9</v>
      </c>
      <c r="AJ123" s="1860"/>
      <c r="AK123" s="1816">
        <f t="shared" si="13"/>
        <v>-0.66400000000000003</v>
      </c>
    </row>
    <row r="124" spans="1:37" ht="15" customHeight="1">
      <c r="A124" s="352" t="s">
        <v>16</v>
      </c>
      <c r="B124" s="223" t="s">
        <v>166</v>
      </c>
      <c r="C124" s="222"/>
      <c r="D124" s="261">
        <v>-122.3</v>
      </c>
      <c r="E124" s="261"/>
      <c r="F124" s="261"/>
      <c r="G124" s="261"/>
      <c r="H124" s="261"/>
      <c r="I124" s="261"/>
      <c r="J124" s="319"/>
      <c r="K124" s="261"/>
      <c r="L124" s="1159"/>
      <c r="M124" s="261"/>
      <c r="N124" s="261"/>
      <c r="O124" s="261"/>
      <c r="P124" s="261"/>
      <c r="Q124" s="261"/>
      <c r="R124" s="261"/>
      <c r="S124" s="261"/>
      <c r="T124" s="261"/>
      <c r="U124" s="261"/>
      <c r="V124" s="261"/>
      <c r="W124" s="261"/>
      <c r="X124" s="261"/>
      <c r="Y124" s="261"/>
      <c r="Z124" s="261"/>
      <c r="AA124" s="367"/>
      <c r="AB124" s="237"/>
      <c r="AC124" s="261">
        <f t="shared" si="12"/>
        <v>-122.3</v>
      </c>
      <c r="AD124" s="261"/>
      <c r="AE124" s="250"/>
      <c r="AF124" s="1159">
        <v>-73.099999999999994</v>
      </c>
      <c r="AG124" s="261"/>
      <c r="AH124" s="1262"/>
      <c r="AI124" s="1159">
        <f>ROUND(SUM(+AC124-AF124)*-1,1)</f>
        <v>49.2</v>
      </c>
      <c r="AJ124" s="1860"/>
      <c r="AK124" s="2799">
        <f t="shared" si="13"/>
        <v>0.67300000000000004</v>
      </c>
    </row>
    <row r="125" spans="1:37" ht="15" customHeight="1">
      <c r="A125" s="352"/>
      <c r="B125" s="223" t="s">
        <v>167</v>
      </c>
      <c r="C125" s="222"/>
      <c r="D125" s="1160">
        <v>0</v>
      </c>
      <c r="E125" s="261"/>
      <c r="F125" s="1160"/>
      <c r="G125" s="261"/>
      <c r="H125" s="1160"/>
      <c r="I125" s="261"/>
      <c r="J125" s="2098"/>
      <c r="K125" s="261"/>
      <c r="L125" s="2569"/>
      <c r="M125" s="261"/>
      <c r="N125" s="1160"/>
      <c r="O125" s="261"/>
      <c r="P125" s="1160"/>
      <c r="Q125" s="261"/>
      <c r="R125" s="1160"/>
      <c r="S125" s="261"/>
      <c r="T125" s="1160"/>
      <c r="U125" s="261"/>
      <c r="V125" s="1160"/>
      <c r="W125" s="261"/>
      <c r="X125" s="1160"/>
      <c r="Y125" s="261"/>
      <c r="Z125" s="372"/>
      <c r="AA125" s="367"/>
      <c r="AB125" s="237"/>
      <c r="AC125" s="261">
        <f t="shared" si="12"/>
        <v>0</v>
      </c>
      <c r="AD125" s="261"/>
      <c r="AE125" s="250"/>
      <c r="AF125" s="2569">
        <v>0</v>
      </c>
      <c r="AG125" s="261"/>
      <c r="AH125" s="1262"/>
      <c r="AI125" s="2993">
        <f>ROUND(SUM(+AC125-AF125)*-1,1)</f>
        <v>0</v>
      </c>
      <c r="AJ125" s="1860"/>
      <c r="AK125" s="2741">
        <f t="shared" si="13"/>
        <v>0</v>
      </c>
    </row>
    <row r="126" spans="1:37" ht="15" customHeight="1">
      <c r="A126" s="352"/>
      <c r="B126" s="1343" t="s">
        <v>1432</v>
      </c>
      <c r="C126" s="222"/>
      <c r="D126" s="1160">
        <v>-40</v>
      </c>
      <c r="E126" s="261"/>
      <c r="F126" s="1160"/>
      <c r="G126" s="261"/>
      <c r="H126" s="1160"/>
      <c r="I126" s="261"/>
      <c r="J126" s="2098"/>
      <c r="K126" s="261"/>
      <c r="L126" s="2569"/>
      <c r="M126" s="261"/>
      <c r="N126" s="1160"/>
      <c r="O126" s="261"/>
      <c r="P126" s="1160"/>
      <c r="Q126" s="261"/>
      <c r="R126" s="1160"/>
      <c r="S126" s="261"/>
      <c r="T126" s="1160"/>
      <c r="U126" s="261"/>
      <c r="V126" s="1160"/>
      <c r="W126" s="261"/>
      <c r="X126" s="1160"/>
      <c r="Y126" s="261"/>
      <c r="Z126" s="372"/>
      <c r="AA126" s="367"/>
      <c r="AB126" s="237"/>
      <c r="AC126" s="261">
        <f t="shared" si="12"/>
        <v>-40</v>
      </c>
      <c r="AD126" s="261"/>
      <c r="AE126" s="250"/>
      <c r="AF126" s="2569">
        <v>0</v>
      </c>
      <c r="AG126" s="261"/>
      <c r="AH126" s="1262"/>
      <c r="AI126" s="2993">
        <f>ROUND(SUM(+AC126-AF126)*-1,1)</f>
        <v>40</v>
      </c>
      <c r="AJ126" s="1860"/>
      <c r="AK126" s="2799">
        <f>ROUND(IF(AF126=0,1,AI126/ABS(AF126)),3)</f>
        <v>1</v>
      </c>
    </row>
    <row r="127" spans="1:37" ht="15" customHeight="1">
      <c r="A127" s="352"/>
      <c r="B127" s="223" t="s">
        <v>168</v>
      </c>
      <c r="C127" s="222"/>
      <c r="D127" s="261">
        <v>-245.3</v>
      </c>
      <c r="E127" s="261"/>
      <c r="F127" s="261"/>
      <c r="G127" s="261"/>
      <c r="H127" s="261"/>
      <c r="I127" s="261"/>
      <c r="J127" s="319"/>
      <c r="K127" s="261"/>
      <c r="L127" s="1159"/>
      <c r="M127" s="261"/>
      <c r="N127" s="261"/>
      <c r="O127" s="261"/>
      <c r="P127" s="261"/>
      <c r="Q127" s="261"/>
      <c r="R127" s="261"/>
      <c r="S127" s="261"/>
      <c r="T127" s="261"/>
      <c r="U127" s="261"/>
      <c r="V127" s="261"/>
      <c r="W127" s="261"/>
      <c r="X127" s="261"/>
      <c r="Y127" s="261"/>
      <c r="Z127" s="261"/>
      <c r="AA127" s="367"/>
      <c r="AB127" s="237"/>
      <c r="AC127" s="261">
        <f t="shared" si="12"/>
        <v>-245.3</v>
      </c>
      <c r="AD127" s="261"/>
      <c r="AE127" s="250"/>
      <c r="AF127" s="1159">
        <v>-302</v>
      </c>
      <c r="AG127" s="261"/>
      <c r="AH127" s="1262"/>
      <c r="AI127" s="1159">
        <f>ROUND(SUM(+AC127-AF127)*-1,1)</f>
        <v>-56.7</v>
      </c>
      <c r="AJ127" s="1860"/>
      <c r="AK127" s="1816">
        <f>ROUND(IF(AF127=0,0,AI127/ABS(AF127)),3)</f>
        <v>-0.188</v>
      </c>
    </row>
    <row r="128" spans="1:37" ht="15" customHeight="1">
      <c r="A128" s="352"/>
      <c r="B128" s="307" t="s">
        <v>169</v>
      </c>
      <c r="C128" s="306"/>
      <c r="D128" s="261">
        <v>-390.4</v>
      </c>
      <c r="E128" s="318"/>
      <c r="F128" s="261"/>
      <c r="G128" s="318"/>
      <c r="H128" s="261"/>
      <c r="I128" s="318"/>
      <c r="J128" s="319"/>
      <c r="K128" s="318"/>
      <c r="L128" s="1159"/>
      <c r="M128" s="318"/>
      <c r="N128" s="261"/>
      <c r="O128" s="318"/>
      <c r="P128" s="261"/>
      <c r="Q128" s="318"/>
      <c r="R128" s="261"/>
      <c r="S128" s="318"/>
      <c r="T128" s="261"/>
      <c r="U128" s="318"/>
      <c r="V128" s="261"/>
      <c r="W128" s="318"/>
      <c r="X128" s="261"/>
      <c r="Y128" s="318"/>
      <c r="Z128" s="261"/>
      <c r="AA128" s="485"/>
      <c r="AB128" s="309"/>
      <c r="AC128" s="261">
        <f t="shared" si="12"/>
        <v>-390.4</v>
      </c>
      <c r="AD128" s="318"/>
      <c r="AE128" s="1270"/>
      <c r="AF128" s="1787">
        <v>-1699.8</v>
      </c>
      <c r="AG128" s="262"/>
      <c r="AH128" s="1262"/>
      <c r="AI128" s="2683">
        <f>ROUND(SUM(+AC128-AF128)*-1,1)</f>
        <v>-1309.4000000000001</v>
      </c>
      <c r="AJ128" s="1860"/>
      <c r="AK128" s="2560">
        <f>ROUND(IF(AF128=0,0,AI128/ABS(AF128)),3)</f>
        <v>-0.77</v>
      </c>
    </row>
    <row r="129" spans="1:37" ht="5.0999999999999996" customHeight="1">
      <c r="A129" s="352"/>
      <c r="B129" s="307"/>
      <c r="C129" s="306"/>
      <c r="D129" s="327"/>
      <c r="E129" s="318"/>
      <c r="F129" s="327"/>
      <c r="G129" s="318"/>
      <c r="H129" s="327" t="s">
        <v>16</v>
      </c>
      <c r="I129" s="318"/>
      <c r="J129" s="327"/>
      <c r="K129" s="318"/>
      <c r="L129" s="327"/>
      <c r="M129" s="318"/>
      <c r="N129" s="327"/>
      <c r="O129" s="318"/>
      <c r="P129" s="327"/>
      <c r="Q129" s="318"/>
      <c r="R129" s="327"/>
      <c r="S129" s="318"/>
      <c r="T129" s="327"/>
      <c r="U129" s="318"/>
      <c r="V129" s="327"/>
      <c r="W129" s="318"/>
      <c r="X129" s="327"/>
      <c r="Y129" s="318"/>
      <c r="Z129" s="327"/>
      <c r="AA129" s="317"/>
      <c r="AB129" s="487"/>
      <c r="AC129" s="327"/>
      <c r="AD129" s="318"/>
      <c r="AE129" s="1270"/>
      <c r="AF129" s="327"/>
      <c r="AG129" s="262"/>
      <c r="AH129" s="1262"/>
      <c r="AI129" s="1159"/>
      <c r="AJ129" s="1860"/>
      <c r="AK129" s="1884"/>
    </row>
    <row r="130" spans="1:37" ht="15" customHeight="1">
      <c r="A130" s="352"/>
      <c r="B130" s="221" t="s">
        <v>170</v>
      </c>
      <c r="C130" s="222"/>
      <c r="D130" s="261"/>
      <c r="E130" s="261"/>
      <c r="F130" s="261"/>
      <c r="G130" s="261"/>
      <c r="H130" s="261"/>
      <c r="I130" s="261"/>
      <c r="J130" s="318"/>
      <c r="K130" s="261"/>
      <c r="L130" s="261"/>
      <c r="M130" s="261"/>
      <c r="N130" s="261"/>
      <c r="O130" s="261"/>
      <c r="P130" s="261"/>
      <c r="Q130" s="261"/>
      <c r="R130" s="261"/>
      <c r="S130" s="261"/>
      <c r="T130" s="261"/>
      <c r="U130" s="261"/>
      <c r="V130" s="261"/>
      <c r="W130" s="261"/>
      <c r="X130" s="261"/>
      <c r="Y130" s="367"/>
      <c r="Z130" s="367"/>
      <c r="AA130" s="367"/>
      <c r="AB130" s="237"/>
      <c r="AC130" s="261"/>
      <c r="AD130" s="261"/>
      <c r="AE130" s="250"/>
      <c r="AF130" s="318"/>
      <c r="AG130" s="261"/>
      <c r="AH130" s="1262"/>
      <c r="AI130" s="1159"/>
      <c r="AJ130" s="1860"/>
      <c r="AK130" s="1884"/>
    </row>
    <row r="131" spans="1:37" ht="15" customHeight="1">
      <c r="A131" s="352"/>
      <c r="B131" s="221" t="s">
        <v>171</v>
      </c>
      <c r="C131" s="222"/>
      <c r="D131" s="257">
        <f>ROUND(SUM(D120:D129),1)</f>
        <v>1318.1</v>
      </c>
      <c r="E131" s="257"/>
      <c r="F131" s="257">
        <f>ROUND(SUM(F120:F129),1)</f>
        <v>0</v>
      </c>
      <c r="G131" s="257"/>
      <c r="H131" s="257">
        <f>ROUND(SUM(H120:H129),1)</f>
        <v>0</v>
      </c>
      <c r="I131" s="257"/>
      <c r="J131" s="312">
        <f>ROUND(SUM(J120:J128),1)</f>
        <v>0</v>
      </c>
      <c r="K131" s="257"/>
      <c r="L131" s="257">
        <f>ROUND(SUM(L120:L128),1)</f>
        <v>0</v>
      </c>
      <c r="M131" s="257"/>
      <c r="N131" s="257">
        <f>ROUND(SUM(N120:N128),1)</f>
        <v>0</v>
      </c>
      <c r="O131" s="257"/>
      <c r="P131" s="257">
        <f>ROUND(SUM(P120:P128),1)</f>
        <v>0</v>
      </c>
      <c r="Q131" s="257"/>
      <c r="R131" s="257">
        <f>ROUND(SUM(R120:R128),1)</f>
        <v>0</v>
      </c>
      <c r="S131" s="257"/>
      <c r="T131" s="257">
        <f>ROUND(SUM(T120:T128),1)</f>
        <v>0</v>
      </c>
      <c r="U131" s="257"/>
      <c r="V131" s="257">
        <f>ROUND(SUM(V120:V128),1)</f>
        <v>0</v>
      </c>
      <c r="W131" s="257"/>
      <c r="X131" s="257">
        <f>ROUND(SUM(X120:X128),1)</f>
        <v>0</v>
      </c>
      <c r="Y131" s="409"/>
      <c r="Z131" s="257">
        <f>ROUND(SUM(Z120:Z128),1)</f>
        <v>0</v>
      </c>
      <c r="AA131" s="476"/>
      <c r="AB131" s="477"/>
      <c r="AC131" s="257">
        <f>ROUND(SUM(AC120:AC128),1)</f>
        <v>1318.1</v>
      </c>
      <c r="AD131" s="257"/>
      <c r="AE131" s="259"/>
      <c r="AF131" s="312">
        <f>ROUND(SUM(AF120:AF128),1)</f>
        <v>155</v>
      </c>
      <c r="AG131" s="273"/>
      <c r="AH131" s="1264"/>
      <c r="AI131" s="271">
        <f>ROUND(SUM(+AC131-AF131),1)</f>
        <v>1163.0999999999999</v>
      </c>
      <c r="AJ131" s="273"/>
      <c r="AK131" s="524">
        <f>ROUND(SUM(+AI131/AF131),3)</f>
        <v>7.5039999999999996</v>
      </c>
    </row>
    <row r="132" spans="1:37" ht="15" customHeight="1">
      <c r="A132" s="352"/>
      <c r="B132" s="223"/>
      <c r="C132" s="222"/>
      <c r="D132" s="288"/>
      <c r="E132" s="261"/>
      <c r="F132" s="288"/>
      <c r="G132" s="261"/>
      <c r="H132" s="288"/>
      <c r="I132" s="261"/>
      <c r="J132" s="327"/>
      <c r="K132" s="261"/>
      <c r="L132" s="288"/>
      <c r="M132" s="261"/>
      <c r="N132" s="288"/>
      <c r="O132" s="261"/>
      <c r="P132" s="288"/>
      <c r="Q132" s="261"/>
      <c r="R132" s="288"/>
      <c r="S132" s="261"/>
      <c r="T132" s="288"/>
      <c r="U132" s="261"/>
      <c r="V132" s="288"/>
      <c r="W132" s="261"/>
      <c r="X132" s="288"/>
      <c r="Y132" s="367"/>
      <c r="Z132" s="370"/>
      <c r="AA132" s="253"/>
      <c r="AB132" s="237"/>
      <c r="AC132" s="288"/>
      <c r="AD132" s="261"/>
      <c r="AE132" s="250"/>
      <c r="AF132" s="327"/>
      <c r="AG132" s="249"/>
      <c r="AH132" s="1262"/>
      <c r="AI132" s="1347"/>
      <c r="AJ132" s="1569"/>
      <c r="AK132" s="1561"/>
    </row>
    <row r="133" spans="1:37" ht="15" customHeight="1">
      <c r="A133" s="352"/>
      <c r="B133" s="221" t="s">
        <v>172</v>
      </c>
      <c r="C133" s="222"/>
      <c r="D133" s="261"/>
      <c r="E133" s="261"/>
      <c r="F133" s="261"/>
      <c r="G133" s="261"/>
      <c r="H133" s="261"/>
      <c r="I133" s="261"/>
      <c r="J133" s="318"/>
      <c r="K133" s="261"/>
      <c r="L133" s="261"/>
      <c r="M133" s="261"/>
      <c r="N133" s="261"/>
      <c r="O133" s="261"/>
      <c r="P133" s="261"/>
      <c r="Q133" s="261"/>
      <c r="R133" s="261"/>
      <c r="S133" s="261"/>
      <c r="T133" s="261"/>
      <c r="U133" s="261"/>
      <c r="V133" s="261"/>
      <c r="W133" s="261"/>
      <c r="X133" s="261"/>
      <c r="Y133" s="367"/>
      <c r="Z133" s="367"/>
      <c r="AA133" s="367"/>
      <c r="AB133" s="237"/>
      <c r="AC133" s="261"/>
      <c r="AD133" s="261"/>
      <c r="AE133" s="250"/>
      <c r="AF133" s="318"/>
      <c r="AG133" s="261"/>
      <c r="AH133" s="1262"/>
      <c r="AI133" s="1347"/>
      <c r="AJ133" s="1569"/>
      <c r="AK133" s="1561"/>
    </row>
    <row r="134" spans="1:37" ht="15" customHeight="1">
      <c r="A134" s="352"/>
      <c r="B134" s="221" t="s">
        <v>173</v>
      </c>
      <c r="C134" s="222"/>
      <c r="D134" s="261"/>
      <c r="E134" s="261"/>
      <c r="F134" s="261"/>
      <c r="G134" s="261"/>
      <c r="H134" s="261"/>
      <c r="I134" s="261"/>
      <c r="J134" s="318"/>
      <c r="K134" s="261"/>
      <c r="L134" s="261"/>
      <c r="M134" s="261"/>
      <c r="N134" s="261"/>
      <c r="O134" s="261"/>
      <c r="P134" s="261"/>
      <c r="Q134" s="261"/>
      <c r="R134" s="261"/>
      <c r="S134" s="261"/>
      <c r="T134" s="261"/>
      <c r="U134" s="261"/>
      <c r="V134" s="261"/>
      <c r="W134" s="261"/>
      <c r="X134" s="261"/>
      <c r="Y134" s="367"/>
      <c r="Z134" s="367"/>
      <c r="AA134" s="367"/>
      <c r="AB134" s="237"/>
      <c r="AC134" s="261"/>
      <c r="AD134" s="261"/>
      <c r="AE134" s="250"/>
      <c r="AF134" s="318"/>
      <c r="AG134" s="261"/>
      <c r="AH134" s="1262"/>
      <c r="AI134" s="1347"/>
      <c r="AJ134" s="1569"/>
      <c r="AK134" s="1561"/>
    </row>
    <row r="135" spans="1:37" ht="15" customHeight="1">
      <c r="A135" s="352"/>
      <c r="B135" s="221" t="s">
        <v>174</v>
      </c>
      <c r="C135" s="222"/>
      <c r="D135" s="257">
        <f>ROUND(SUM(D116+D131),1)</f>
        <v>1958.6</v>
      </c>
      <c r="E135" s="257"/>
      <c r="F135" s="257">
        <f>ROUND(SUM(F116+F131),1)</f>
        <v>0</v>
      </c>
      <c r="G135" s="257"/>
      <c r="H135" s="257">
        <f>ROUND(SUM(H116+H131),1)</f>
        <v>0</v>
      </c>
      <c r="I135" s="257"/>
      <c r="J135" s="312">
        <f>ROUND(SUM(J116+J131),1)</f>
        <v>0</v>
      </c>
      <c r="K135" s="257"/>
      <c r="L135" s="257">
        <f>ROUND(SUM(L116+L131),1)</f>
        <v>0</v>
      </c>
      <c r="M135" s="257"/>
      <c r="N135" s="257">
        <f>ROUND(SUM(N116+N131),1)</f>
        <v>0</v>
      </c>
      <c r="O135" s="257"/>
      <c r="P135" s="257">
        <f>ROUND(SUM(P116+P131),1)</f>
        <v>0</v>
      </c>
      <c r="Q135" s="257"/>
      <c r="R135" s="257">
        <f>ROUND(SUM(R116+R131),1)</f>
        <v>0</v>
      </c>
      <c r="S135" s="261"/>
      <c r="T135" s="257">
        <f>ROUND(SUM(T116+T131),1)</f>
        <v>0</v>
      </c>
      <c r="U135" s="261"/>
      <c r="V135" s="257">
        <f>ROUND(SUM(V116+V131),1)</f>
        <v>0</v>
      </c>
      <c r="W135" s="261"/>
      <c r="X135" s="257">
        <f>ROUND(SUM(X116+X131),1)</f>
        <v>0</v>
      </c>
      <c r="Y135" s="367"/>
      <c r="Z135" s="271">
        <f>ROUND(SUM(Z116+Z131),1)</f>
        <v>0</v>
      </c>
      <c r="AA135" s="253"/>
      <c r="AB135" s="237"/>
      <c r="AC135" s="257">
        <f>ROUND(SUM(AC116+AC131),1)</f>
        <v>1958.6</v>
      </c>
      <c r="AD135" s="257"/>
      <c r="AE135" s="259"/>
      <c r="AF135" s="312">
        <f>ROUND(SUM(AF116+AF131),1)</f>
        <v>3044.1</v>
      </c>
      <c r="AG135" s="273"/>
      <c r="AH135" s="1264"/>
      <c r="AI135" s="271">
        <f>ROUND(SUM(+AC135-AF135),1)</f>
        <v>-1085.5</v>
      </c>
      <c r="AJ135" s="2686"/>
      <c r="AK135" s="524">
        <f>ROUND(SUM(AI135/AF135),3)</f>
        <v>-0.35699999999999998</v>
      </c>
    </row>
    <row r="136" spans="1:37" ht="9" customHeight="1">
      <c r="A136" s="352"/>
      <c r="B136" s="223"/>
      <c r="C136" s="222"/>
      <c r="D136" s="370"/>
      <c r="E136" s="223"/>
      <c r="F136" s="466"/>
      <c r="G136" s="223"/>
      <c r="H136" s="235"/>
      <c r="I136" s="223"/>
      <c r="J136" s="327"/>
      <c r="K136" s="223"/>
      <c r="L136" s="235"/>
      <c r="M136" s="223"/>
      <c r="N136" s="235"/>
      <c r="O136" s="223"/>
      <c r="P136" s="235"/>
      <c r="Q136" s="223"/>
      <c r="R136" s="235"/>
      <c r="S136" s="223"/>
      <c r="T136" s="235"/>
      <c r="U136" s="223"/>
      <c r="V136" s="235"/>
      <c r="W136" s="223"/>
      <c r="X136" s="235"/>
      <c r="Y136" s="223"/>
      <c r="Z136" s="229"/>
      <c r="AA136" s="229"/>
      <c r="AB136" s="237"/>
      <c r="AC136" s="288"/>
      <c r="AD136" s="261"/>
      <c r="AE136" s="250"/>
      <c r="AF136" s="327"/>
      <c r="AG136" s="249"/>
      <c r="AH136" s="1262"/>
      <c r="AI136" s="1341"/>
      <c r="AJ136" s="1569"/>
      <c r="AK136" s="2687"/>
    </row>
    <row r="137" spans="1:37" ht="15" customHeight="1" thickBot="1">
      <c r="A137" s="352"/>
      <c r="B137" s="489" t="s">
        <v>146</v>
      </c>
      <c r="C137" s="306"/>
      <c r="D137" s="490">
        <f>ROUND(SUM(D14+D135),1)</f>
        <v>10892.7</v>
      </c>
      <c r="E137" s="491"/>
      <c r="F137" s="490">
        <f>ROUND(SUM(F14+F135),1)</f>
        <v>0</v>
      </c>
      <c r="G137" s="492"/>
      <c r="H137" s="490">
        <f>ROUND(SUM(H14+H135),1)</f>
        <v>0</v>
      </c>
      <c r="I137" s="492"/>
      <c r="J137" s="490">
        <f>ROUND(SUM(J14+J135),1)</f>
        <v>0</v>
      </c>
      <c r="K137" s="492"/>
      <c r="L137" s="490">
        <f>ROUND(SUM(L14+L135),1)</f>
        <v>0</v>
      </c>
      <c r="M137" s="492"/>
      <c r="N137" s="490">
        <f>ROUND(SUM(N14+N135),1)</f>
        <v>0</v>
      </c>
      <c r="O137" s="492"/>
      <c r="P137" s="490">
        <f>ROUND(SUM(P14+P135),1)</f>
        <v>0</v>
      </c>
      <c r="Q137" s="492"/>
      <c r="R137" s="490">
        <f>ROUND(SUM(R14+R135),1)</f>
        <v>0</v>
      </c>
      <c r="S137" s="492"/>
      <c r="T137" s="490">
        <f>ROUND(SUM(T14+T135),1)</f>
        <v>0</v>
      </c>
      <c r="U137" s="492"/>
      <c r="V137" s="490">
        <f>ROUND(SUM(V14+V135),1)</f>
        <v>0</v>
      </c>
      <c r="W137" s="492"/>
      <c r="X137" s="490">
        <f>ROUND(SUM(X14+X135),1)</f>
        <v>0</v>
      </c>
      <c r="Y137" s="492"/>
      <c r="Z137" s="490">
        <f>ROUND(SUM(Z14+Z135),1)</f>
        <v>0</v>
      </c>
      <c r="AA137" s="491"/>
      <c r="AB137" s="493"/>
      <c r="AC137" s="490">
        <f>ROUND(SUM(AC14+AC135),1)</f>
        <v>10892.7</v>
      </c>
      <c r="AD137" s="312"/>
      <c r="AE137" s="1271"/>
      <c r="AF137" s="490">
        <f>ROUND(SUM(AF14+AF135),1)</f>
        <v>10343.6</v>
      </c>
      <c r="AG137" s="384"/>
      <c r="AH137" s="470"/>
      <c r="AI137" s="502">
        <f>ROUND(SUM(+AC137-AF137),1)</f>
        <v>549.1</v>
      </c>
      <c r="AJ137" s="2686"/>
      <c r="AK137" s="530">
        <f>ROUND(SUM(+AI137/AF137),3)</f>
        <v>5.2999999999999999E-2</v>
      </c>
    </row>
    <row r="138" spans="1:37" ht="15" customHeight="1" thickTop="1">
      <c r="A138" s="352"/>
      <c r="B138" s="223"/>
      <c r="C138" s="222"/>
      <c r="D138" s="229"/>
      <c r="E138" s="228"/>
      <c r="F138" s="494"/>
      <c r="G138" s="228"/>
      <c r="H138" s="229"/>
      <c r="I138" s="228"/>
      <c r="J138" s="262"/>
      <c r="K138" s="228"/>
      <c r="L138" s="229"/>
      <c r="M138" s="228"/>
      <c r="N138" s="229"/>
      <c r="O138" s="228"/>
      <c r="P138" s="229"/>
      <c r="Q138" s="228"/>
      <c r="R138" s="229"/>
      <c r="S138" s="228"/>
      <c r="T138" s="229"/>
      <c r="U138" s="228"/>
      <c r="V138" s="229"/>
      <c r="W138" s="228"/>
      <c r="X138" s="229"/>
      <c r="Y138" s="228"/>
      <c r="Z138" s="229"/>
      <c r="AA138" s="229"/>
      <c r="AB138" s="228"/>
      <c r="AC138" s="249"/>
      <c r="AD138" s="249"/>
      <c r="AE138" s="249"/>
      <c r="AF138" s="262"/>
      <c r="AG138" s="249"/>
      <c r="AH138" s="1272"/>
      <c r="AI138" s="1347"/>
      <c r="AJ138" s="1569"/>
      <c r="AK138" s="1561"/>
    </row>
    <row r="139" spans="1:37" ht="15" customHeight="1">
      <c r="A139" s="352"/>
      <c r="B139" s="223" t="s">
        <v>16</v>
      </c>
      <c r="C139" s="222"/>
      <c r="D139" s="229"/>
      <c r="E139" s="223"/>
      <c r="F139" s="494"/>
      <c r="G139" s="223"/>
      <c r="H139" s="229"/>
      <c r="I139" s="223"/>
      <c r="J139" s="262"/>
      <c r="K139" s="223"/>
      <c r="L139" s="229"/>
      <c r="M139" s="223"/>
      <c r="N139" s="229"/>
      <c r="O139" s="223"/>
      <c r="P139" s="229"/>
      <c r="Q139" s="223"/>
      <c r="R139" s="229"/>
      <c r="S139" s="223"/>
      <c r="T139" s="229"/>
      <c r="U139" s="223"/>
      <c r="V139" s="229"/>
      <c r="W139" s="223"/>
      <c r="X139" s="229"/>
      <c r="Y139" s="223"/>
      <c r="Z139" s="229"/>
      <c r="AA139" s="229"/>
      <c r="AB139" s="223"/>
      <c r="AC139" s="249"/>
      <c r="AD139" s="261"/>
      <c r="AE139" s="261"/>
      <c r="AF139" s="262"/>
      <c r="AG139" s="249"/>
      <c r="AH139" s="1273"/>
      <c r="AI139" s="1347"/>
      <c r="AJ139" s="1569"/>
      <c r="AK139" s="1561"/>
    </row>
    <row r="140" spans="1:37" ht="15" customHeight="1">
      <c r="A140" s="352"/>
      <c r="B140" s="223"/>
      <c r="C140" s="222"/>
      <c r="D140" s="229"/>
      <c r="E140" s="223"/>
      <c r="F140" s="494"/>
      <c r="G140" s="223"/>
      <c r="H140" s="229"/>
      <c r="I140" s="223"/>
      <c r="J140" s="262"/>
      <c r="K140" s="223"/>
      <c r="L140" s="229"/>
      <c r="M140" s="223"/>
      <c r="N140" s="229"/>
      <c r="O140" s="223"/>
      <c r="P140" s="229"/>
      <c r="Q140" s="223"/>
      <c r="R140" s="229"/>
      <c r="S140" s="223"/>
      <c r="T140" s="229"/>
      <c r="U140" s="223"/>
      <c r="V140" s="229"/>
      <c r="W140" s="223"/>
      <c r="X140" s="229"/>
      <c r="Y140" s="223"/>
      <c r="Z140" s="229"/>
      <c r="AA140" s="229"/>
      <c r="AB140" s="223"/>
      <c r="AC140" s="249"/>
      <c r="AD140" s="261"/>
      <c r="AE140" s="261"/>
      <c r="AF140" s="262"/>
      <c r="AG140" s="249"/>
      <c r="AH140" s="1273"/>
      <c r="AI140" s="1347"/>
      <c r="AJ140" s="1569"/>
      <c r="AK140" s="1561"/>
    </row>
    <row r="141" spans="1:37" ht="15" customHeight="1">
      <c r="A141" s="455"/>
      <c r="B141" s="364"/>
      <c r="C141" s="495"/>
      <c r="D141" s="495"/>
      <c r="E141" s="496"/>
      <c r="F141" s="496"/>
      <c r="G141" s="496"/>
      <c r="H141" s="222"/>
      <c r="I141" s="222"/>
      <c r="J141" s="318"/>
      <c r="K141" s="222"/>
      <c r="L141" s="222"/>
      <c r="M141" s="222"/>
      <c r="N141" s="222"/>
      <c r="O141" s="222"/>
      <c r="P141" s="222"/>
      <c r="Q141" s="222"/>
      <c r="R141" s="222"/>
      <c r="S141" s="222"/>
      <c r="T141" s="222"/>
      <c r="U141" s="222"/>
      <c r="V141" s="222"/>
      <c r="W141" s="222"/>
      <c r="X141" s="222"/>
      <c r="Y141" s="222"/>
      <c r="Z141" s="222"/>
      <c r="AA141" s="222"/>
      <c r="AB141" s="222"/>
      <c r="AC141" s="261"/>
      <c r="AD141" s="261"/>
      <c r="AE141" s="261"/>
      <c r="AF141" s="318"/>
      <c r="AG141" s="261"/>
      <c r="AH141" s="1274"/>
      <c r="AI141" s="1159"/>
      <c r="AJ141" s="1860"/>
      <c r="AK141" s="1884"/>
    </row>
    <row r="142" spans="1:37" ht="14.1" customHeight="1">
      <c r="A142" s="455"/>
      <c r="B142" s="364"/>
      <c r="C142" s="495"/>
      <c r="D142" s="495"/>
      <c r="E142" s="496"/>
      <c r="F142" s="496"/>
      <c r="G142" s="496"/>
      <c r="H142" s="222"/>
      <c r="I142" s="222"/>
      <c r="J142" s="318"/>
      <c r="K142" s="222"/>
      <c r="L142" s="222"/>
      <c r="M142" s="222"/>
      <c r="N142" s="222"/>
      <c r="O142" s="222"/>
      <c r="P142" s="222"/>
      <c r="Q142" s="222"/>
      <c r="R142" s="222"/>
      <c r="S142" s="222"/>
      <c r="T142" s="222"/>
      <c r="U142" s="222"/>
      <c r="V142" s="222"/>
      <c r="W142" s="222"/>
      <c r="X142" s="222"/>
      <c r="Y142" s="222"/>
      <c r="Z142" s="222"/>
      <c r="AA142" s="222"/>
      <c r="AB142" s="222"/>
      <c r="AC142" s="261"/>
      <c r="AD142" s="261"/>
      <c r="AE142" s="261"/>
      <c r="AF142" s="318"/>
      <c r="AG142" s="261"/>
      <c r="AH142" s="1274"/>
      <c r="AI142" s="1159"/>
      <c r="AJ142" s="1860"/>
      <c r="AK142" s="1884"/>
    </row>
    <row r="143" spans="1:37" ht="15" customHeight="1">
      <c r="A143" s="455"/>
      <c r="B143" s="364"/>
      <c r="C143" s="495"/>
      <c r="D143" s="495"/>
      <c r="E143" s="496"/>
      <c r="F143" s="496"/>
      <c r="G143" s="496"/>
      <c r="H143" s="222"/>
      <c r="I143" s="222"/>
      <c r="J143" s="318"/>
      <c r="K143" s="222"/>
      <c r="L143" s="222"/>
      <c r="M143" s="222"/>
      <c r="N143" s="222"/>
      <c r="O143" s="222"/>
      <c r="P143" s="222"/>
      <c r="Q143" s="222"/>
      <c r="R143" s="222"/>
      <c r="S143" s="222"/>
      <c r="T143" s="222"/>
      <c r="U143" s="222"/>
      <c r="V143" s="222"/>
      <c r="W143" s="222"/>
      <c r="X143" s="222"/>
      <c r="Y143" s="222"/>
      <c r="Z143" s="222"/>
      <c r="AA143" s="222"/>
      <c r="AB143" s="222"/>
      <c r="AC143" s="261"/>
      <c r="AD143" s="261"/>
      <c r="AE143" s="261"/>
      <c r="AF143" s="318"/>
      <c r="AG143" s="261"/>
      <c r="AH143" s="1274"/>
      <c r="AI143" s="1159"/>
      <c r="AJ143" s="1860"/>
      <c r="AK143" s="1884"/>
    </row>
    <row r="144" spans="1:37" ht="15.75" customHeight="1">
      <c r="A144" s="455"/>
      <c r="B144" s="364"/>
      <c r="C144" s="495"/>
      <c r="D144" s="495"/>
      <c r="E144" s="496"/>
      <c r="F144" s="496"/>
      <c r="G144" s="496"/>
      <c r="H144" s="222"/>
      <c r="I144" s="222"/>
      <c r="J144" s="318"/>
      <c r="K144" s="222"/>
      <c r="L144" s="222"/>
      <c r="M144" s="222"/>
      <c r="N144" s="222"/>
      <c r="O144" s="222"/>
      <c r="P144" s="222"/>
      <c r="Q144" s="222"/>
      <c r="R144" s="222"/>
      <c r="S144" s="222"/>
      <c r="T144" s="222"/>
      <c r="U144" s="222"/>
      <c r="V144" s="222"/>
      <c r="W144" s="222"/>
      <c r="X144" s="222"/>
      <c r="Y144" s="222"/>
      <c r="Z144" s="222"/>
      <c r="AA144" s="222"/>
      <c r="AB144" s="222"/>
      <c r="AC144" s="261"/>
      <c r="AD144" s="261"/>
      <c r="AE144" s="261"/>
      <c r="AF144" s="318"/>
      <c r="AG144" s="261"/>
      <c r="AH144" s="1274"/>
      <c r="AI144" s="1159"/>
      <c r="AJ144" s="1860"/>
      <c r="AK144" s="1884"/>
    </row>
    <row r="145" spans="1:37" ht="14.25" customHeight="1">
      <c r="A145" s="455"/>
      <c r="B145" s="364"/>
      <c r="C145" s="495"/>
      <c r="D145" s="495"/>
      <c r="E145" s="496"/>
      <c r="F145" s="496"/>
      <c r="G145" s="496"/>
      <c r="H145" s="222"/>
      <c r="I145" s="222"/>
      <c r="J145" s="318"/>
      <c r="K145" s="222"/>
      <c r="L145" s="222"/>
      <c r="M145" s="222"/>
      <c r="N145" s="222"/>
      <c r="O145" s="222"/>
      <c r="P145" s="222"/>
      <c r="Q145" s="222"/>
      <c r="R145" s="222"/>
      <c r="S145" s="222"/>
      <c r="T145" s="222"/>
      <c r="U145" s="222"/>
      <c r="V145" s="222"/>
      <c r="W145" s="222"/>
      <c r="X145" s="222"/>
      <c r="Y145" s="222"/>
      <c r="Z145" s="222"/>
      <c r="AA145" s="222"/>
      <c r="AB145" s="222"/>
      <c r="AC145" s="261"/>
      <c r="AD145" s="261"/>
      <c r="AE145" s="261"/>
      <c r="AF145" s="318"/>
      <c r="AG145" s="261"/>
      <c r="AH145" s="1274"/>
      <c r="AI145" s="1159"/>
      <c r="AJ145" s="1860"/>
      <c r="AK145" s="1884"/>
    </row>
    <row r="146" spans="1:37" ht="14.25" customHeight="1">
      <c r="A146" s="455"/>
      <c r="B146" s="364"/>
      <c r="C146" s="495"/>
      <c r="D146" s="495"/>
      <c r="E146" s="496"/>
      <c r="F146" s="496"/>
      <c r="G146" s="496"/>
      <c r="H146" s="222"/>
      <c r="I146" s="222"/>
      <c r="J146" s="318"/>
      <c r="K146" s="222"/>
      <c r="L146" s="222"/>
      <c r="M146" s="222"/>
      <c r="N146" s="222"/>
      <c r="O146" s="222"/>
      <c r="P146" s="222"/>
      <c r="Q146" s="222"/>
      <c r="R146" s="222"/>
      <c r="S146" s="222"/>
      <c r="T146" s="222"/>
      <c r="U146" s="222"/>
      <c r="V146" s="222"/>
      <c r="W146" s="222"/>
      <c r="X146" s="222"/>
      <c r="Y146" s="222"/>
      <c r="Z146" s="222"/>
      <c r="AA146" s="222"/>
      <c r="AB146" s="222"/>
      <c r="AC146" s="261"/>
      <c r="AD146" s="261"/>
      <c r="AE146" s="261"/>
      <c r="AF146" s="318"/>
      <c r="AG146" s="261"/>
      <c r="AH146" s="1274"/>
      <c r="AI146" s="1159"/>
      <c r="AJ146" s="1860"/>
      <c r="AK146" s="1884"/>
    </row>
    <row r="147" spans="1:37" ht="14.25" customHeight="1">
      <c r="A147" s="455"/>
      <c r="B147" s="364"/>
      <c r="C147" s="495"/>
      <c r="D147" s="495"/>
      <c r="E147" s="496"/>
      <c r="F147" s="496"/>
      <c r="G147" s="496"/>
      <c r="H147" s="222"/>
      <c r="I147" s="222"/>
      <c r="J147" s="318"/>
      <c r="K147" s="222"/>
      <c r="L147" s="222"/>
      <c r="M147" s="222"/>
      <c r="N147" s="222"/>
      <c r="O147" s="222"/>
      <c r="P147" s="222"/>
      <c r="Q147" s="222"/>
      <c r="R147" s="222"/>
      <c r="S147" s="222"/>
      <c r="T147" s="222"/>
      <c r="U147" s="222"/>
      <c r="V147" s="222"/>
      <c r="W147" s="222"/>
      <c r="X147" s="222"/>
      <c r="Y147" s="222"/>
      <c r="Z147" s="222"/>
      <c r="AA147" s="222"/>
      <c r="AB147" s="222"/>
      <c r="AC147" s="261"/>
      <c r="AD147" s="261"/>
      <c r="AE147" s="261"/>
      <c r="AF147" s="318"/>
      <c r="AG147" s="261"/>
      <c r="AH147" s="1274"/>
      <c r="AI147" s="1159"/>
      <c r="AJ147" s="1860"/>
      <c r="AK147" s="1884"/>
    </row>
    <row r="148" spans="1:37" ht="14.25" customHeight="1">
      <c r="A148" s="455"/>
      <c r="B148" s="364"/>
      <c r="C148" s="495"/>
      <c r="D148" s="495"/>
      <c r="E148" s="496"/>
      <c r="F148" s="496"/>
      <c r="G148" s="496"/>
      <c r="H148" s="222"/>
      <c r="I148" s="222"/>
      <c r="J148" s="318"/>
      <c r="K148" s="222"/>
      <c r="L148" s="222"/>
      <c r="M148" s="222"/>
      <c r="N148" s="222"/>
      <c r="O148" s="222"/>
      <c r="P148" s="222"/>
      <c r="Q148" s="222"/>
      <c r="R148" s="222"/>
      <c r="S148" s="222"/>
      <c r="T148" s="222"/>
      <c r="U148" s="222"/>
      <c r="V148" s="222"/>
      <c r="W148" s="222"/>
      <c r="X148" s="222"/>
      <c r="Y148" s="222"/>
      <c r="Z148" s="222"/>
      <c r="AA148" s="222"/>
      <c r="AB148" s="222"/>
      <c r="AC148" s="261"/>
      <c r="AD148" s="261"/>
      <c r="AE148" s="261"/>
      <c r="AF148" s="318"/>
      <c r="AG148" s="261"/>
      <c r="AH148" s="1274"/>
      <c r="AI148" s="1159"/>
      <c r="AJ148" s="1860"/>
      <c r="AK148" s="1884"/>
    </row>
    <row r="149" spans="1:37" ht="14.25" customHeight="1">
      <c r="A149" s="455"/>
      <c r="B149" s="364"/>
      <c r="C149" s="495"/>
      <c r="D149" s="495"/>
      <c r="E149" s="496"/>
      <c r="F149" s="496"/>
      <c r="G149" s="496"/>
      <c r="H149" s="222"/>
      <c r="I149" s="222"/>
      <c r="J149" s="318"/>
      <c r="K149" s="222"/>
      <c r="L149" s="222"/>
      <c r="M149" s="222"/>
      <c r="N149" s="222"/>
      <c r="O149" s="222"/>
      <c r="P149" s="222"/>
      <c r="Q149" s="222"/>
      <c r="R149" s="222"/>
      <c r="S149" s="222"/>
      <c r="T149" s="222"/>
      <c r="U149" s="222"/>
      <c r="V149" s="222"/>
      <c r="W149" s="222"/>
      <c r="X149" s="222"/>
      <c r="Y149" s="222"/>
      <c r="Z149" s="222"/>
      <c r="AA149" s="222"/>
      <c r="AB149" s="222"/>
      <c r="AC149" s="261"/>
      <c r="AD149" s="261"/>
      <c r="AE149" s="261"/>
      <c r="AF149" s="318"/>
      <c r="AG149" s="261"/>
      <c r="AH149" s="1274"/>
      <c r="AI149" s="1159"/>
      <c r="AJ149" s="1860"/>
      <c r="AK149" s="1884"/>
    </row>
    <row r="150" spans="1:37" ht="14.25" customHeight="1">
      <c r="A150" s="455"/>
      <c r="B150" s="364"/>
      <c r="C150" s="495"/>
      <c r="D150" s="495"/>
      <c r="E150" s="496"/>
      <c r="F150" s="496"/>
      <c r="G150" s="496"/>
      <c r="H150" s="222"/>
      <c r="I150" s="222"/>
      <c r="J150" s="318"/>
      <c r="K150" s="222"/>
      <c r="L150" s="222"/>
      <c r="M150" s="222"/>
      <c r="N150" s="222"/>
      <c r="O150" s="222"/>
      <c r="P150" s="222"/>
      <c r="Q150" s="222"/>
      <c r="R150" s="222"/>
      <c r="S150" s="222"/>
      <c r="T150" s="222"/>
      <c r="U150" s="222"/>
      <c r="V150" s="222"/>
      <c r="W150" s="222"/>
      <c r="X150" s="222"/>
      <c r="Y150" s="222"/>
      <c r="Z150" s="222"/>
      <c r="AA150" s="222"/>
      <c r="AB150" s="222"/>
      <c r="AC150" s="261"/>
      <c r="AD150" s="261"/>
      <c r="AE150" s="261"/>
      <c r="AF150" s="318"/>
      <c r="AG150" s="261"/>
      <c r="AH150" s="1274"/>
      <c r="AI150" s="1159"/>
      <c r="AJ150" s="1860"/>
      <c r="AK150" s="1884"/>
    </row>
    <row r="151" spans="1:37" ht="14.25" customHeight="1">
      <c r="A151" s="455"/>
      <c r="B151" s="364"/>
      <c r="C151" s="495"/>
      <c r="D151" s="495"/>
      <c r="E151" s="496"/>
      <c r="F151" s="496"/>
      <c r="G151" s="496"/>
      <c r="H151" s="222"/>
      <c r="I151" s="222"/>
      <c r="J151" s="318"/>
      <c r="K151" s="222"/>
      <c r="L151" s="222"/>
      <c r="M151" s="222"/>
      <c r="N151" s="222"/>
      <c r="O151" s="222"/>
      <c r="P151" s="222"/>
      <c r="Q151" s="222"/>
      <c r="R151" s="222"/>
      <c r="S151" s="222"/>
      <c r="T151" s="222"/>
      <c r="U151" s="222"/>
      <c r="V151" s="222"/>
      <c r="W151" s="222"/>
      <c r="X151" s="222"/>
      <c r="Y151" s="222"/>
      <c r="Z151" s="222"/>
      <c r="AA151" s="222"/>
      <c r="AB151" s="222"/>
      <c r="AC151" s="261"/>
      <c r="AD151" s="261"/>
      <c r="AE151" s="261"/>
      <c r="AF151" s="318"/>
      <c r="AG151" s="261"/>
      <c r="AH151" s="1274"/>
      <c r="AI151" s="1159"/>
      <c r="AJ151" s="1860"/>
      <c r="AK151" s="1884"/>
    </row>
    <row r="152" spans="1:37" ht="14.25" customHeight="1">
      <c r="A152" s="455"/>
      <c r="B152" s="364"/>
      <c r="C152" s="495"/>
      <c r="D152" s="495"/>
      <c r="E152" s="496"/>
      <c r="F152" s="496"/>
      <c r="G152" s="496"/>
      <c r="H152" s="222"/>
      <c r="I152" s="222"/>
      <c r="J152" s="318"/>
      <c r="K152" s="222"/>
      <c r="L152" s="222"/>
      <c r="M152" s="222"/>
      <c r="N152" s="222"/>
      <c r="O152" s="222"/>
      <c r="P152" s="222"/>
      <c r="Q152" s="222"/>
      <c r="R152" s="222"/>
      <c r="S152" s="222"/>
      <c r="T152" s="222"/>
      <c r="U152" s="222"/>
      <c r="V152" s="222"/>
      <c r="W152" s="222"/>
      <c r="X152" s="222"/>
      <c r="Y152" s="222"/>
      <c r="Z152" s="222"/>
      <c r="AA152" s="222"/>
      <c r="AB152" s="222"/>
      <c r="AC152" s="222"/>
      <c r="AD152" s="222"/>
      <c r="AE152" s="222"/>
      <c r="AF152" s="306"/>
      <c r="AG152" s="222"/>
      <c r="AH152" s="497"/>
      <c r="AI152" s="1834"/>
      <c r="AJ152" s="2678"/>
      <c r="AK152" s="1884"/>
    </row>
    <row r="153" spans="1:37" ht="14.25" customHeight="1">
      <c r="A153" s="455"/>
      <c r="B153" s="364"/>
      <c r="C153" s="495"/>
      <c r="D153" s="495"/>
      <c r="E153" s="496"/>
      <c r="F153" s="496"/>
      <c r="G153" s="496"/>
      <c r="H153" s="222"/>
      <c r="I153" s="222"/>
      <c r="J153" s="318"/>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306"/>
      <c r="AG153" s="222"/>
      <c r="AH153" s="497"/>
      <c r="AI153" s="1834"/>
      <c r="AJ153" s="2678"/>
      <c r="AK153" s="1884"/>
    </row>
    <row r="154" spans="1:37" ht="14.25" customHeight="1">
      <c r="A154" s="455"/>
      <c r="B154" s="364"/>
      <c r="C154" s="495"/>
      <c r="D154" s="495"/>
      <c r="E154" s="496"/>
      <c r="F154" s="496"/>
      <c r="G154" s="496"/>
      <c r="H154" s="222"/>
      <c r="I154" s="222"/>
      <c r="J154" s="318"/>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306"/>
      <c r="AG154" s="222"/>
      <c r="AH154" s="497"/>
      <c r="AI154" s="1834"/>
      <c r="AJ154" s="2678"/>
      <c r="AK154" s="1884"/>
    </row>
    <row r="155" spans="1:37" ht="14.25" customHeight="1">
      <c r="A155" s="455"/>
      <c r="B155" s="364"/>
      <c r="C155" s="495"/>
      <c r="D155" s="495"/>
      <c r="E155" s="496"/>
      <c r="F155" s="496"/>
      <c r="G155" s="496"/>
      <c r="H155" s="222"/>
      <c r="I155" s="222"/>
      <c r="J155" s="318"/>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306"/>
      <c r="AG155" s="222"/>
      <c r="AH155" s="497"/>
      <c r="AI155" s="1834"/>
      <c r="AJ155" s="2678"/>
      <c r="AK155" s="1884"/>
    </row>
    <row r="156" spans="1:37" ht="14.25" customHeight="1">
      <c r="A156" s="455"/>
      <c r="B156" s="364"/>
      <c r="C156" s="495"/>
      <c r="D156" s="495"/>
      <c r="E156" s="496"/>
      <c r="F156" s="496"/>
      <c r="G156" s="496"/>
      <c r="H156" s="222"/>
      <c r="I156" s="222"/>
      <c r="J156" s="318"/>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306"/>
      <c r="AG156" s="222"/>
      <c r="AH156" s="497"/>
      <c r="AI156" s="1834"/>
      <c r="AJ156" s="2678"/>
      <c r="AK156" s="1884"/>
    </row>
    <row r="157" spans="1:37" ht="14.25" customHeight="1">
      <c r="A157" s="455"/>
      <c r="B157" s="364"/>
      <c r="C157" s="495"/>
      <c r="D157" s="495"/>
      <c r="E157" s="496"/>
      <c r="F157" s="496"/>
      <c r="G157" s="496"/>
      <c r="H157" s="222"/>
      <c r="I157" s="222"/>
      <c r="J157" s="318"/>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306"/>
      <c r="AG157" s="222"/>
      <c r="AH157" s="497"/>
      <c r="AI157" s="1834"/>
      <c r="AJ157" s="2678"/>
      <c r="AK157" s="1884"/>
    </row>
    <row r="158" spans="1:37" ht="14.25" customHeight="1">
      <c r="A158" s="455"/>
      <c r="B158" s="364"/>
      <c r="C158" s="495"/>
      <c r="D158" s="495"/>
      <c r="E158" s="496"/>
      <c r="F158" s="496"/>
      <c r="G158" s="496"/>
      <c r="H158" s="222"/>
      <c r="I158" s="222"/>
      <c r="J158" s="318"/>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306"/>
      <c r="AG158" s="222"/>
      <c r="AH158" s="497"/>
      <c r="AI158" s="1834"/>
      <c r="AJ158" s="2678"/>
      <c r="AK158" s="1884"/>
    </row>
    <row r="159" spans="1:37" ht="14.25" customHeight="1">
      <c r="A159" s="455"/>
      <c r="B159" s="364"/>
      <c r="C159" s="495"/>
      <c r="D159" s="495"/>
      <c r="E159" s="496"/>
      <c r="F159" s="496"/>
      <c r="G159" s="496"/>
      <c r="H159" s="222"/>
      <c r="I159" s="222"/>
      <c r="J159" s="318"/>
      <c r="K159" s="222"/>
      <c r="L159" s="222"/>
      <c r="M159" s="222"/>
      <c r="N159" s="222"/>
      <c r="O159" s="222"/>
      <c r="P159" s="222"/>
      <c r="Q159" s="222"/>
      <c r="R159" s="222"/>
      <c r="S159" s="222"/>
      <c r="T159" s="222"/>
      <c r="U159" s="222"/>
      <c r="V159" s="222"/>
      <c r="W159" s="222"/>
      <c r="X159" s="222"/>
      <c r="Y159" s="222"/>
      <c r="Z159" s="222"/>
      <c r="AA159" s="222"/>
      <c r="AB159" s="222"/>
      <c r="AC159" s="222"/>
      <c r="AD159" s="222"/>
      <c r="AE159" s="222"/>
      <c r="AF159" s="306"/>
      <c r="AG159" s="222"/>
      <c r="AH159" s="497"/>
      <c r="AI159" s="1834"/>
      <c r="AJ159" s="2678"/>
      <c r="AK159" s="1884"/>
    </row>
    <row r="160" spans="1:37" ht="14.25" customHeight="1">
      <c r="A160" s="455"/>
      <c r="B160" s="364"/>
      <c r="C160" s="495"/>
      <c r="D160" s="495"/>
      <c r="E160" s="496"/>
      <c r="F160" s="496"/>
      <c r="G160" s="496"/>
      <c r="H160" s="222"/>
      <c r="I160" s="222"/>
      <c r="J160" s="318"/>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306"/>
      <c r="AG160" s="222"/>
      <c r="AH160" s="497"/>
      <c r="AI160" s="1834"/>
      <c r="AJ160" s="2678"/>
      <c r="AK160" s="1884"/>
    </row>
    <row r="161" spans="1:38" ht="20.100000000000001" customHeight="1">
      <c r="A161" s="455"/>
      <c r="B161" s="247"/>
      <c r="C161" s="222"/>
      <c r="D161" s="222"/>
      <c r="E161" s="222"/>
      <c r="F161" s="222"/>
      <c r="G161" s="222"/>
      <c r="H161" s="222"/>
      <c r="I161" s="222"/>
      <c r="J161" s="318"/>
      <c r="K161" s="222"/>
      <c r="L161" s="222"/>
      <c r="M161" s="222"/>
      <c r="N161" s="222"/>
      <c r="O161" s="222"/>
      <c r="P161" s="222"/>
      <c r="Q161" s="222"/>
      <c r="R161" s="222"/>
      <c r="S161" s="222"/>
      <c r="T161" s="222"/>
      <c r="U161" s="222"/>
      <c r="V161" s="222"/>
      <c r="W161" s="222"/>
      <c r="X161" s="222"/>
      <c r="Y161" s="222"/>
      <c r="Z161" s="222"/>
      <c r="AA161" s="222"/>
      <c r="AB161" s="222"/>
      <c r="AC161" s="222"/>
      <c r="AD161" s="222"/>
      <c r="AE161" s="222"/>
      <c r="AF161" s="306"/>
      <c r="AG161" s="222"/>
      <c r="AH161" s="497"/>
      <c r="AI161" s="1834"/>
      <c r="AJ161" s="2678"/>
      <c r="AK161" s="1884"/>
    </row>
    <row r="162" spans="1:38" ht="20.100000000000001" customHeight="1">
      <c r="A162" s="455"/>
      <c r="B162" s="247"/>
      <c r="C162" s="222"/>
      <c r="D162" s="222"/>
      <c r="E162" s="222"/>
      <c r="F162" s="222"/>
      <c r="G162" s="222"/>
      <c r="H162" s="222"/>
      <c r="I162" s="222"/>
      <c r="J162" s="318"/>
      <c r="K162" s="222"/>
      <c r="L162" s="222"/>
      <c r="M162" s="222"/>
      <c r="N162" s="222"/>
      <c r="O162" s="222"/>
      <c r="P162" s="222"/>
      <c r="Q162" s="222"/>
      <c r="R162" s="222"/>
      <c r="S162" s="222"/>
      <c r="T162" s="222"/>
      <c r="U162" s="222"/>
      <c r="V162" s="222"/>
      <c r="W162" s="222"/>
      <c r="X162" s="222"/>
      <c r="Y162" s="222"/>
      <c r="Z162" s="222"/>
      <c r="AA162" s="222"/>
      <c r="AB162" s="222"/>
      <c r="AC162" s="222"/>
      <c r="AD162" s="222"/>
      <c r="AE162" s="222"/>
      <c r="AF162" s="306"/>
      <c r="AG162" s="222"/>
      <c r="AH162" s="497"/>
      <c r="AI162" s="1834"/>
      <c r="AJ162" s="2678"/>
      <c r="AK162" s="1884"/>
      <c r="AL162" s="222"/>
    </row>
    <row r="163" spans="1:38" ht="20.100000000000001" customHeight="1">
      <c r="A163" s="455"/>
      <c r="B163" s="247"/>
      <c r="C163" s="222"/>
      <c r="D163" s="222"/>
      <c r="E163" s="222"/>
      <c r="F163" s="222"/>
      <c r="G163" s="222"/>
      <c r="H163" s="222"/>
      <c r="I163" s="222"/>
      <c r="J163" s="318"/>
      <c r="K163" s="222"/>
      <c r="L163" s="222"/>
      <c r="M163" s="222"/>
      <c r="N163" s="222"/>
      <c r="O163" s="222"/>
      <c r="P163" s="222"/>
      <c r="Q163" s="222"/>
      <c r="R163" s="222"/>
      <c r="S163" s="222"/>
      <c r="T163" s="222"/>
      <c r="U163" s="222"/>
      <c r="V163" s="222"/>
      <c r="W163" s="222"/>
      <c r="X163" s="222"/>
      <c r="Y163" s="222"/>
      <c r="Z163" s="222"/>
      <c r="AA163" s="222"/>
      <c r="AB163" s="222"/>
      <c r="AC163" s="222"/>
      <c r="AD163" s="222"/>
      <c r="AE163" s="222"/>
      <c r="AF163" s="306"/>
      <c r="AG163" s="222"/>
      <c r="AH163" s="497"/>
      <c r="AI163" s="1834"/>
      <c r="AJ163" s="2678"/>
      <c r="AK163" s="1884"/>
      <c r="AL163" s="222"/>
    </row>
    <row r="164" spans="1:38" ht="20.100000000000001" customHeight="1">
      <c r="B164" s="247"/>
      <c r="C164" s="222"/>
      <c r="D164" s="222"/>
      <c r="E164" s="222"/>
      <c r="F164" s="222"/>
      <c r="G164" s="222"/>
      <c r="H164" s="222"/>
      <c r="I164" s="222"/>
      <c r="J164" s="318"/>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306"/>
      <c r="AG164" s="222"/>
      <c r="AH164" s="222"/>
      <c r="AI164" s="1834"/>
      <c r="AJ164" s="2678"/>
      <c r="AK164" s="1884"/>
      <c r="AL164" s="222"/>
    </row>
    <row r="165" spans="1:38" ht="20.100000000000001" customHeight="1">
      <c r="B165" s="222"/>
      <c r="C165" s="222"/>
      <c r="D165" s="222"/>
      <c r="E165" s="222"/>
      <c r="F165" s="222"/>
      <c r="G165" s="222"/>
      <c r="H165" s="222"/>
      <c r="I165" s="222"/>
      <c r="J165" s="318"/>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306"/>
      <c r="AG165" s="222"/>
      <c r="AH165" s="222"/>
      <c r="AI165" s="1834"/>
      <c r="AJ165" s="2678"/>
      <c r="AK165" s="1884"/>
      <c r="AL165" s="222"/>
    </row>
    <row r="166" spans="1:38" ht="20.100000000000001" customHeight="1">
      <c r="B166" s="499"/>
      <c r="C166" s="222"/>
      <c r="D166" s="222"/>
      <c r="E166" s="222"/>
      <c r="F166" s="222"/>
      <c r="G166" s="222"/>
      <c r="H166" s="222"/>
      <c r="I166" s="222"/>
      <c r="J166" s="318"/>
      <c r="K166" s="222"/>
      <c r="L166" s="222"/>
      <c r="M166" s="222"/>
      <c r="N166" s="222"/>
      <c r="O166" s="222"/>
      <c r="P166" s="222"/>
      <c r="Q166" s="222"/>
      <c r="R166" s="222"/>
      <c r="S166" s="222"/>
      <c r="T166" s="222"/>
      <c r="U166" s="222"/>
      <c r="V166" s="222"/>
      <c r="W166" s="222"/>
      <c r="X166" s="222"/>
      <c r="Y166" s="222"/>
      <c r="Z166" s="222"/>
      <c r="AA166" s="222"/>
      <c r="AB166" s="222"/>
      <c r="AC166" s="222"/>
      <c r="AD166" s="222"/>
      <c r="AE166" s="222"/>
      <c r="AF166" s="306"/>
      <c r="AG166" s="222"/>
      <c r="AI166" s="456"/>
      <c r="AJ166" s="2042"/>
      <c r="AK166" s="1561"/>
      <c r="AL166" s="222"/>
    </row>
    <row r="167" spans="1:38" ht="20.100000000000001" customHeight="1">
      <c r="B167" s="222"/>
      <c r="C167" s="222"/>
      <c r="D167" s="222"/>
      <c r="E167" s="222"/>
      <c r="F167" s="222"/>
      <c r="G167" s="222"/>
      <c r="H167" s="222"/>
      <c r="I167" s="222"/>
      <c r="J167" s="318"/>
      <c r="K167" s="222"/>
      <c r="L167" s="222"/>
      <c r="M167" s="222"/>
      <c r="N167" s="222"/>
      <c r="O167" s="222"/>
      <c r="P167" s="222"/>
      <c r="Q167" s="222"/>
      <c r="R167" s="222"/>
      <c r="S167" s="222"/>
      <c r="T167" s="222"/>
      <c r="U167" s="222"/>
      <c r="V167" s="222"/>
      <c r="W167" s="222"/>
      <c r="X167" s="222"/>
      <c r="Y167" s="222"/>
      <c r="Z167" s="222"/>
      <c r="AA167" s="222"/>
      <c r="AB167" s="222"/>
      <c r="AC167" s="222"/>
      <c r="AD167" s="222"/>
      <c r="AE167" s="222"/>
      <c r="AF167" s="306"/>
      <c r="AG167" s="222"/>
      <c r="AI167" s="456"/>
      <c r="AJ167" s="2042"/>
      <c r="AK167" s="1561"/>
      <c r="AL167" s="222"/>
    </row>
    <row r="168" spans="1:38" ht="20.100000000000001" customHeight="1">
      <c r="B168" s="222"/>
      <c r="C168" s="222"/>
      <c r="D168" s="222"/>
      <c r="E168" s="222"/>
      <c r="F168" s="222"/>
      <c r="G168" s="222"/>
      <c r="H168" s="222"/>
      <c r="I168" s="222"/>
      <c r="J168" s="318"/>
      <c r="K168" s="222"/>
      <c r="L168" s="222"/>
      <c r="M168" s="222"/>
      <c r="N168" s="222"/>
      <c r="O168" s="222"/>
      <c r="P168" s="222"/>
      <c r="Q168" s="222"/>
      <c r="R168" s="222"/>
      <c r="S168" s="222"/>
      <c r="T168" s="222"/>
      <c r="U168" s="222"/>
      <c r="V168" s="222"/>
      <c r="W168" s="222"/>
      <c r="X168" s="222"/>
      <c r="Y168" s="222"/>
      <c r="Z168" s="222"/>
      <c r="AA168" s="222"/>
      <c r="AB168" s="222"/>
      <c r="AC168" s="222"/>
      <c r="AD168" s="222"/>
      <c r="AE168" s="222"/>
      <c r="AF168" s="306"/>
      <c r="AG168" s="222"/>
      <c r="AI168" s="456"/>
      <c r="AJ168" s="2042"/>
      <c r="AK168" s="1561"/>
      <c r="AL168" s="222"/>
    </row>
    <row r="169" spans="1:38" ht="20.100000000000001" customHeight="1">
      <c r="B169" s="456"/>
      <c r="C169" s="456"/>
      <c r="D169" s="456"/>
      <c r="E169" s="456"/>
      <c r="F169" s="456"/>
      <c r="G169" s="456"/>
      <c r="H169" s="456"/>
      <c r="I169" s="456"/>
      <c r="J169" s="2095"/>
      <c r="K169" s="456"/>
      <c r="L169" s="456"/>
      <c r="M169" s="456"/>
      <c r="N169" s="456"/>
      <c r="O169" s="456"/>
      <c r="P169" s="456"/>
      <c r="Q169" s="456"/>
      <c r="R169" s="456"/>
      <c r="S169" s="456"/>
      <c r="T169" s="456"/>
      <c r="U169" s="456"/>
      <c r="V169" s="456"/>
      <c r="W169" s="456"/>
      <c r="X169" s="456"/>
      <c r="Y169" s="456"/>
      <c r="Z169" s="456"/>
      <c r="AA169" s="456"/>
      <c r="AB169" s="456"/>
      <c r="AC169" s="456"/>
      <c r="AD169" s="456"/>
      <c r="AE169" s="456"/>
      <c r="AF169" s="1779"/>
      <c r="AG169" s="456"/>
      <c r="AI169" s="456"/>
      <c r="AJ169" s="2042"/>
      <c r="AK169" s="1561"/>
      <c r="AL169" s="222"/>
    </row>
    <row r="170" spans="1:38" ht="20.100000000000001" customHeight="1">
      <c r="B170" s="456"/>
      <c r="C170" s="456"/>
      <c r="D170" s="456"/>
      <c r="E170" s="456"/>
      <c r="F170" s="456"/>
      <c r="G170" s="456"/>
      <c r="H170" s="456"/>
      <c r="I170" s="456"/>
      <c r="J170" s="2095"/>
      <c r="K170" s="456"/>
      <c r="L170" s="456"/>
      <c r="M170" s="456"/>
      <c r="N170" s="456"/>
      <c r="O170" s="456"/>
      <c r="P170" s="456"/>
      <c r="Q170" s="456"/>
      <c r="R170" s="456"/>
      <c r="S170" s="456"/>
      <c r="T170" s="456"/>
      <c r="U170" s="456"/>
      <c r="V170" s="456"/>
      <c r="W170" s="456"/>
      <c r="X170" s="456"/>
      <c r="Y170" s="456"/>
      <c r="Z170" s="456"/>
      <c r="AA170" s="456"/>
      <c r="AB170" s="456"/>
      <c r="AC170" s="456"/>
      <c r="AD170" s="456"/>
      <c r="AE170" s="456"/>
      <c r="AF170" s="1779"/>
      <c r="AG170" s="456"/>
    </row>
    <row r="171" spans="1:38" ht="20.100000000000001" customHeight="1">
      <c r="B171" s="456"/>
      <c r="C171" s="456"/>
      <c r="D171" s="456"/>
      <c r="E171" s="456"/>
      <c r="F171" s="456"/>
      <c r="G171" s="456"/>
      <c r="H171" s="456"/>
      <c r="I171" s="456"/>
      <c r="J171" s="2095"/>
      <c r="K171" s="456"/>
      <c r="L171" s="456"/>
      <c r="M171" s="456"/>
      <c r="N171" s="456"/>
      <c r="O171" s="456"/>
      <c r="P171" s="456"/>
      <c r="Q171" s="456"/>
      <c r="R171" s="456"/>
      <c r="S171" s="456"/>
      <c r="T171" s="456"/>
      <c r="U171" s="456"/>
      <c r="V171" s="456"/>
      <c r="W171" s="456"/>
      <c r="X171" s="456"/>
      <c r="Y171" s="456"/>
      <c r="Z171" s="456"/>
      <c r="AA171" s="456"/>
      <c r="AB171" s="456"/>
      <c r="AC171" s="456"/>
      <c r="AD171" s="456"/>
      <c r="AE171" s="456"/>
      <c r="AF171" s="1779"/>
      <c r="AG171" s="456"/>
    </row>
    <row r="172" spans="1:38" ht="20.100000000000001" customHeight="1">
      <c r="B172" s="456"/>
      <c r="C172" s="456"/>
      <c r="D172" s="456"/>
      <c r="E172" s="456"/>
      <c r="F172" s="456"/>
      <c r="G172" s="456"/>
      <c r="H172" s="456"/>
      <c r="I172" s="456"/>
      <c r="J172" s="2095"/>
      <c r="K172" s="456"/>
      <c r="L172" s="456"/>
      <c r="M172" s="456"/>
      <c r="N172" s="456"/>
      <c r="O172" s="456"/>
      <c r="P172" s="456"/>
      <c r="Q172" s="456"/>
      <c r="R172" s="456"/>
      <c r="S172" s="456"/>
      <c r="T172" s="456"/>
      <c r="U172" s="456"/>
      <c r="V172" s="456"/>
      <c r="W172" s="456"/>
      <c r="X172" s="456"/>
      <c r="Y172" s="456"/>
      <c r="Z172" s="456"/>
      <c r="AA172" s="456"/>
      <c r="AB172" s="456"/>
      <c r="AC172" s="456"/>
      <c r="AD172" s="456"/>
      <c r="AE172" s="456"/>
      <c r="AF172" s="1779"/>
      <c r="AG172" s="456"/>
    </row>
    <row r="173" spans="1:38" ht="20.100000000000001" customHeight="1">
      <c r="B173" s="456"/>
      <c r="C173" s="456"/>
      <c r="D173" s="456"/>
      <c r="E173" s="456"/>
      <c r="F173" s="456"/>
      <c r="G173" s="456"/>
      <c r="H173" s="456"/>
      <c r="I173" s="456"/>
      <c r="J173" s="2095"/>
      <c r="K173" s="456"/>
      <c r="L173" s="456"/>
      <c r="M173" s="456"/>
      <c r="N173" s="456"/>
      <c r="O173" s="456"/>
      <c r="P173" s="456"/>
      <c r="Q173" s="456"/>
      <c r="R173" s="456"/>
      <c r="S173" s="456"/>
      <c r="T173" s="456"/>
      <c r="U173" s="456"/>
      <c r="V173" s="456"/>
      <c r="W173" s="456"/>
      <c r="X173" s="456"/>
      <c r="Y173" s="456"/>
      <c r="Z173" s="456"/>
      <c r="AA173" s="456"/>
      <c r="AB173" s="456"/>
      <c r="AC173" s="456"/>
      <c r="AD173" s="456"/>
      <c r="AE173" s="456"/>
      <c r="AF173" s="1779"/>
      <c r="AG173" s="456"/>
    </row>
    <row r="174" spans="1:38">
      <c r="B174" s="456"/>
      <c r="C174" s="456"/>
      <c r="D174" s="456"/>
      <c r="E174" s="456"/>
      <c r="F174" s="456"/>
      <c r="G174" s="456"/>
      <c r="H174" s="456"/>
      <c r="I174" s="456"/>
      <c r="J174" s="2095"/>
      <c r="K174" s="456"/>
      <c r="L174" s="456"/>
      <c r="M174" s="456"/>
      <c r="N174" s="456"/>
      <c r="O174" s="456"/>
      <c r="P174" s="456"/>
      <c r="Q174" s="456"/>
      <c r="R174" s="456"/>
      <c r="S174" s="456"/>
      <c r="T174" s="456"/>
      <c r="U174" s="456"/>
      <c r="V174" s="456"/>
      <c r="W174" s="456"/>
      <c r="X174" s="456"/>
      <c r="Y174" s="456"/>
      <c r="Z174" s="456"/>
      <c r="AA174" s="456"/>
      <c r="AB174" s="456"/>
      <c r="AC174" s="456"/>
      <c r="AD174" s="456"/>
      <c r="AE174" s="456"/>
      <c r="AF174" s="1779"/>
      <c r="AG174" s="456"/>
    </row>
    <row r="175" spans="1:38">
      <c r="B175" s="456"/>
      <c r="C175" s="456"/>
      <c r="D175" s="456"/>
      <c r="E175" s="456"/>
      <c r="F175" s="456"/>
      <c r="G175" s="456"/>
      <c r="H175" s="456"/>
      <c r="I175" s="456"/>
      <c r="J175" s="2095"/>
      <c r="K175" s="456"/>
      <c r="L175" s="456"/>
      <c r="M175" s="456"/>
      <c r="N175" s="456"/>
      <c r="O175" s="456"/>
      <c r="P175" s="456"/>
      <c r="Q175" s="456"/>
      <c r="R175" s="456"/>
      <c r="S175" s="456"/>
      <c r="T175" s="456"/>
      <c r="U175" s="456"/>
      <c r="V175" s="456"/>
      <c r="W175" s="456"/>
      <c r="X175" s="456"/>
      <c r="Y175" s="456"/>
      <c r="Z175" s="456"/>
      <c r="AA175" s="456"/>
      <c r="AB175" s="456"/>
      <c r="AC175" s="456"/>
      <c r="AD175" s="456"/>
      <c r="AE175" s="456"/>
      <c r="AF175" s="1779"/>
      <c r="AG175" s="456"/>
    </row>
    <row r="176" spans="1:38">
      <c r="B176" s="456"/>
      <c r="C176" s="456"/>
      <c r="D176" s="456"/>
      <c r="E176" s="456"/>
      <c r="F176" s="456"/>
      <c r="G176" s="456"/>
      <c r="H176" s="456"/>
      <c r="I176" s="456"/>
      <c r="J176" s="2095"/>
      <c r="K176" s="456"/>
      <c r="L176" s="456"/>
      <c r="M176" s="456"/>
      <c r="N176" s="456"/>
      <c r="O176" s="456"/>
      <c r="P176" s="456"/>
      <c r="Q176" s="456"/>
      <c r="R176" s="456"/>
      <c r="S176" s="456"/>
      <c r="T176" s="456"/>
      <c r="U176" s="456"/>
      <c r="V176" s="456"/>
      <c r="W176" s="456"/>
      <c r="X176" s="456"/>
      <c r="Y176" s="456"/>
      <c r="Z176" s="456"/>
      <c r="AA176" s="456"/>
      <c r="AB176" s="456"/>
      <c r="AC176" s="456"/>
      <c r="AD176" s="456"/>
      <c r="AE176" s="456"/>
      <c r="AF176" s="1779"/>
      <c r="AG176" s="456"/>
    </row>
    <row r="177" spans="2:33">
      <c r="B177" s="456"/>
      <c r="C177" s="456"/>
      <c r="D177" s="456"/>
      <c r="E177" s="456"/>
      <c r="F177" s="456"/>
      <c r="G177" s="456"/>
      <c r="H177" s="456"/>
      <c r="I177" s="456"/>
      <c r="J177" s="2095"/>
      <c r="K177" s="456"/>
      <c r="L177" s="456"/>
      <c r="M177" s="456"/>
      <c r="N177" s="456"/>
      <c r="O177" s="456"/>
      <c r="P177" s="456"/>
      <c r="Q177" s="456"/>
      <c r="R177" s="456"/>
      <c r="S177" s="456"/>
      <c r="T177" s="456"/>
      <c r="U177" s="456"/>
      <c r="V177" s="456"/>
      <c r="W177" s="456"/>
      <c r="X177" s="456"/>
      <c r="Y177" s="456"/>
      <c r="Z177" s="456"/>
      <c r="AA177" s="456"/>
      <c r="AB177" s="456"/>
      <c r="AC177" s="456"/>
      <c r="AD177" s="456"/>
      <c r="AE177" s="456"/>
      <c r="AF177" s="1779"/>
      <c r="AG177" s="456"/>
    </row>
    <row r="178" spans="2:33">
      <c r="B178" s="456"/>
      <c r="C178" s="456"/>
      <c r="D178" s="456"/>
      <c r="E178" s="456"/>
      <c r="F178" s="456"/>
      <c r="G178" s="456"/>
      <c r="H178" s="456"/>
      <c r="I178" s="456"/>
      <c r="J178" s="2095"/>
      <c r="K178" s="456"/>
      <c r="L178" s="456"/>
      <c r="M178" s="456"/>
      <c r="N178" s="456"/>
      <c r="O178" s="456"/>
      <c r="P178" s="456"/>
      <c r="Q178" s="456"/>
      <c r="R178" s="456"/>
      <c r="S178" s="456"/>
      <c r="T178" s="456"/>
      <c r="U178" s="456"/>
      <c r="V178" s="456"/>
      <c r="W178" s="456"/>
      <c r="X178" s="456"/>
      <c r="Y178" s="456"/>
      <c r="Z178" s="456"/>
      <c r="AA178" s="456"/>
      <c r="AB178" s="456"/>
      <c r="AC178" s="456"/>
      <c r="AD178" s="456"/>
      <c r="AE178" s="456"/>
      <c r="AF178" s="1779"/>
      <c r="AG178" s="456"/>
    </row>
    <row r="179" spans="2:33">
      <c r="B179" s="456"/>
      <c r="C179" s="456"/>
      <c r="D179" s="456"/>
      <c r="E179" s="456"/>
      <c r="F179" s="456"/>
      <c r="G179" s="456"/>
      <c r="H179" s="456"/>
      <c r="I179" s="456"/>
      <c r="J179" s="2095"/>
      <c r="K179" s="456"/>
      <c r="L179" s="456"/>
      <c r="M179" s="456"/>
      <c r="N179" s="456"/>
      <c r="O179" s="456"/>
      <c r="P179" s="456"/>
      <c r="Q179" s="456"/>
      <c r="R179" s="456"/>
      <c r="S179" s="456"/>
      <c r="T179" s="456"/>
      <c r="U179" s="456"/>
      <c r="V179" s="456"/>
      <c r="W179" s="456"/>
      <c r="X179" s="456"/>
      <c r="Y179" s="456"/>
      <c r="Z179" s="456"/>
      <c r="AA179" s="456"/>
      <c r="AB179" s="456"/>
      <c r="AC179" s="456"/>
      <c r="AD179" s="456"/>
      <c r="AE179" s="456"/>
      <c r="AF179" s="1779"/>
      <c r="AG179" s="456"/>
    </row>
    <row r="180" spans="2:33">
      <c r="B180" s="456"/>
      <c r="C180" s="456"/>
      <c r="D180" s="456"/>
      <c r="E180" s="456"/>
      <c r="F180" s="456"/>
      <c r="G180" s="456"/>
      <c r="H180" s="456"/>
      <c r="I180" s="456"/>
      <c r="J180" s="2095"/>
      <c r="K180" s="456"/>
      <c r="L180" s="456"/>
      <c r="M180" s="456"/>
      <c r="N180" s="456"/>
      <c r="O180" s="456"/>
      <c r="P180" s="456"/>
      <c r="Q180" s="456"/>
      <c r="R180" s="456"/>
      <c r="S180" s="456"/>
      <c r="T180" s="456"/>
      <c r="U180" s="456"/>
      <c r="V180" s="456"/>
      <c r="W180" s="456"/>
      <c r="X180" s="456"/>
      <c r="Y180" s="456"/>
      <c r="Z180" s="456"/>
      <c r="AA180" s="456"/>
      <c r="AB180" s="456"/>
      <c r="AC180" s="456"/>
      <c r="AD180" s="456"/>
      <c r="AE180" s="456"/>
      <c r="AF180" s="1779"/>
      <c r="AG180" s="456"/>
    </row>
    <row r="181" spans="2:33">
      <c r="B181" s="456"/>
      <c r="C181" s="456"/>
      <c r="D181" s="456"/>
      <c r="E181" s="456"/>
      <c r="F181" s="456"/>
      <c r="G181" s="456"/>
      <c r="H181" s="456"/>
      <c r="I181" s="456"/>
      <c r="J181" s="2095"/>
      <c r="K181" s="456"/>
      <c r="L181" s="456"/>
      <c r="M181" s="456"/>
      <c r="N181" s="456"/>
      <c r="O181" s="456"/>
      <c r="P181" s="456"/>
      <c r="Q181" s="456"/>
      <c r="R181" s="456"/>
      <c r="S181" s="456"/>
      <c r="T181" s="456"/>
      <c r="U181" s="456"/>
      <c r="V181" s="456"/>
      <c r="W181" s="456"/>
      <c r="X181" s="456"/>
      <c r="Y181" s="456"/>
      <c r="Z181" s="456"/>
      <c r="AA181" s="456"/>
      <c r="AB181" s="456"/>
      <c r="AC181" s="456"/>
      <c r="AD181" s="456"/>
      <c r="AE181" s="456"/>
      <c r="AF181" s="1779"/>
      <c r="AG181" s="456"/>
    </row>
    <row r="182" spans="2:33">
      <c r="B182" s="456"/>
      <c r="C182" s="456"/>
      <c r="D182" s="456"/>
      <c r="E182" s="456"/>
      <c r="F182" s="456"/>
      <c r="G182" s="456"/>
      <c r="H182" s="456"/>
      <c r="I182" s="456"/>
      <c r="J182" s="2095"/>
      <c r="K182" s="456"/>
      <c r="L182" s="456"/>
      <c r="M182" s="456"/>
      <c r="N182" s="456"/>
      <c r="O182" s="456"/>
      <c r="P182" s="456"/>
      <c r="Q182" s="456"/>
      <c r="R182" s="456"/>
      <c r="S182" s="456"/>
      <c r="T182" s="456"/>
      <c r="U182" s="456"/>
      <c r="V182" s="456"/>
      <c r="W182" s="456"/>
      <c r="X182" s="456"/>
      <c r="Y182" s="456"/>
      <c r="Z182" s="456"/>
      <c r="AA182" s="456"/>
      <c r="AB182" s="456"/>
      <c r="AC182" s="456"/>
      <c r="AD182" s="456"/>
      <c r="AE182" s="456"/>
      <c r="AF182" s="1779"/>
      <c r="AG182" s="456"/>
    </row>
    <row r="183" spans="2:33">
      <c r="B183" s="456"/>
      <c r="C183" s="456"/>
      <c r="D183" s="456"/>
      <c r="E183" s="456"/>
      <c r="F183" s="456"/>
      <c r="G183" s="456"/>
      <c r="H183" s="456"/>
      <c r="I183" s="456"/>
      <c r="J183" s="2095"/>
      <c r="K183" s="456"/>
      <c r="L183" s="456"/>
      <c r="M183" s="456"/>
      <c r="N183" s="456"/>
      <c r="O183" s="456"/>
      <c r="P183" s="456"/>
      <c r="Q183" s="456"/>
      <c r="R183" s="456"/>
      <c r="S183" s="456"/>
      <c r="T183" s="456"/>
      <c r="U183" s="456"/>
      <c r="V183" s="456"/>
      <c r="W183" s="456"/>
      <c r="X183" s="456"/>
      <c r="Y183" s="456"/>
      <c r="Z183" s="456"/>
      <c r="AA183" s="456"/>
      <c r="AB183" s="456"/>
      <c r="AC183" s="456"/>
      <c r="AD183" s="456"/>
      <c r="AE183" s="456"/>
      <c r="AF183" s="1779"/>
      <c r="AG183" s="456"/>
    </row>
    <row r="184" spans="2:33">
      <c r="B184" s="456"/>
      <c r="C184" s="456"/>
      <c r="D184" s="456"/>
      <c r="E184" s="456"/>
      <c r="F184" s="456"/>
      <c r="G184" s="456"/>
      <c r="H184" s="456"/>
      <c r="I184" s="456"/>
      <c r="J184" s="2095"/>
      <c r="K184" s="456"/>
      <c r="L184" s="456"/>
      <c r="M184" s="456"/>
      <c r="N184" s="456"/>
      <c r="O184" s="456"/>
      <c r="P184" s="456"/>
      <c r="Q184" s="456"/>
      <c r="R184" s="456"/>
      <c r="S184" s="456"/>
      <c r="T184" s="456"/>
      <c r="U184" s="456"/>
      <c r="V184" s="456"/>
      <c r="W184" s="456"/>
      <c r="X184" s="456"/>
      <c r="Y184" s="456"/>
      <c r="Z184" s="456"/>
      <c r="AA184" s="456"/>
      <c r="AB184" s="456"/>
      <c r="AC184" s="456"/>
      <c r="AD184" s="456"/>
      <c r="AE184" s="456"/>
      <c r="AF184" s="1779"/>
      <c r="AG184" s="456"/>
    </row>
    <row r="185" spans="2:33">
      <c r="B185" s="456"/>
      <c r="C185" s="456"/>
      <c r="D185" s="456"/>
      <c r="E185" s="456"/>
      <c r="F185" s="456"/>
      <c r="G185" s="456"/>
      <c r="H185" s="456"/>
      <c r="I185" s="456"/>
      <c r="J185" s="2095"/>
      <c r="K185" s="456"/>
      <c r="L185" s="456"/>
      <c r="M185" s="456"/>
      <c r="N185" s="456"/>
      <c r="O185" s="456"/>
      <c r="P185" s="456"/>
      <c r="Q185" s="456"/>
      <c r="R185" s="456"/>
      <c r="S185" s="456"/>
      <c r="T185" s="456"/>
      <c r="U185" s="456"/>
      <c r="V185" s="456"/>
      <c r="W185" s="456"/>
      <c r="X185" s="456"/>
      <c r="Y185" s="456"/>
      <c r="Z185" s="456"/>
      <c r="AA185" s="456"/>
      <c r="AB185" s="456"/>
      <c r="AC185" s="456"/>
      <c r="AD185" s="456"/>
      <c r="AE185" s="456"/>
      <c r="AF185" s="1779"/>
      <c r="AG185" s="456"/>
    </row>
    <row r="186" spans="2:33">
      <c r="B186" s="456"/>
      <c r="C186" s="456"/>
      <c r="D186" s="456"/>
      <c r="E186" s="456"/>
      <c r="F186" s="456"/>
      <c r="G186" s="456"/>
      <c r="H186" s="456"/>
      <c r="I186" s="456"/>
      <c r="J186" s="2095"/>
      <c r="K186" s="456"/>
      <c r="L186" s="456"/>
      <c r="M186" s="456"/>
      <c r="N186" s="456"/>
      <c r="O186" s="456"/>
      <c r="P186" s="456"/>
      <c r="Q186" s="456"/>
      <c r="R186" s="456"/>
      <c r="S186" s="456"/>
      <c r="T186" s="456"/>
      <c r="U186" s="456"/>
      <c r="V186" s="456"/>
      <c r="W186" s="456"/>
      <c r="X186" s="456"/>
      <c r="Y186" s="456"/>
      <c r="Z186" s="456"/>
      <c r="AA186" s="456"/>
      <c r="AB186" s="456"/>
      <c r="AC186" s="456"/>
      <c r="AD186" s="456"/>
      <c r="AE186" s="456"/>
      <c r="AF186" s="1779"/>
      <c r="AG186" s="456"/>
    </row>
    <row r="187" spans="2:33">
      <c r="B187" s="456"/>
      <c r="C187" s="456"/>
      <c r="D187" s="456"/>
      <c r="E187" s="456"/>
      <c r="F187" s="456"/>
      <c r="G187" s="456"/>
      <c r="H187" s="456"/>
      <c r="I187" s="456"/>
      <c r="J187" s="2095"/>
      <c r="K187" s="456"/>
      <c r="L187" s="456"/>
      <c r="M187" s="456"/>
      <c r="N187" s="456"/>
      <c r="O187" s="456"/>
      <c r="P187" s="456"/>
      <c r="Q187" s="456"/>
      <c r="R187" s="456"/>
      <c r="S187" s="456"/>
      <c r="T187" s="456"/>
      <c r="U187" s="456"/>
      <c r="V187" s="456"/>
      <c r="W187" s="456"/>
      <c r="X187" s="456"/>
      <c r="Y187" s="456"/>
      <c r="Z187" s="456"/>
      <c r="AA187" s="456"/>
      <c r="AB187" s="456"/>
      <c r="AC187" s="456"/>
      <c r="AD187" s="456"/>
      <c r="AE187" s="456"/>
      <c r="AF187" s="1779"/>
      <c r="AG187" s="456"/>
    </row>
    <row r="188" spans="2:33">
      <c r="B188" s="456"/>
      <c r="C188" s="456"/>
      <c r="D188" s="456"/>
      <c r="E188" s="456"/>
      <c r="F188" s="456"/>
      <c r="G188" s="456"/>
      <c r="H188" s="456"/>
      <c r="I188" s="456"/>
      <c r="J188" s="2095"/>
      <c r="K188" s="456"/>
      <c r="L188" s="456"/>
      <c r="M188" s="456"/>
      <c r="N188" s="456"/>
      <c r="O188" s="456"/>
      <c r="P188" s="456"/>
      <c r="Q188" s="456"/>
      <c r="R188" s="456"/>
      <c r="S188" s="456"/>
      <c r="T188" s="456"/>
      <c r="U188" s="456"/>
      <c r="V188" s="456"/>
      <c r="W188" s="456"/>
      <c r="X188" s="456"/>
      <c r="Y188" s="456"/>
      <c r="Z188" s="456"/>
      <c r="AA188" s="456"/>
      <c r="AB188" s="456"/>
      <c r="AC188" s="456"/>
      <c r="AD188" s="456"/>
      <c r="AE188" s="456"/>
      <c r="AF188" s="1779"/>
      <c r="AG188" s="456"/>
    </row>
    <row r="189" spans="2:33">
      <c r="B189" s="456"/>
      <c r="C189" s="456"/>
      <c r="D189" s="456"/>
      <c r="E189" s="456"/>
      <c r="F189" s="456"/>
      <c r="G189" s="456"/>
      <c r="H189" s="456"/>
      <c r="I189" s="456"/>
      <c r="J189" s="2095"/>
      <c r="K189" s="456"/>
      <c r="L189" s="456"/>
      <c r="M189" s="456"/>
      <c r="N189" s="456"/>
      <c r="O189" s="456"/>
      <c r="P189" s="456"/>
      <c r="Q189" s="456"/>
      <c r="R189" s="456"/>
      <c r="S189" s="456"/>
      <c r="T189" s="456"/>
      <c r="U189" s="456"/>
      <c r="V189" s="456"/>
      <c r="W189" s="456"/>
      <c r="X189" s="456"/>
      <c r="Y189" s="456"/>
      <c r="Z189" s="456"/>
      <c r="AA189" s="456"/>
      <c r="AB189" s="456"/>
      <c r="AC189" s="456"/>
      <c r="AD189" s="456"/>
      <c r="AE189" s="456"/>
      <c r="AF189" s="1779"/>
      <c r="AG189" s="456"/>
    </row>
    <row r="190" spans="2:33">
      <c r="B190" s="456"/>
      <c r="C190" s="456"/>
      <c r="D190" s="456"/>
      <c r="E190" s="456"/>
      <c r="F190" s="456"/>
      <c r="G190" s="456"/>
      <c r="H190" s="456"/>
      <c r="I190" s="456"/>
      <c r="J190" s="2095"/>
      <c r="K190" s="456"/>
      <c r="L190" s="456"/>
      <c r="M190" s="456"/>
      <c r="N190" s="456"/>
      <c r="O190" s="456"/>
      <c r="P190" s="456"/>
      <c r="Q190" s="456"/>
      <c r="R190" s="456"/>
      <c r="S190" s="456"/>
      <c r="T190" s="456"/>
      <c r="U190" s="456"/>
      <c r="V190" s="456"/>
      <c r="W190" s="456"/>
      <c r="X190" s="456"/>
      <c r="Y190" s="456"/>
      <c r="Z190" s="456"/>
      <c r="AA190" s="456"/>
      <c r="AB190" s="456"/>
      <c r="AC190" s="456"/>
      <c r="AD190" s="456"/>
      <c r="AE190" s="456"/>
      <c r="AF190" s="1779"/>
      <c r="AG190" s="456"/>
    </row>
    <row r="191" spans="2:33">
      <c r="B191" s="456"/>
      <c r="C191" s="456"/>
      <c r="D191" s="456"/>
      <c r="E191" s="456"/>
      <c r="F191" s="456"/>
      <c r="G191" s="456"/>
      <c r="H191" s="456"/>
      <c r="I191" s="456"/>
      <c r="J191" s="2095"/>
      <c r="K191" s="456"/>
      <c r="L191" s="456"/>
      <c r="M191" s="456"/>
      <c r="N191" s="456"/>
      <c r="O191" s="456"/>
      <c r="P191" s="456"/>
      <c r="Q191" s="456"/>
      <c r="R191" s="456"/>
      <c r="S191" s="456"/>
      <c r="T191" s="456"/>
      <c r="U191" s="456"/>
      <c r="V191" s="456"/>
      <c r="W191" s="456"/>
      <c r="X191" s="456"/>
      <c r="Y191" s="456"/>
      <c r="Z191" s="456"/>
      <c r="AA191" s="456"/>
      <c r="AB191" s="456"/>
      <c r="AC191" s="456"/>
      <c r="AD191" s="456"/>
      <c r="AE191" s="456"/>
      <c r="AF191" s="1779"/>
      <c r="AG191" s="456"/>
    </row>
    <row r="192" spans="2:33">
      <c r="B192" s="456"/>
      <c r="C192" s="456"/>
      <c r="D192" s="456"/>
      <c r="E192" s="456"/>
      <c r="F192" s="456"/>
      <c r="G192" s="456"/>
      <c r="H192" s="456"/>
      <c r="I192" s="456"/>
      <c r="J192" s="2095"/>
      <c r="K192" s="456"/>
      <c r="L192" s="456"/>
      <c r="M192" s="456"/>
      <c r="N192" s="456"/>
      <c r="O192" s="456"/>
      <c r="P192" s="456"/>
      <c r="Q192" s="456"/>
      <c r="R192" s="456"/>
      <c r="S192" s="456"/>
      <c r="T192" s="456"/>
      <c r="U192" s="456"/>
      <c r="V192" s="456"/>
      <c r="W192" s="456"/>
      <c r="X192" s="456"/>
      <c r="Y192" s="456"/>
      <c r="Z192" s="456"/>
      <c r="AA192" s="456"/>
      <c r="AB192" s="456"/>
      <c r="AC192" s="456"/>
      <c r="AD192" s="456"/>
      <c r="AE192" s="456"/>
      <c r="AF192" s="1779"/>
      <c r="AG192" s="456"/>
    </row>
    <row r="193" spans="2:33">
      <c r="B193" s="456"/>
      <c r="C193" s="456"/>
      <c r="D193" s="456"/>
      <c r="E193" s="456"/>
      <c r="F193" s="456"/>
      <c r="G193" s="456"/>
      <c r="H193" s="456"/>
      <c r="I193" s="456"/>
      <c r="J193" s="2095"/>
      <c r="K193" s="456"/>
      <c r="L193" s="456"/>
      <c r="M193" s="456"/>
      <c r="N193" s="456"/>
      <c r="O193" s="456"/>
      <c r="P193" s="456"/>
      <c r="Q193" s="456"/>
      <c r="R193" s="456"/>
      <c r="S193" s="456"/>
      <c r="T193" s="456"/>
      <c r="U193" s="456"/>
      <c r="V193" s="456"/>
      <c r="W193" s="456"/>
      <c r="X193" s="456"/>
      <c r="Y193" s="456"/>
      <c r="Z193" s="456"/>
      <c r="AA193" s="456"/>
      <c r="AB193" s="456"/>
      <c r="AC193" s="456"/>
      <c r="AD193" s="456"/>
      <c r="AE193" s="456"/>
      <c r="AF193" s="1779"/>
      <c r="AG193" s="456"/>
    </row>
    <row r="194" spans="2:33">
      <c r="B194" s="456"/>
      <c r="C194" s="456"/>
      <c r="D194" s="456"/>
      <c r="E194" s="456"/>
      <c r="F194" s="456"/>
      <c r="G194" s="456"/>
      <c r="H194" s="456"/>
      <c r="I194" s="456"/>
      <c r="J194" s="2095"/>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1779"/>
      <c r="AG194" s="456"/>
    </row>
    <row r="195" spans="2:33">
      <c r="B195" s="456"/>
      <c r="C195" s="456"/>
      <c r="D195" s="456"/>
      <c r="E195" s="456"/>
      <c r="F195" s="456"/>
      <c r="G195" s="456"/>
      <c r="H195" s="456"/>
      <c r="I195" s="456"/>
      <c r="J195" s="2095"/>
      <c r="K195" s="456"/>
      <c r="L195" s="456"/>
      <c r="M195" s="456"/>
      <c r="N195" s="456"/>
      <c r="O195" s="456"/>
      <c r="P195" s="456"/>
      <c r="Q195" s="456"/>
      <c r="R195" s="456"/>
      <c r="S195" s="456"/>
      <c r="T195" s="456"/>
      <c r="U195" s="456"/>
      <c r="V195" s="456"/>
      <c r="W195" s="456"/>
      <c r="X195" s="456"/>
      <c r="Y195" s="456"/>
      <c r="Z195" s="456"/>
      <c r="AA195" s="456"/>
      <c r="AB195" s="456"/>
      <c r="AC195" s="456"/>
      <c r="AD195" s="456"/>
      <c r="AE195" s="456"/>
      <c r="AF195" s="1779"/>
      <c r="AG195" s="456"/>
    </row>
    <row r="196" spans="2:33">
      <c r="B196" s="456"/>
      <c r="C196" s="456"/>
      <c r="D196" s="456"/>
      <c r="E196" s="456"/>
      <c r="F196" s="456"/>
      <c r="G196" s="456"/>
      <c r="H196" s="456"/>
      <c r="I196" s="456"/>
      <c r="J196" s="2095"/>
      <c r="K196" s="456"/>
      <c r="L196" s="456"/>
      <c r="M196" s="456"/>
      <c r="N196" s="456"/>
      <c r="O196" s="456"/>
      <c r="P196" s="456"/>
      <c r="Q196" s="456"/>
      <c r="R196" s="456"/>
      <c r="S196" s="456"/>
      <c r="T196" s="456"/>
      <c r="U196" s="456"/>
      <c r="V196" s="456"/>
      <c r="W196" s="456"/>
      <c r="X196" s="456"/>
      <c r="Y196" s="456"/>
      <c r="Z196" s="456"/>
      <c r="AA196" s="456"/>
      <c r="AB196" s="456"/>
      <c r="AC196" s="456"/>
      <c r="AD196" s="456"/>
      <c r="AE196" s="456"/>
      <c r="AF196" s="1779"/>
      <c r="AG196" s="456"/>
    </row>
    <row r="197" spans="2:33">
      <c r="B197" s="456"/>
      <c r="C197" s="456"/>
      <c r="D197" s="456"/>
      <c r="E197" s="456"/>
      <c r="F197" s="456"/>
      <c r="G197" s="456"/>
      <c r="H197" s="456"/>
      <c r="I197" s="456"/>
      <c r="J197" s="2095"/>
      <c r="K197" s="456"/>
      <c r="L197" s="456"/>
      <c r="M197" s="456"/>
      <c r="N197" s="456"/>
      <c r="O197" s="456"/>
      <c r="P197" s="456"/>
      <c r="Q197" s="456"/>
      <c r="R197" s="456"/>
      <c r="S197" s="456"/>
      <c r="T197" s="456"/>
      <c r="U197" s="456"/>
      <c r="V197" s="456"/>
      <c r="W197" s="456"/>
      <c r="X197" s="456"/>
      <c r="Y197" s="456"/>
      <c r="Z197" s="456"/>
      <c r="AA197" s="456"/>
      <c r="AB197" s="456"/>
      <c r="AC197" s="456"/>
      <c r="AD197" s="456"/>
      <c r="AE197" s="456"/>
      <c r="AF197" s="1779"/>
      <c r="AG197" s="456"/>
    </row>
    <row r="198" spans="2:33">
      <c r="B198" s="456"/>
      <c r="C198" s="456"/>
      <c r="D198" s="456"/>
      <c r="E198" s="456"/>
      <c r="F198" s="456"/>
      <c r="G198" s="456"/>
      <c r="H198" s="456"/>
      <c r="I198" s="456"/>
      <c r="J198" s="2095"/>
      <c r="K198" s="456"/>
      <c r="L198" s="456"/>
      <c r="M198" s="456"/>
      <c r="N198" s="456"/>
      <c r="O198" s="456"/>
      <c r="P198" s="456"/>
      <c r="Q198" s="456"/>
      <c r="R198" s="456"/>
      <c r="S198" s="456"/>
      <c r="T198" s="456"/>
      <c r="U198" s="456"/>
      <c r="V198" s="456"/>
      <c r="W198" s="456"/>
      <c r="X198" s="456"/>
      <c r="Y198" s="456"/>
      <c r="Z198" s="456"/>
      <c r="AA198" s="456"/>
      <c r="AB198" s="456"/>
      <c r="AC198" s="456"/>
      <c r="AD198" s="456"/>
      <c r="AE198" s="456"/>
      <c r="AF198" s="1779"/>
      <c r="AG198" s="456"/>
    </row>
    <row r="199" spans="2:33">
      <c r="B199" s="456"/>
      <c r="C199" s="456"/>
      <c r="D199" s="456"/>
      <c r="E199" s="456"/>
      <c r="F199" s="456"/>
      <c r="G199" s="456"/>
      <c r="H199" s="456"/>
      <c r="I199" s="456"/>
      <c r="J199" s="2095"/>
      <c r="K199" s="456"/>
      <c r="L199" s="456"/>
      <c r="M199" s="456"/>
      <c r="N199" s="456"/>
      <c r="O199" s="456"/>
      <c r="P199" s="456"/>
      <c r="Q199" s="456"/>
      <c r="R199" s="456"/>
      <c r="S199" s="456"/>
      <c r="T199" s="456"/>
      <c r="U199" s="456"/>
      <c r="V199" s="456"/>
      <c r="W199" s="456"/>
      <c r="X199" s="456"/>
      <c r="Y199" s="456"/>
      <c r="Z199" s="456"/>
      <c r="AA199" s="456"/>
      <c r="AB199" s="456"/>
      <c r="AC199" s="456"/>
      <c r="AD199" s="456"/>
      <c r="AE199" s="456"/>
      <c r="AF199" s="1779"/>
      <c r="AG199" s="456"/>
    </row>
    <row r="200" spans="2:33">
      <c r="B200" s="456"/>
      <c r="C200" s="456"/>
      <c r="D200" s="456"/>
      <c r="E200" s="456"/>
      <c r="F200" s="456"/>
      <c r="G200" s="456"/>
      <c r="H200" s="456"/>
      <c r="I200" s="456"/>
      <c r="J200" s="2095"/>
      <c r="K200" s="456"/>
      <c r="L200" s="456"/>
      <c r="M200" s="456"/>
      <c r="N200" s="456"/>
      <c r="O200" s="456"/>
      <c r="P200" s="456"/>
      <c r="Q200" s="456"/>
      <c r="R200" s="456"/>
      <c r="S200" s="456"/>
      <c r="T200" s="456"/>
      <c r="U200" s="456"/>
      <c r="V200" s="456"/>
      <c r="W200" s="456"/>
      <c r="X200" s="456"/>
      <c r="Y200" s="456"/>
      <c r="Z200" s="456"/>
      <c r="AA200" s="456"/>
      <c r="AB200" s="456"/>
      <c r="AC200" s="456"/>
      <c r="AD200" s="456"/>
      <c r="AE200" s="456"/>
      <c r="AF200" s="1779"/>
      <c r="AG200" s="456"/>
    </row>
    <row r="201" spans="2:33">
      <c r="B201" s="456"/>
      <c r="C201" s="456"/>
      <c r="D201" s="456"/>
      <c r="E201" s="456"/>
      <c r="F201" s="456"/>
      <c r="G201" s="456"/>
      <c r="H201" s="456"/>
      <c r="I201" s="456"/>
      <c r="J201" s="2095"/>
      <c r="K201" s="456"/>
      <c r="L201" s="456"/>
      <c r="M201" s="456"/>
      <c r="N201" s="456"/>
      <c r="O201" s="456"/>
      <c r="P201" s="456"/>
      <c r="Q201" s="456"/>
      <c r="R201" s="456"/>
      <c r="S201" s="456"/>
      <c r="T201" s="456"/>
      <c r="U201" s="456"/>
      <c r="V201" s="456"/>
      <c r="W201" s="456"/>
      <c r="X201" s="456"/>
      <c r="Y201" s="456"/>
      <c r="Z201" s="456"/>
      <c r="AA201" s="456"/>
      <c r="AB201" s="456"/>
      <c r="AC201" s="456"/>
      <c r="AD201" s="456"/>
      <c r="AE201" s="456"/>
      <c r="AF201" s="1779"/>
      <c r="AG201" s="456"/>
    </row>
    <row r="202" spans="2:33">
      <c r="B202" s="456"/>
      <c r="C202" s="456"/>
      <c r="D202" s="456"/>
      <c r="E202" s="456"/>
      <c r="F202" s="456"/>
      <c r="G202" s="456"/>
      <c r="H202" s="456"/>
      <c r="I202" s="456"/>
      <c r="J202" s="2095"/>
      <c r="K202" s="456"/>
      <c r="L202" s="456"/>
      <c r="M202" s="456"/>
      <c r="N202" s="456"/>
      <c r="O202" s="456"/>
      <c r="P202" s="456"/>
      <c r="Q202" s="456"/>
      <c r="R202" s="456"/>
      <c r="S202" s="456"/>
      <c r="T202" s="456"/>
      <c r="U202" s="456"/>
      <c r="V202" s="456"/>
      <c r="W202" s="456"/>
      <c r="X202" s="456"/>
      <c r="Y202" s="456"/>
      <c r="Z202" s="456"/>
      <c r="AA202" s="456"/>
      <c r="AB202" s="456"/>
      <c r="AC202" s="456"/>
      <c r="AD202" s="456"/>
      <c r="AE202" s="456"/>
      <c r="AF202" s="1779"/>
      <c r="AG202" s="456"/>
    </row>
    <row r="203" spans="2:33">
      <c r="B203" s="456"/>
      <c r="C203" s="456"/>
      <c r="D203" s="456"/>
      <c r="E203" s="456"/>
      <c r="F203" s="456"/>
      <c r="G203" s="456"/>
      <c r="H203" s="456"/>
      <c r="I203" s="456"/>
      <c r="J203" s="2095"/>
      <c r="K203" s="456"/>
      <c r="L203" s="456"/>
      <c r="M203" s="456"/>
      <c r="N203" s="456"/>
      <c r="O203" s="456"/>
      <c r="P203" s="456"/>
      <c r="Q203" s="456"/>
      <c r="R203" s="456"/>
      <c r="S203" s="456"/>
      <c r="T203" s="456"/>
      <c r="U203" s="456"/>
      <c r="V203" s="456"/>
      <c r="W203" s="456"/>
      <c r="X203" s="456"/>
      <c r="Y203" s="456"/>
      <c r="Z203" s="456"/>
      <c r="AA203" s="456"/>
      <c r="AB203" s="456"/>
      <c r="AC203" s="456"/>
      <c r="AD203" s="456"/>
      <c r="AE203" s="456"/>
      <c r="AF203" s="1779"/>
      <c r="AG203" s="456"/>
    </row>
    <row r="204" spans="2:33">
      <c r="B204" s="456"/>
      <c r="C204" s="456"/>
      <c r="D204" s="456"/>
      <c r="E204" s="456"/>
      <c r="F204" s="456"/>
      <c r="G204" s="456"/>
      <c r="H204" s="456"/>
      <c r="I204" s="456"/>
      <c r="J204" s="2095"/>
      <c r="K204" s="456"/>
      <c r="L204" s="456"/>
      <c r="M204" s="456"/>
      <c r="N204" s="456"/>
      <c r="O204" s="456"/>
      <c r="P204" s="456"/>
      <c r="Q204" s="456"/>
      <c r="R204" s="456"/>
      <c r="S204" s="456"/>
      <c r="T204" s="456"/>
      <c r="U204" s="456"/>
      <c r="V204" s="456"/>
      <c r="W204" s="456"/>
      <c r="X204" s="456"/>
      <c r="Y204" s="456"/>
      <c r="Z204" s="456"/>
      <c r="AA204" s="456"/>
      <c r="AB204" s="456"/>
      <c r="AC204" s="456"/>
      <c r="AD204" s="456"/>
      <c r="AE204" s="456"/>
      <c r="AF204" s="1779"/>
      <c r="AG204" s="456"/>
    </row>
    <row r="205" spans="2:33">
      <c r="B205" s="456"/>
      <c r="C205" s="456"/>
      <c r="D205" s="456"/>
      <c r="E205" s="456"/>
      <c r="F205" s="456"/>
      <c r="G205" s="456"/>
      <c r="H205" s="456"/>
      <c r="I205" s="456"/>
      <c r="J205" s="2095"/>
      <c r="K205" s="456"/>
      <c r="L205" s="456"/>
      <c r="M205" s="456"/>
      <c r="N205" s="456"/>
      <c r="O205" s="456"/>
      <c r="P205" s="456"/>
      <c r="Q205" s="456"/>
      <c r="R205" s="456"/>
      <c r="S205" s="456"/>
      <c r="T205" s="456"/>
      <c r="U205" s="456"/>
      <c r="V205" s="456"/>
      <c r="W205" s="456"/>
      <c r="X205" s="456"/>
      <c r="Y205" s="456"/>
      <c r="Z205" s="456"/>
      <c r="AA205" s="456"/>
      <c r="AB205" s="456"/>
      <c r="AC205" s="456"/>
      <c r="AD205" s="456"/>
      <c r="AE205" s="456"/>
      <c r="AF205" s="1779"/>
      <c r="AG205" s="456"/>
    </row>
    <row r="206" spans="2:33">
      <c r="B206" s="456"/>
      <c r="C206" s="456"/>
      <c r="D206" s="456"/>
      <c r="E206" s="456"/>
      <c r="F206" s="456"/>
      <c r="G206" s="456"/>
      <c r="H206" s="456"/>
      <c r="I206" s="456"/>
      <c r="J206" s="2095"/>
      <c r="K206" s="456"/>
      <c r="L206" s="456"/>
      <c r="M206" s="456"/>
      <c r="N206" s="456"/>
      <c r="O206" s="456"/>
      <c r="P206" s="456"/>
      <c r="Q206" s="456"/>
      <c r="R206" s="456"/>
      <c r="S206" s="456"/>
      <c r="T206" s="456"/>
      <c r="U206" s="456"/>
      <c r="V206" s="456"/>
      <c r="W206" s="456"/>
      <c r="X206" s="456"/>
      <c r="Y206" s="456"/>
      <c r="Z206" s="456"/>
      <c r="AA206" s="456"/>
      <c r="AB206" s="456"/>
      <c r="AC206" s="456"/>
      <c r="AD206" s="456"/>
      <c r="AE206" s="456"/>
      <c r="AF206" s="1779"/>
      <c r="AG206" s="456"/>
    </row>
    <row r="207" spans="2:33">
      <c r="B207" s="456"/>
      <c r="C207" s="456"/>
      <c r="D207" s="456"/>
      <c r="E207" s="456"/>
      <c r="F207" s="456"/>
      <c r="G207" s="456"/>
      <c r="H207" s="456"/>
      <c r="I207" s="456"/>
      <c r="J207" s="2095"/>
      <c r="K207" s="456"/>
      <c r="L207" s="456"/>
      <c r="M207" s="456"/>
      <c r="N207" s="456"/>
      <c r="O207" s="456"/>
      <c r="P207" s="456"/>
      <c r="Q207" s="456"/>
      <c r="R207" s="456"/>
      <c r="S207" s="456"/>
      <c r="T207" s="456"/>
      <c r="U207" s="456"/>
      <c r="V207" s="456"/>
      <c r="W207" s="456"/>
      <c r="X207" s="456"/>
      <c r="Y207" s="456"/>
      <c r="Z207" s="456"/>
      <c r="AA207" s="456"/>
      <c r="AB207" s="456"/>
      <c r="AC207" s="456"/>
      <c r="AD207" s="456"/>
      <c r="AE207" s="456"/>
      <c r="AF207" s="1779"/>
      <c r="AG207" s="456"/>
    </row>
    <row r="208" spans="2:33">
      <c r="B208" s="456"/>
      <c r="C208" s="456"/>
      <c r="D208" s="456"/>
      <c r="E208" s="456"/>
      <c r="F208" s="456"/>
      <c r="G208" s="456"/>
      <c r="H208" s="456"/>
      <c r="I208" s="456"/>
      <c r="J208" s="2095"/>
      <c r="K208" s="456"/>
      <c r="L208" s="456"/>
      <c r="M208" s="456"/>
      <c r="N208" s="456"/>
      <c r="O208" s="456"/>
      <c r="P208" s="456"/>
      <c r="Q208" s="456"/>
      <c r="R208" s="456"/>
      <c r="S208" s="456"/>
      <c r="T208" s="456"/>
      <c r="U208" s="456"/>
      <c r="V208" s="456"/>
      <c r="W208" s="456"/>
      <c r="X208" s="456"/>
      <c r="Y208" s="456"/>
      <c r="Z208" s="456"/>
      <c r="AA208" s="456"/>
      <c r="AB208" s="456"/>
      <c r="AC208" s="456"/>
      <c r="AD208" s="456"/>
      <c r="AE208" s="456"/>
      <c r="AF208" s="1779"/>
      <c r="AG208" s="456"/>
    </row>
    <row r="209" spans="2:33">
      <c r="B209" s="456"/>
      <c r="C209" s="456"/>
      <c r="D209" s="456"/>
      <c r="E209" s="456"/>
      <c r="F209" s="456"/>
      <c r="G209" s="456"/>
      <c r="H209" s="456"/>
      <c r="I209" s="456"/>
      <c r="J209" s="2095"/>
      <c r="K209" s="456"/>
      <c r="L209" s="456"/>
      <c r="M209" s="456"/>
      <c r="N209" s="456"/>
      <c r="O209" s="456"/>
      <c r="P209" s="456"/>
      <c r="Q209" s="456"/>
      <c r="R209" s="456"/>
      <c r="S209" s="456"/>
      <c r="T209" s="456"/>
      <c r="U209" s="456"/>
      <c r="V209" s="456"/>
      <c r="W209" s="456"/>
      <c r="X209" s="456"/>
      <c r="Y209" s="456"/>
      <c r="Z209" s="456"/>
      <c r="AA209" s="456"/>
      <c r="AB209" s="456"/>
      <c r="AC209" s="456"/>
      <c r="AD209" s="456"/>
      <c r="AE209" s="456"/>
      <c r="AF209" s="1779"/>
      <c r="AG209" s="456"/>
    </row>
    <row r="210" spans="2:33">
      <c r="B210" s="456"/>
      <c r="C210" s="456"/>
      <c r="D210" s="456"/>
      <c r="E210" s="456"/>
      <c r="F210" s="456"/>
      <c r="G210" s="456"/>
      <c r="H210" s="456"/>
      <c r="I210" s="456"/>
      <c r="J210" s="2095"/>
      <c r="K210" s="456"/>
      <c r="L210" s="456"/>
      <c r="M210" s="456"/>
      <c r="N210" s="456"/>
      <c r="O210" s="456"/>
      <c r="P210" s="456"/>
      <c r="Q210" s="456"/>
      <c r="R210" s="456"/>
      <c r="S210" s="456"/>
      <c r="T210" s="456"/>
      <c r="U210" s="456"/>
      <c r="V210" s="456"/>
      <c r="W210" s="456"/>
      <c r="X210" s="456"/>
      <c r="Y210" s="456"/>
      <c r="Z210" s="456"/>
      <c r="AA210" s="456"/>
      <c r="AB210" s="456"/>
      <c r="AC210" s="456"/>
      <c r="AD210" s="456"/>
      <c r="AE210" s="456"/>
      <c r="AF210" s="1779"/>
      <c r="AG210" s="456"/>
    </row>
    <row r="211" spans="2:33">
      <c r="B211" s="456"/>
      <c r="C211" s="456"/>
      <c r="D211" s="456"/>
      <c r="E211" s="456"/>
      <c r="F211" s="456"/>
      <c r="G211" s="456"/>
      <c r="H211" s="456"/>
      <c r="I211" s="456"/>
      <c r="J211" s="2095"/>
      <c r="K211" s="456"/>
      <c r="L211" s="456"/>
      <c r="M211" s="456"/>
      <c r="N211" s="456"/>
      <c r="O211" s="456"/>
      <c r="P211" s="456"/>
      <c r="Q211" s="456"/>
      <c r="R211" s="456"/>
      <c r="S211" s="456"/>
      <c r="T211" s="456"/>
      <c r="U211" s="456"/>
      <c r="V211" s="456"/>
      <c r="W211" s="456"/>
      <c r="X211" s="456"/>
      <c r="Y211" s="456"/>
      <c r="Z211" s="456"/>
      <c r="AA211" s="456"/>
      <c r="AB211" s="456"/>
      <c r="AC211" s="456"/>
      <c r="AD211" s="456"/>
      <c r="AE211" s="456"/>
      <c r="AF211" s="1779"/>
      <c r="AG211" s="456"/>
    </row>
  </sheetData>
  <customSheetViews>
    <customSheetView guid="{8EE6466D-211E-4E05-9F84-CC0A1C6F79F4}" scale="60" showGridLines="0">
      <pane xSplit="31.149253731343283" topLeftCell="AK1"/>
      <selection activeCell="L26" sqref="L26"/>
      <rowBreaks count="1" manualBreakCount="1">
        <brk id="73" max="36" man="1"/>
      </rowBreaks>
      <pageMargins left="0.25" right="0" top="0.3" bottom="0.25" header="0" footer="0.25"/>
      <pageSetup scale="40" firstPageNumber="20" fitToHeight="2" orientation="landscape" useFirstPageNumber="1" r:id="rId1"/>
      <headerFooter scaleWithDoc="0" alignWithMargins="0">
        <oddFooter>&amp;C&amp;8&amp;P</oddFooter>
      </headerFooter>
    </customSheetView>
  </customSheetViews>
  <mergeCells count="1">
    <mergeCell ref="AB10:AK10"/>
  </mergeCells>
  <pageMargins left="0.7" right="0.7" top="0.75" bottom="0.75" header="0.3" footer="0.3"/>
  <pageSetup scale="37" firstPageNumber="20" fitToHeight="2" orientation="landscape" useFirstPageNumber="1" r:id="rId2"/>
  <headerFooter scaleWithDoc="0" alignWithMargins="0">
    <oddFooter>&amp;C&amp;8&amp;P</oddFooter>
  </headerFooter>
  <rowBreaks count="1" manualBreakCount="1">
    <brk id="88" min="1" max="36" man="1"/>
  </rowBreaks>
  <ignoredErrors>
    <ignoredError sqref="AK33:AK64 AK77:AK83 AK127:AK128 AK114:AK115 AK117:AK125 AK19:AK32 AK65:AK69 AK85:AK97 AK99:AK112" unlockedFormula="1"/>
    <ignoredError sqref="AC24 AI22 AK84" formula="1"/>
    <ignoredError sqref="AK70:AK76 AK126 AK98" formula="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V175"/>
  <sheetViews>
    <sheetView zoomScale="80" zoomScaleNormal="80" workbookViewId="0"/>
  </sheetViews>
  <sheetFormatPr defaultColWidth="8.90625" defaultRowHeight="15"/>
  <cols>
    <col min="1" max="1" width="1.6328125" style="222" customWidth="1"/>
    <col min="2" max="2" width="45.453125" style="222" customWidth="1"/>
    <col min="3" max="3" width="1.6328125" style="222" customWidth="1"/>
    <col min="4" max="4" width="12.453125" style="222" bestFit="1" customWidth="1"/>
    <col min="5" max="5" width="1.6328125" customWidth="1"/>
    <col min="6" max="6" width="12.36328125" style="222" bestFit="1" customWidth="1"/>
    <col min="7" max="7" width="1.6328125" customWidth="1"/>
    <col min="8" max="8" width="12.1796875" style="222" customWidth="1"/>
    <col min="9" max="9" width="1.6328125" customWidth="1"/>
    <col min="10" max="10" width="12" style="222" customWidth="1"/>
    <col min="11" max="11" width="1.6328125" customWidth="1"/>
    <col min="12" max="12" width="13.1796875" style="222" customWidth="1"/>
    <col min="13" max="13" width="1.6328125" customWidth="1"/>
    <col min="14" max="14" width="14.453125" style="222" customWidth="1"/>
    <col min="15" max="15" width="1.6328125" customWidth="1"/>
    <col min="16" max="16" width="12" style="222" bestFit="1" customWidth="1"/>
    <col min="17" max="17" width="1.6328125" customWidth="1"/>
    <col min="18" max="18" width="12" style="222" customWidth="1"/>
    <col min="19" max="19" width="1.6328125" customWidth="1"/>
    <col min="20" max="20" width="12" style="222" customWidth="1"/>
    <col min="21" max="21" width="1.6328125" customWidth="1"/>
    <col min="22" max="22" width="12.453125" style="222" customWidth="1"/>
    <col min="23" max="23" width="1.6328125" customWidth="1"/>
    <col min="24" max="24" width="12.453125" style="222" customWidth="1"/>
    <col min="25" max="25" width="1.6328125" customWidth="1"/>
    <col min="26" max="26" width="11.6328125" style="222" customWidth="1"/>
    <col min="27" max="28" width="1.6328125" style="222" customWidth="1"/>
    <col min="29" max="29" width="12.54296875" style="222" bestFit="1" customWidth="1"/>
    <col min="30" max="30" width="1.453125" style="222" customWidth="1"/>
    <col min="31" max="31" width="1.36328125" style="222" customWidth="1"/>
    <col min="32" max="32" width="12.54296875" style="222" bestFit="1" customWidth="1"/>
    <col min="33" max="34" width="0.90625" style="222" customWidth="1"/>
    <col min="35" max="35" width="12.81640625" style="222" customWidth="1"/>
    <col min="36" max="36" width="0.6328125" style="222" customWidth="1"/>
    <col min="37" max="37" width="10.81640625" style="1834" customWidth="1"/>
    <col min="38" max="16384" width="8.90625" style="222"/>
  </cols>
  <sheetData>
    <row r="1" spans="1:42">
      <c r="B1" s="1172" t="s">
        <v>1103</v>
      </c>
    </row>
    <row r="2" spans="1:42" ht="15.6">
      <c r="A2" s="497"/>
      <c r="N2" s="221"/>
    </row>
    <row r="3" spans="1:42" ht="15.6">
      <c r="A3" s="497"/>
      <c r="N3" s="221"/>
    </row>
    <row r="4" spans="1:42" ht="17.399999999999999">
      <c r="A4" s="497"/>
      <c r="B4" s="460" t="s">
        <v>0</v>
      </c>
      <c r="N4" s="221"/>
      <c r="AD4" s="503"/>
      <c r="AE4" s="503"/>
      <c r="AF4" s="503"/>
      <c r="AG4" s="503"/>
      <c r="AH4" s="503"/>
      <c r="AI4" s="503"/>
      <c r="AJ4" s="503"/>
      <c r="AK4" s="739" t="s">
        <v>175</v>
      </c>
    </row>
    <row r="5" spans="1:42" ht="17.399999999999999">
      <c r="A5" s="497"/>
      <c r="B5" s="460" t="s">
        <v>1344</v>
      </c>
      <c r="L5" s="221"/>
    </row>
    <row r="6" spans="1:42" ht="17.399999999999999">
      <c r="A6" s="497"/>
      <c r="B6" s="465" t="s">
        <v>153</v>
      </c>
      <c r="L6" s="223"/>
      <c r="X6" s="505"/>
    </row>
    <row r="7" spans="1:42" ht="21">
      <c r="A7" s="497"/>
      <c r="B7" s="2996" t="s">
        <v>1472</v>
      </c>
      <c r="L7" s="223"/>
      <c r="AK7" s="507"/>
    </row>
    <row r="8" spans="1:42" ht="17.399999999999999">
      <c r="A8" s="497"/>
      <c r="B8" s="460" t="s">
        <v>991</v>
      </c>
      <c r="AH8" s="223"/>
      <c r="AI8" s="223"/>
      <c r="AJ8" s="223"/>
      <c r="AK8" s="1343"/>
    </row>
    <row r="9" spans="1:42">
      <c r="A9" s="497"/>
      <c r="L9" s="223"/>
      <c r="N9" s="223"/>
      <c r="AB9" s="223"/>
      <c r="AC9" s="223"/>
      <c r="AD9" s="223"/>
      <c r="AE9" s="223"/>
      <c r="AF9" s="223"/>
      <c r="AG9" s="223"/>
      <c r="AH9" s="223"/>
      <c r="AI9" s="223"/>
      <c r="AJ9" s="223"/>
      <c r="AK9" s="1343"/>
    </row>
    <row r="10" spans="1:42" s="456" customFormat="1" ht="19.5" customHeight="1">
      <c r="A10" s="455"/>
      <c r="E10"/>
      <c r="G10"/>
      <c r="I10"/>
      <c r="K10"/>
      <c r="L10" s="500"/>
      <c r="M10"/>
      <c r="N10" s="500"/>
      <c r="O10"/>
      <c r="Q10"/>
      <c r="S10"/>
      <c r="U10"/>
      <c r="W10"/>
      <c r="Y10"/>
      <c r="AB10" s="549"/>
      <c r="AC10" s="549"/>
      <c r="AD10" s="2626"/>
      <c r="AE10" s="2626"/>
      <c r="AF10" s="2627" t="s">
        <v>1465</v>
      </c>
      <c r="AG10" s="2626"/>
      <c r="AH10" s="535"/>
      <c r="AI10" s="535"/>
      <c r="AJ10" s="535"/>
      <c r="AK10" s="535"/>
    </row>
    <row r="11" spans="1:42" ht="15.6">
      <c r="A11" s="497"/>
      <c r="D11" s="1476">
        <v>2016</v>
      </c>
      <c r="F11" s="221"/>
      <c r="H11" s="221"/>
      <c r="J11" s="221"/>
      <c r="L11" s="221"/>
      <c r="N11" s="221"/>
      <c r="P11" s="221"/>
      <c r="R11" s="221"/>
      <c r="T11" s="221"/>
      <c r="V11" s="1476">
        <v>2017</v>
      </c>
      <c r="X11" s="221"/>
      <c r="Z11" s="221"/>
      <c r="AA11" s="221"/>
      <c r="AB11" s="221"/>
      <c r="AC11" s="413"/>
      <c r="AD11" s="413"/>
      <c r="AE11" s="413"/>
      <c r="AF11" s="413"/>
      <c r="AG11" s="413"/>
      <c r="AH11" s="412"/>
      <c r="AI11" s="1480" t="s">
        <v>8</v>
      </c>
      <c r="AJ11" s="413"/>
      <c r="AK11" s="1481" t="s">
        <v>9</v>
      </c>
      <c r="AL11" s="412"/>
      <c r="AM11" s="412"/>
      <c r="AN11" s="412"/>
      <c r="AO11" s="412"/>
      <c r="AP11" s="412"/>
    </row>
    <row r="12" spans="1:42" ht="15.6">
      <c r="A12" s="497"/>
      <c r="D12" s="1462" t="s">
        <v>129</v>
      </c>
      <c r="F12" s="1462" t="s">
        <v>130</v>
      </c>
      <c r="H12" s="1462" t="s">
        <v>131</v>
      </c>
      <c r="J12" s="1462" t="s">
        <v>132</v>
      </c>
      <c r="L12" s="1462" t="s">
        <v>133</v>
      </c>
      <c r="N12" s="1462" t="s">
        <v>134</v>
      </c>
      <c r="P12" s="1462" t="s">
        <v>135</v>
      </c>
      <c r="R12" s="1462" t="s">
        <v>136</v>
      </c>
      <c r="T12" s="1462" t="s">
        <v>137</v>
      </c>
      <c r="V12" s="1462" t="s">
        <v>154</v>
      </c>
      <c r="X12" s="1462" t="s">
        <v>139</v>
      </c>
      <c r="Z12" s="1462" t="s">
        <v>140</v>
      </c>
      <c r="AA12" s="221"/>
      <c r="AB12" s="221"/>
      <c r="AC12" s="1476">
        <v>2016</v>
      </c>
      <c r="AD12" s="221" t="s">
        <v>16</v>
      </c>
      <c r="AE12" s="412"/>
      <c r="AF12" s="1476">
        <v>2015</v>
      </c>
      <c r="AG12" s="1461"/>
      <c r="AH12" s="412"/>
      <c r="AI12" s="1486" t="s">
        <v>13</v>
      </c>
      <c r="AJ12" s="412"/>
      <c r="AK12" s="1486" t="s">
        <v>14</v>
      </c>
      <c r="AL12" s="412"/>
      <c r="AM12" s="412"/>
      <c r="AN12" s="412"/>
      <c r="AO12" s="412"/>
      <c r="AP12" s="412"/>
    </row>
    <row r="13" spans="1:42" ht="5.25" customHeight="1">
      <c r="A13" s="497"/>
      <c r="D13" s="235"/>
      <c r="F13" s="235"/>
      <c r="H13" s="235"/>
      <c r="J13" s="235"/>
      <c r="L13" s="235"/>
      <c r="N13" s="508"/>
      <c r="P13" s="235"/>
      <c r="R13" s="235"/>
      <c r="T13" s="235"/>
      <c r="V13" s="235"/>
      <c r="X13" s="235"/>
      <c r="Z13" s="235"/>
      <c r="AC13" s="235"/>
      <c r="AF13" s="235"/>
      <c r="AG13" s="229"/>
      <c r="AH13" s="509"/>
    </row>
    <row r="14" spans="1:42" ht="15" customHeight="1">
      <c r="A14" s="223"/>
      <c r="B14" s="375" t="s">
        <v>1428</v>
      </c>
      <c r="C14" s="223"/>
      <c r="D14" s="336">
        <v>3607.1</v>
      </c>
      <c r="F14" s="294"/>
      <c r="H14" s="294"/>
      <c r="J14" s="294"/>
      <c r="L14" s="294"/>
      <c r="N14" s="294"/>
      <c r="P14" s="294"/>
      <c r="R14" s="294"/>
      <c r="T14" s="294"/>
      <c r="V14" s="294"/>
      <c r="X14" s="294"/>
      <c r="Z14" s="294"/>
      <c r="AA14" s="294"/>
      <c r="AB14" s="295"/>
      <c r="AC14" s="294">
        <v>3607.1</v>
      </c>
      <c r="AD14" s="294"/>
      <c r="AE14" s="295"/>
      <c r="AF14" s="294">
        <v>2661.8</v>
      </c>
      <c r="AG14" s="510"/>
      <c r="AH14" s="423"/>
      <c r="AI14" s="383">
        <f>AC14-AF14</f>
        <v>945.29999999999973</v>
      </c>
      <c r="AJ14" s="511"/>
      <c r="AK14" s="512">
        <f>(AC14-AF14)/AF14</f>
        <v>0.3551356225110826</v>
      </c>
      <c r="AL14" s="505"/>
      <c r="AM14" s="505"/>
      <c r="AN14" s="505"/>
      <c r="AO14" s="505"/>
      <c r="AP14" s="505"/>
    </row>
    <row r="15" spans="1:42" ht="15" customHeight="1">
      <c r="A15" s="223"/>
      <c r="B15" s="223"/>
      <c r="C15" s="223"/>
      <c r="AB15" s="415"/>
      <c r="AE15" s="415"/>
      <c r="AG15" s="513"/>
      <c r="AH15" s="229"/>
      <c r="AK15" s="1884"/>
    </row>
    <row r="16" spans="1:42" ht="15" customHeight="1">
      <c r="A16" s="223"/>
      <c r="B16" s="221" t="s">
        <v>15</v>
      </c>
      <c r="C16" s="223"/>
      <c r="D16" s="261"/>
      <c r="F16" s="261"/>
      <c r="H16" s="261"/>
      <c r="J16" s="261"/>
      <c r="L16" s="261"/>
      <c r="N16" s="261"/>
      <c r="P16" s="261"/>
      <c r="R16" s="261"/>
      <c r="T16" s="261"/>
      <c r="V16" s="261"/>
      <c r="X16" s="261"/>
      <c r="Z16" s="261"/>
      <c r="AA16" s="261"/>
      <c r="AB16" s="250"/>
      <c r="AC16" s="261"/>
      <c r="AD16" s="261"/>
      <c r="AE16" s="250"/>
      <c r="AF16" s="261"/>
      <c r="AG16" s="514"/>
      <c r="AH16" s="249"/>
      <c r="AI16" s="261"/>
      <c r="AK16" s="1884"/>
    </row>
    <row r="17" spans="1:37" ht="15" customHeight="1">
      <c r="A17" s="223"/>
      <c r="B17" s="489" t="s">
        <v>1238</v>
      </c>
      <c r="C17" s="223"/>
      <c r="D17" s="261"/>
      <c r="F17" s="261"/>
      <c r="H17" s="261"/>
      <c r="J17" s="261"/>
      <c r="L17" s="261"/>
      <c r="N17" s="261"/>
      <c r="P17" s="261"/>
      <c r="R17" s="261"/>
      <c r="T17" s="261"/>
      <c r="V17" s="261"/>
      <c r="X17" s="261"/>
      <c r="Z17" s="261"/>
      <c r="AA17" s="261"/>
      <c r="AB17" s="250"/>
      <c r="AC17" s="261"/>
      <c r="AD17" s="261"/>
      <c r="AE17" s="250"/>
      <c r="AF17" s="261"/>
      <c r="AG17" s="514"/>
      <c r="AH17" s="249"/>
      <c r="AI17" s="261"/>
      <c r="AK17" s="1884"/>
    </row>
    <row r="18" spans="1:37" s="412" customFormat="1" ht="15" customHeight="1">
      <c r="A18" s="221"/>
      <c r="B18" s="2334" t="s">
        <v>1243</v>
      </c>
      <c r="C18" s="221"/>
      <c r="D18" s="2993">
        <f>'Exhibit G state'!D16</f>
        <v>1.3</v>
      </c>
      <c r="E18"/>
      <c r="F18" s="2993"/>
      <c r="G18"/>
      <c r="H18" s="2993"/>
      <c r="I18"/>
      <c r="J18" s="2630"/>
      <c r="K18"/>
      <c r="L18" s="2630"/>
      <c r="M18"/>
      <c r="N18" s="2630"/>
      <c r="O18"/>
      <c r="P18" s="2630"/>
      <c r="Q18"/>
      <c r="R18" s="2630"/>
      <c r="S18"/>
      <c r="T18" s="2803"/>
      <c r="U18"/>
      <c r="V18" s="261"/>
      <c r="W18"/>
      <c r="X18" s="3235"/>
      <c r="Y18"/>
      <c r="Z18" s="2803"/>
      <c r="AA18" s="294"/>
      <c r="AB18" s="295"/>
      <c r="AC18" s="1159">
        <f>ROUND(SUM(D18:Z18),1)</f>
        <v>1.3</v>
      </c>
      <c r="AD18" s="1159"/>
      <c r="AE18" s="2656"/>
      <c r="AF18" s="1313">
        <f>'Exhibit G state'!AH16</f>
        <v>3.1</v>
      </c>
      <c r="AG18" s="2632"/>
      <c r="AH18" s="1860"/>
      <c r="AI18" s="1159">
        <f>ROUND(SUM(+AC18-AF18),1)</f>
        <v>-1.8</v>
      </c>
      <c r="AJ18" s="248"/>
      <c r="AK18" s="2741">
        <f>ROUND(IF(AF18=0,1,AI18/ABS(AF18)),3)</f>
        <v>-0.58099999999999996</v>
      </c>
    </row>
    <row r="19" spans="1:37" s="412" customFormat="1" ht="6" customHeight="1">
      <c r="A19" s="221"/>
      <c r="B19" s="2334"/>
      <c r="C19" s="221"/>
      <c r="D19" s="2630"/>
      <c r="E19"/>
      <c r="F19" s="2630"/>
      <c r="G19"/>
      <c r="H19" s="2630"/>
      <c r="I19"/>
      <c r="J19" s="2630"/>
      <c r="K19"/>
      <c r="L19" s="2630"/>
      <c r="M19"/>
      <c r="N19" s="2630"/>
      <c r="O19"/>
      <c r="P19" s="294"/>
      <c r="Q19"/>
      <c r="R19" s="294"/>
      <c r="S19"/>
      <c r="T19" s="294"/>
      <c r="U19"/>
      <c r="V19" s="261"/>
      <c r="W19"/>
      <c r="X19" s="294"/>
      <c r="Y19"/>
      <c r="Z19" s="294"/>
      <c r="AA19" s="294"/>
      <c r="AB19" s="295"/>
      <c r="AC19" s="1238"/>
      <c r="AD19" s="1238"/>
      <c r="AE19" s="2353"/>
      <c r="AF19" s="1240"/>
      <c r="AG19" s="2354"/>
      <c r="AH19" s="1926"/>
      <c r="AI19" s="1238"/>
      <c r="AJ19" s="248"/>
      <c r="AK19" s="1816"/>
    </row>
    <row r="20" spans="1:37" ht="15" customHeight="1">
      <c r="A20" s="223"/>
      <c r="B20" s="2334" t="s">
        <v>1309</v>
      </c>
      <c r="C20" s="223"/>
      <c r="D20" s="261"/>
      <c r="F20" s="261"/>
      <c r="H20" s="261"/>
      <c r="J20" s="261"/>
      <c r="L20" s="2630"/>
      <c r="N20" s="261"/>
      <c r="P20" s="261"/>
      <c r="R20" s="261"/>
      <c r="T20" s="261"/>
      <c r="V20" s="261"/>
      <c r="X20" s="261"/>
      <c r="Z20" s="261"/>
      <c r="AA20" s="261"/>
      <c r="AB20" s="250"/>
      <c r="AC20" s="1838"/>
      <c r="AD20" s="1838"/>
      <c r="AE20" s="259"/>
      <c r="AF20" s="1838"/>
      <c r="AG20" s="521"/>
      <c r="AH20" s="273"/>
      <c r="AI20" s="1838"/>
      <c r="AJ20" s="412"/>
      <c r="AK20" s="512"/>
    </row>
    <row r="21" spans="1:37" ht="15" customHeight="1">
      <c r="A21" s="223"/>
      <c r="B21" s="2069" t="s">
        <v>1258</v>
      </c>
      <c r="C21" s="223"/>
      <c r="D21" s="1159">
        <f>'Exhibit G state'!D20</f>
        <v>90.9</v>
      </c>
      <c r="F21" s="2993"/>
      <c r="H21" s="2993"/>
      <c r="J21" s="261"/>
      <c r="L21" s="2630"/>
      <c r="N21" s="2630"/>
      <c r="P21" s="2630"/>
      <c r="R21" s="2630"/>
      <c r="T21" s="2803"/>
      <c r="V21" s="261"/>
      <c r="X21" s="3235"/>
      <c r="Z21" s="2803"/>
      <c r="AA21" s="261"/>
      <c r="AB21" s="250"/>
      <c r="AC21" s="261">
        <f t="shared" ref="AC21:AC28" si="0">ROUND(SUM(D21:Z21),1)</f>
        <v>90.9</v>
      </c>
      <c r="AD21" s="261"/>
      <c r="AE21" s="250"/>
      <c r="AF21" s="1313">
        <f>'Exhibit G state'!AH20</f>
        <v>91</v>
      </c>
      <c r="AG21" s="514"/>
      <c r="AH21" s="249"/>
      <c r="AI21" s="1159">
        <f t="shared" ref="AI21:AI28" si="1">ROUND(SUM(+AC21-AF21),1)</f>
        <v>-0.1</v>
      </c>
      <c r="AJ21" s="248"/>
      <c r="AK21" s="1816">
        <f t="shared" ref="AK21:AK28" si="2">ROUND(IF(AF21=0,0,AI21/ABS(AF21)),3)</f>
        <v>-1E-3</v>
      </c>
    </row>
    <row r="22" spans="1:37" ht="15" customHeight="1">
      <c r="A22" s="223"/>
      <c r="B22" s="2069" t="s">
        <v>1259</v>
      </c>
      <c r="C22" s="223"/>
      <c r="D22" s="1159">
        <f>'Exhibit G state'!D21</f>
        <v>0.7</v>
      </c>
      <c r="F22" s="2993"/>
      <c r="H22" s="2993"/>
      <c r="J22" s="261"/>
      <c r="L22" s="2630"/>
      <c r="N22" s="2630"/>
      <c r="P22" s="2630"/>
      <c r="R22" s="2630"/>
      <c r="T22" s="2803"/>
      <c r="V22" s="261"/>
      <c r="X22" s="3235"/>
      <c r="Z22" s="2803"/>
      <c r="AA22" s="261"/>
      <c r="AB22" s="250"/>
      <c r="AC22" s="261">
        <f t="shared" si="0"/>
        <v>0.7</v>
      </c>
      <c r="AD22" s="261"/>
      <c r="AE22" s="250"/>
      <c r="AF22" s="1313">
        <f>'Exhibit G state'!AH21</f>
        <v>1.5</v>
      </c>
      <c r="AG22" s="514"/>
      <c r="AH22" s="249"/>
      <c r="AI22" s="1159">
        <f t="shared" si="1"/>
        <v>-0.8</v>
      </c>
      <c r="AJ22" s="248"/>
      <c r="AK22" s="1816">
        <f t="shared" si="2"/>
        <v>-0.53300000000000003</v>
      </c>
    </row>
    <row r="23" spans="1:37" ht="15" customHeight="1">
      <c r="A23" s="223"/>
      <c r="B23" s="2069" t="s">
        <v>1260</v>
      </c>
      <c r="C23" s="223"/>
      <c r="D23" s="1159">
        <f>'Exhibit G state'!D22</f>
        <v>69.900000000000006</v>
      </c>
      <c r="F23" s="2993"/>
      <c r="H23" s="2993"/>
      <c r="J23" s="261"/>
      <c r="L23" s="2630"/>
      <c r="N23" s="2630"/>
      <c r="P23" s="2630"/>
      <c r="R23" s="2630"/>
      <c r="T23" s="2803"/>
      <c r="V23" s="261"/>
      <c r="X23" s="3235"/>
      <c r="Z23" s="2803"/>
      <c r="AA23" s="261"/>
      <c r="AB23" s="250"/>
      <c r="AC23" s="261">
        <f t="shared" si="0"/>
        <v>69.900000000000006</v>
      </c>
      <c r="AD23" s="261"/>
      <c r="AE23" s="250"/>
      <c r="AF23" s="1313">
        <f>'Exhibit G state'!AH22</f>
        <v>83.2</v>
      </c>
      <c r="AG23" s="514"/>
      <c r="AH23" s="249"/>
      <c r="AI23" s="1159">
        <f t="shared" si="1"/>
        <v>-13.3</v>
      </c>
      <c r="AJ23" s="248"/>
      <c r="AK23" s="1816">
        <f t="shared" si="2"/>
        <v>-0.16</v>
      </c>
    </row>
    <row r="24" spans="1:37" ht="15" customHeight="1">
      <c r="A24" s="223"/>
      <c r="B24" s="1256" t="s">
        <v>1454</v>
      </c>
      <c r="C24" s="223"/>
      <c r="D24" s="2993">
        <f>'Exhibit G state'!D23</f>
        <v>0</v>
      </c>
      <c r="F24" s="2993"/>
      <c r="H24" s="2993"/>
      <c r="J24" s="261"/>
      <c r="L24" s="2630"/>
      <c r="N24" s="2630"/>
      <c r="P24" s="2630"/>
      <c r="R24" s="2630"/>
      <c r="T24" s="2803"/>
      <c r="V24" s="261"/>
      <c r="X24" s="3235"/>
      <c r="Z24" s="2803"/>
      <c r="AA24" s="261"/>
      <c r="AB24" s="250"/>
      <c r="AC24" s="261">
        <f t="shared" si="0"/>
        <v>0</v>
      </c>
      <c r="AD24" s="261"/>
      <c r="AE24" s="250"/>
      <c r="AF24" s="1313">
        <v>0</v>
      </c>
      <c r="AG24" s="514"/>
      <c r="AH24" s="249"/>
      <c r="AI24" s="2993">
        <f t="shared" ref="AI24" si="3">ROUND(SUM(+AC24-AF24),1)</f>
        <v>0</v>
      </c>
      <c r="AJ24" s="248"/>
      <c r="AK24" s="1816">
        <f t="shared" ref="AK24" si="4">ROUND(IF(AF24=0,0,AI24/ABS(AF24)),3)</f>
        <v>0</v>
      </c>
    </row>
    <row r="25" spans="1:37" ht="15" customHeight="1">
      <c r="A25" s="223"/>
      <c r="B25" s="2069" t="s">
        <v>1261</v>
      </c>
      <c r="C25" s="223"/>
      <c r="D25" s="1159">
        <f>'Exhibit G state'!D24</f>
        <v>8.1999999999999993</v>
      </c>
      <c r="F25" s="2993"/>
      <c r="H25" s="2993"/>
      <c r="J25" s="261"/>
      <c r="L25" s="2630"/>
      <c r="N25" s="2630"/>
      <c r="P25" s="2630"/>
      <c r="R25" s="2630"/>
      <c r="T25" s="2803"/>
      <c r="V25" s="261"/>
      <c r="X25" s="3235"/>
      <c r="Z25" s="2803"/>
      <c r="AA25" s="261"/>
      <c r="AB25" s="250"/>
      <c r="AC25" s="261">
        <f t="shared" si="0"/>
        <v>8.1999999999999993</v>
      </c>
      <c r="AD25" s="261"/>
      <c r="AE25" s="250"/>
      <c r="AF25" s="1313">
        <f>'Exhibit G state'!AH24</f>
        <v>8.6999999999999993</v>
      </c>
      <c r="AG25" s="514"/>
      <c r="AH25" s="249"/>
      <c r="AI25" s="1159">
        <f t="shared" si="1"/>
        <v>-0.5</v>
      </c>
      <c r="AJ25" s="248"/>
      <c r="AK25" s="1816">
        <f t="shared" si="2"/>
        <v>-5.7000000000000002E-2</v>
      </c>
    </row>
    <row r="26" spans="1:37" ht="15" customHeight="1">
      <c r="A26" s="223"/>
      <c r="B26" s="2069" t="s">
        <v>1262</v>
      </c>
      <c r="C26" s="223"/>
      <c r="D26" s="1159">
        <f>'Exhibit G state'!D25</f>
        <v>0</v>
      </c>
      <c r="F26" s="2993"/>
      <c r="H26" s="2993"/>
      <c r="J26" s="261"/>
      <c r="L26" s="2630"/>
      <c r="N26" s="2630"/>
      <c r="P26" s="261"/>
      <c r="R26" s="261"/>
      <c r="T26" s="261"/>
      <c r="V26" s="261"/>
      <c r="X26" s="3235"/>
      <c r="Z26" s="2803"/>
      <c r="AA26" s="261"/>
      <c r="AB26" s="250"/>
      <c r="AC26" s="261">
        <f t="shared" si="0"/>
        <v>0</v>
      </c>
      <c r="AD26" s="261"/>
      <c r="AE26" s="250"/>
      <c r="AF26" s="2082">
        <f>'Exhibit G state'!AH25</f>
        <v>0</v>
      </c>
      <c r="AG26" s="514"/>
      <c r="AH26" s="249"/>
      <c r="AI26" s="1159">
        <f t="shared" si="1"/>
        <v>0</v>
      </c>
      <c r="AJ26" s="248"/>
      <c r="AK26" s="1816">
        <f t="shared" si="2"/>
        <v>0</v>
      </c>
    </row>
    <row r="27" spans="1:37" ht="15" customHeight="1">
      <c r="A27" s="223"/>
      <c r="B27" s="2069" t="s">
        <v>1263</v>
      </c>
      <c r="C27" s="223"/>
      <c r="D27" s="1159">
        <f>'Exhibit G state'!D26</f>
        <v>0</v>
      </c>
      <c r="F27" s="2993"/>
      <c r="H27" s="2993"/>
      <c r="J27" s="261"/>
      <c r="L27" s="2630"/>
      <c r="N27" s="2630"/>
      <c r="P27" s="261"/>
      <c r="R27" s="261"/>
      <c r="T27" s="261"/>
      <c r="V27" s="261"/>
      <c r="X27" s="3235"/>
      <c r="Z27" s="2803"/>
      <c r="AA27" s="261"/>
      <c r="AB27" s="250"/>
      <c r="AC27" s="261">
        <f t="shared" si="0"/>
        <v>0</v>
      </c>
      <c r="AD27" s="261"/>
      <c r="AE27" s="250"/>
      <c r="AF27" s="2082">
        <f>'Exhibit G state'!AH26</f>
        <v>0</v>
      </c>
      <c r="AG27" s="514"/>
      <c r="AH27" s="249"/>
      <c r="AI27" s="1159">
        <f t="shared" si="1"/>
        <v>0</v>
      </c>
      <c r="AJ27" s="248"/>
      <c r="AK27" s="1816">
        <f t="shared" si="2"/>
        <v>0</v>
      </c>
    </row>
    <row r="28" spans="1:37" ht="15" customHeight="1">
      <c r="A28" s="223"/>
      <c r="B28" s="2071" t="s">
        <v>1264</v>
      </c>
      <c r="C28" s="223"/>
      <c r="D28" s="1159">
        <f>'Exhibit G state'!D27</f>
        <v>15.7</v>
      </c>
      <c r="F28" s="2993"/>
      <c r="H28" s="2993"/>
      <c r="J28" s="261"/>
      <c r="L28" s="2630"/>
      <c r="N28" s="2630"/>
      <c r="P28" s="2630"/>
      <c r="R28" s="2630"/>
      <c r="T28" s="2803"/>
      <c r="V28" s="261"/>
      <c r="X28" s="3235"/>
      <c r="Z28" s="2803"/>
      <c r="AA28" s="261"/>
      <c r="AB28" s="250"/>
      <c r="AC28" s="261">
        <f t="shared" si="0"/>
        <v>15.7</v>
      </c>
      <c r="AD28" s="261"/>
      <c r="AE28" s="250"/>
      <c r="AF28" s="2082">
        <f>'Exhibit G state'!AH27</f>
        <v>19.2</v>
      </c>
      <c r="AG28" s="514"/>
      <c r="AH28" s="249"/>
      <c r="AI28" s="1159">
        <f t="shared" si="1"/>
        <v>-3.5</v>
      </c>
      <c r="AJ28" s="248"/>
      <c r="AK28" s="1816">
        <f t="shared" si="2"/>
        <v>-0.182</v>
      </c>
    </row>
    <row r="29" spans="1:37" s="412" customFormat="1" ht="15" customHeight="1">
      <c r="A29" s="221"/>
      <c r="B29" s="2070" t="s">
        <v>1412</v>
      </c>
      <c r="C29" s="221"/>
      <c r="D29" s="256">
        <f>ROUND(SUM(D21:D28),1)</f>
        <v>185.4</v>
      </c>
      <c r="E29"/>
      <c r="F29" s="256">
        <f t="shared" ref="F29:Z29" si="5">ROUND(SUM(F21:F28),1)</f>
        <v>0</v>
      </c>
      <c r="G29"/>
      <c r="H29" s="256">
        <f t="shared" si="5"/>
        <v>0</v>
      </c>
      <c r="I29"/>
      <c r="J29" s="256">
        <f t="shared" si="5"/>
        <v>0</v>
      </c>
      <c r="K29"/>
      <c r="L29" s="256">
        <f t="shared" si="5"/>
        <v>0</v>
      </c>
      <c r="M29"/>
      <c r="N29" s="256">
        <f t="shared" si="5"/>
        <v>0</v>
      </c>
      <c r="O29"/>
      <c r="P29" s="256">
        <f t="shared" si="5"/>
        <v>0</v>
      </c>
      <c r="Q29"/>
      <c r="R29" s="256">
        <f t="shared" si="5"/>
        <v>0</v>
      </c>
      <c r="S29"/>
      <c r="T29" s="256">
        <f t="shared" si="5"/>
        <v>0</v>
      </c>
      <c r="U29"/>
      <c r="V29" s="256">
        <f t="shared" si="5"/>
        <v>0</v>
      </c>
      <c r="W29"/>
      <c r="X29" s="256">
        <f t="shared" si="5"/>
        <v>0</v>
      </c>
      <c r="Y29"/>
      <c r="Z29" s="256">
        <f t="shared" si="5"/>
        <v>0</v>
      </c>
      <c r="AA29" s="1838"/>
      <c r="AB29" s="259"/>
      <c r="AC29" s="256">
        <f>ROUND(SUM(AC21:AC28),1)</f>
        <v>185.4</v>
      </c>
      <c r="AD29" s="1838"/>
      <c r="AE29" s="259"/>
      <c r="AF29" s="256">
        <f>ROUND(SUM(AF21:AF28),1)</f>
        <v>203.6</v>
      </c>
      <c r="AG29" s="521"/>
      <c r="AH29" s="273"/>
      <c r="AI29" s="256">
        <f>ROUND(SUM(AI21:AI28),1)</f>
        <v>-18.2</v>
      </c>
      <c r="AK29" s="2680">
        <f>ROUND(SUM(+AI29/AF29),3)</f>
        <v>-8.8999999999999996E-2</v>
      </c>
    </row>
    <row r="30" spans="1:37" ht="15" customHeight="1">
      <c r="A30" s="223"/>
      <c r="B30" s="2334" t="s">
        <v>1310</v>
      </c>
      <c r="C30" s="223"/>
      <c r="D30" s="261"/>
      <c r="F30" s="261"/>
      <c r="H30" s="261"/>
      <c r="J30" s="261"/>
      <c r="L30" s="261"/>
      <c r="N30" s="261"/>
      <c r="P30" s="261"/>
      <c r="R30" s="261"/>
      <c r="T30" s="261"/>
      <c r="V30" s="261"/>
      <c r="X30" s="261"/>
      <c r="Z30" s="261"/>
      <c r="AA30" s="261"/>
      <c r="AB30" s="250"/>
      <c r="AC30" s="261"/>
      <c r="AD30" s="261"/>
      <c r="AE30" s="250"/>
      <c r="AF30" s="261"/>
      <c r="AG30" s="514"/>
      <c r="AH30" s="249"/>
      <c r="AI30" s="1159"/>
      <c r="AK30" s="1884"/>
    </row>
    <row r="31" spans="1:37" ht="15" customHeight="1">
      <c r="A31" s="223"/>
      <c r="B31" s="2069" t="s">
        <v>1266</v>
      </c>
      <c r="C31" s="223"/>
      <c r="D31" s="261">
        <f>'Exhibit G state'!D30</f>
        <v>31.9</v>
      </c>
      <c r="F31" s="261"/>
      <c r="H31" s="261"/>
      <c r="J31" s="261"/>
      <c r="L31" s="261"/>
      <c r="N31" s="261"/>
      <c r="P31" s="261"/>
      <c r="R31" s="261"/>
      <c r="T31" s="261"/>
      <c r="V31" s="261"/>
      <c r="X31" s="261"/>
      <c r="Z31" s="261"/>
      <c r="AA31" s="261"/>
      <c r="AB31" s="250"/>
      <c r="AC31" s="261">
        <f>ROUND(SUM(D31:Z31),1)</f>
        <v>31.9</v>
      </c>
      <c r="AD31" s="261"/>
      <c r="AE31" s="250"/>
      <c r="AF31" s="2082">
        <f>'Exhibit G state'!AH30</f>
        <v>11.5</v>
      </c>
      <c r="AG31" s="514"/>
      <c r="AH31" s="249"/>
      <c r="AI31" s="1159">
        <f>ROUND(SUM(+AC31-AF31),1)</f>
        <v>20.399999999999999</v>
      </c>
      <c r="AJ31" s="248"/>
      <c r="AK31" s="1816">
        <f>ROUND(IF(AF31=0,0,AI31/ABS(AF31)),3)</f>
        <v>1.774</v>
      </c>
    </row>
    <row r="32" spans="1:37" ht="15" customHeight="1">
      <c r="A32" s="223"/>
      <c r="B32" s="2069" t="s">
        <v>1267</v>
      </c>
      <c r="C32" s="223"/>
      <c r="D32" s="261">
        <f>'Exhibit G state'!D31</f>
        <v>2.2999999999999998</v>
      </c>
      <c r="F32" s="261"/>
      <c r="H32" s="261"/>
      <c r="J32" s="261"/>
      <c r="L32" s="261"/>
      <c r="N32" s="261"/>
      <c r="P32" s="261"/>
      <c r="R32" s="261"/>
      <c r="T32" s="261"/>
      <c r="V32" s="261"/>
      <c r="X32" s="261"/>
      <c r="Z32" s="261"/>
      <c r="AA32" s="261"/>
      <c r="AB32" s="250"/>
      <c r="AC32" s="261">
        <f>ROUND(SUM(D32:Z32),1)</f>
        <v>2.2999999999999998</v>
      </c>
      <c r="AD32" s="261"/>
      <c r="AE32" s="250"/>
      <c r="AF32" s="2082">
        <f>'Exhibit G state'!AH31</f>
        <v>1.7</v>
      </c>
      <c r="AG32" s="514"/>
      <c r="AH32" s="249"/>
      <c r="AI32" s="1159">
        <f>ROUND(SUM(+AC32-AF32),1)</f>
        <v>0.6</v>
      </c>
      <c r="AJ32" s="248"/>
      <c r="AK32" s="1816">
        <f>ROUND(IF(AF32=0,0,AI32/ABS(AF32)),3)</f>
        <v>0.35299999999999998</v>
      </c>
    </row>
    <row r="33" spans="1:37" ht="15" customHeight="1">
      <c r="A33" s="223"/>
      <c r="B33" s="2069" t="s">
        <v>1268</v>
      </c>
      <c r="C33" s="223"/>
      <c r="D33" s="261">
        <f>'Exhibit G state'!D32</f>
        <v>1.5</v>
      </c>
      <c r="F33" s="261"/>
      <c r="H33" s="261"/>
      <c r="J33" s="261"/>
      <c r="L33" s="261"/>
      <c r="N33" s="261"/>
      <c r="P33" s="261"/>
      <c r="R33" s="261"/>
      <c r="T33" s="261"/>
      <c r="V33" s="261"/>
      <c r="X33" s="261"/>
      <c r="Z33" s="261"/>
      <c r="AA33" s="261"/>
      <c r="AB33" s="250"/>
      <c r="AC33" s="261">
        <f>ROUND(SUM(D33:Z33),1)</f>
        <v>1.5</v>
      </c>
      <c r="AD33" s="261"/>
      <c r="AE33" s="250"/>
      <c r="AF33" s="2082">
        <f>'Exhibit G state'!AH32</f>
        <v>-0.1</v>
      </c>
      <c r="AG33" s="514"/>
      <c r="AH33" s="249"/>
      <c r="AI33" s="1159">
        <f>ROUND(SUM(+AC33-AF33),1)</f>
        <v>1.6</v>
      </c>
      <c r="AJ33" s="248"/>
      <c r="AK33" s="2799">
        <f>ROUND(IF(AF33=0,0,AI33/ABS(AF33)),3)</f>
        <v>16</v>
      </c>
    </row>
    <row r="34" spans="1:37" ht="15" customHeight="1">
      <c r="A34" s="223"/>
      <c r="B34" s="2069" t="s">
        <v>1269</v>
      </c>
      <c r="C34" s="223"/>
      <c r="D34" s="261">
        <f>'Exhibit G state'!D33</f>
        <v>-1.7</v>
      </c>
      <c r="F34" s="261"/>
      <c r="H34" s="261"/>
      <c r="J34" s="261"/>
      <c r="L34" s="261"/>
      <c r="N34" s="261"/>
      <c r="P34" s="261"/>
      <c r="R34" s="261"/>
      <c r="T34" s="261"/>
      <c r="V34" s="261"/>
      <c r="X34" s="261"/>
      <c r="Z34" s="261"/>
      <c r="AA34" s="261"/>
      <c r="AB34" s="250"/>
      <c r="AC34" s="261">
        <f>ROUND(SUM(D34:Z34),1)</f>
        <v>-1.7</v>
      </c>
      <c r="AD34" s="261"/>
      <c r="AE34" s="250"/>
      <c r="AF34" s="2082">
        <f>'Exhibit G state'!AH33</f>
        <v>6.6</v>
      </c>
      <c r="AG34" s="514"/>
      <c r="AH34" s="249"/>
      <c r="AI34" s="1159">
        <f>ROUND(SUM(+AC34-AF34),1)</f>
        <v>-8.3000000000000007</v>
      </c>
      <c r="AJ34" s="248"/>
      <c r="AK34" s="1816">
        <f>ROUND(IF(AF34=0,0,AI34/ABS(AF34)),3)</f>
        <v>-1.258</v>
      </c>
    </row>
    <row r="35" spans="1:37" ht="15" customHeight="1">
      <c r="A35" s="223"/>
      <c r="B35" s="2069" t="s">
        <v>1270</v>
      </c>
      <c r="C35" s="223"/>
      <c r="D35" s="261">
        <f>'Exhibit G state'!D34</f>
        <v>39.299999999999997</v>
      </c>
      <c r="F35" s="261"/>
      <c r="H35" s="261"/>
      <c r="J35" s="261"/>
      <c r="L35" s="261"/>
      <c r="N35" s="261"/>
      <c r="P35" s="261"/>
      <c r="R35" s="261"/>
      <c r="T35" s="261"/>
      <c r="V35" s="261"/>
      <c r="X35" s="261"/>
      <c r="Z35" s="261"/>
      <c r="AA35" s="261"/>
      <c r="AB35" s="250"/>
      <c r="AC35" s="261">
        <f>ROUND(SUM(D35:Z35),1)</f>
        <v>39.299999999999997</v>
      </c>
      <c r="AD35" s="261"/>
      <c r="AE35" s="250"/>
      <c r="AF35" s="2082">
        <f>'Exhibit G state'!AH34</f>
        <v>40.6</v>
      </c>
      <c r="AG35" s="514"/>
      <c r="AH35" s="249"/>
      <c r="AI35" s="1159">
        <f>ROUND(SUM(+AC35-AF35),1)</f>
        <v>-1.3</v>
      </c>
      <c r="AJ35" s="248"/>
      <c r="AK35" s="1816">
        <f>ROUND(IF(AF35=0,0,AI35/ABS(AF35)),3)</f>
        <v>-3.2000000000000001E-2</v>
      </c>
    </row>
    <row r="36" spans="1:37" s="412" customFormat="1" ht="15" customHeight="1">
      <c r="A36" s="221"/>
      <c r="B36" s="2070" t="s">
        <v>1413</v>
      </c>
      <c r="C36" s="221"/>
      <c r="D36" s="256">
        <f>ROUND(SUM(D31:D35),1)</f>
        <v>73.3</v>
      </c>
      <c r="E36"/>
      <c r="F36" s="256">
        <f t="shared" ref="F36:Z36" si="6">ROUND(SUM(F31:F35),1)</f>
        <v>0</v>
      </c>
      <c r="G36"/>
      <c r="H36" s="256">
        <f t="shared" si="6"/>
        <v>0</v>
      </c>
      <c r="I36"/>
      <c r="J36" s="256">
        <f t="shared" si="6"/>
        <v>0</v>
      </c>
      <c r="K36"/>
      <c r="L36" s="256">
        <f t="shared" si="6"/>
        <v>0</v>
      </c>
      <c r="M36"/>
      <c r="N36" s="256">
        <f t="shared" si="6"/>
        <v>0</v>
      </c>
      <c r="O36"/>
      <c r="P36" s="256">
        <f t="shared" si="6"/>
        <v>0</v>
      </c>
      <c r="Q36"/>
      <c r="R36" s="256">
        <f t="shared" si="6"/>
        <v>0</v>
      </c>
      <c r="S36"/>
      <c r="T36" s="256">
        <f t="shared" si="6"/>
        <v>0</v>
      </c>
      <c r="U36"/>
      <c r="V36" s="256">
        <f t="shared" si="6"/>
        <v>0</v>
      </c>
      <c r="W36"/>
      <c r="X36" s="256">
        <f t="shared" si="6"/>
        <v>0</v>
      </c>
      <c r="Y36"/>
      <c r="Z36" s="256">
        <f t="shared" si="6"/>
        <v>0</v>
      </c>
      <c r="AA36" s="256"/>
      <c r="AB36" s="259"/>
      <c r="AC36" s="256">
        <f>ROUND(SUM(AC31:AC35),1)</f>
        <v>73.3</v>
      </c>
      <c r="AD36" s="1838"/>
      <c r="AE36" s="259"/>
      <c r="AF36" s="256">
        <f>ROUND(SUM(AF31:AF35),1)</f>
        <v>60.3</v>
      </c>
      <c r="AG36" s="521"/>
      <c r="AH36" s="273"/>
      <c r="AI36" s="256">
        <f>ROUND(SUM(AI31:AI35),1)</f>
        <v>13</v>
      </c>
      <c r="AK36" s="527">
        <f>ROUND(SUM(+AI36/AF36),3)</f>
        <v>0.216</v>
      </c>
    </row>
    <row r="37" spans="1:37" ht="15" customHeight="1">
      <c r="A37" s="223"/>
      <c r="B37" s="2334" t="s">
        <v>1311</v>
      </c>
      <c r="C37" s="223"/>
      <c r="D37" s="261"/>
      <c r="F37" s="261"/>
      <c r="H37" s="261"/>
      <c r="J37" s="261"/>
      <c r="L37" s="261"/>
      <c r="N37" s="261"/>
      <c r="P37" s="261"/>
      <c r="R37" s="261"/>
      <c r="T37" s="261"/>
      <c r="V37" s="261"/>
      <c r="X37" s="261"/>
      <c r="Z37" s="261"/>
      <c r="AA37" s="261"/>
      <c r="AB37" s="250"/>
      <c r="AC37" s="261"/>
      <c r="AD37" s="261"/>
      <c r="AE37" s="250"/>
      <c r="AF37" s="261"/>
      <c r="AG37" s="514"/>
      <c r="AH37" s="249"/>
      <c r="AI37" s="1159"/>
      <c r="AK37" s="1884"/>
    </row>
    <row r="38" spans="1:37" ht="15" customHeight="1">
      <c r="A38" s="223"/>
      <c r="B38" s="2071" t="s">
        <v>1278</v>
      </c>
      <c r="C38" s="223"/>
      <c r="D38" s="261">
        <f>'Exhibit G state'!D37</f>
        <v>116.6</v>
      </c>
      <c r="F38" s="261"/>
      <c r="H38" s="261"/>
      <c r="J38" s="261"/>
      <c r="L38" s="261"/>
      <c r="N38" s="261"/>
      <c r="P38" s="261"/>
      <c r="R38" s="261"/>
      <c r="T38" s="261"/>
      <c r="V38" s="261"/>
      <c r="X38" s="261"/>
      <c r="Z38" s="261"/>
      <c r="AA38" s="261"/>
      <c r="AB38" s="250"/>
      <c r="AC38" s="261">
        <f>ROUND(SUM(D38:Z38),1)</f>
        <v>116.6</v>
      </c>
      <c r="AD38" s="261"/>
      <c r="AE38" s="250"/>
      <c r="AF38" s="2082">
        <f>'Exhibit G state'!AH37</f>
        <v>132.6</v>
      </c>
      <c r="AG38" s="514"/>
      <c r="AH38" s="249"/>
      <c r="AI38" s="1159">
        <f>ROUND(SUM(+AC38-AF38),1)</f>
        <v>-16</v>
      </c>
      <c r="AJ38" s="248"/>
      <c r="AK38" s="1816">
        <f>ROUND(IF(AF38=0,0,AI38/ABS(AF38)),3)</f>
        <v>-0.121</v>
      </c>
    </row>
    <row r="39" spans="1:37" s="412" customFormat="1" ht="15" customHeight="1">
      <c r="A39" s="221"/>
      <c r="B39" s="2070" t="s">
        <v>1414</v>
      </c>
      <c r="C39" s="221"/>
      <c r="D39" s="483">
        <f>ROUND(SUM(D38:D38),1)</f>
        <v>116.6</v>
      </c>
      <c r="E39"/>
      <c r="F39" s="483">
        <f t="shared" ref="F39:X39" si="7">ROUND(SUM(F38:F38),1)</f>
        <v>0</v>
      </c>
      <c r="G39"/>
      <c r="H39" s="483">
        <f t="shared" si="7"/>
        <v>0</v>
      </c>
      <c r="I39"/>
      <c r="J39" s="483">
        <f t="shared" si="7"/>
        <v>0</v>
      </c>
      <c r="K39"/>
      <c r="L39" s="483">
        <f t="shared" si="7"/>
        <v>0</v>
      </c>
      <c r="M39"/>
      <c r="N39" s="483">
        <f t="shared" si="7"/>
        <v>0</v>
      </c>
      <c r="O39"/>
      <c r="P39" s="483">
        <f t="shared" si="7"/>
        <v>0</v>
      </c>
      <c r="Q39"/>
      <c r="R39" s="483">
        <f t="shared" si="7"/>
        <v>0</v>
      </c>
      <c r="S39"/>
      <c r="T39" s="483">
        <f t="shared" si="7"/>
        <v>0</v>
      </c>
      <c r="U39"/>
      <c r="V39" s="483">
        <f t="shared" si="7"/>
        <v>0</v>
      </c>
      <c r="W39"/>
      <c r="X39" s="483">
        <f t="shared" si="7"/>
        <v>0</v>
      </c>
      <c r="Y39"/>
      <c r="Z39" s="483">
        <f>ROUND(SUM(Z38:Z38),1)</f>
        <v>0</v>
      </c>
      <c r="AA39" s="1838"/>
      <c r="AB39" s="259"/>
      <c r="AC39" s="483">
        <f>ROUND(SUM(AC38:AC38),1)</f>
        <v>116.6</v>
      </c>
      <c r="AD39" s="1838"/>
      <c r="AE39" s="259"/>
      <c r="AF39" s="483">
        <f>ROUND(SUM(AF38:AF38),1)</f>
        <v>132.6</v>
      </c>
      <c r="AG39" s="521"/>
      <c r="AH39" s="273"/>
      <c r="AI39" s="483">
        <f>ROUND(SUM(AI38:AI38),1)</f>
        <v>-16</v>
      </c>
      <c r="AK39" s="2053">
        <f>ROUND(SUM(+AI39/AF39),3)</f>
        <v>-0.121</v>
      </c>
    </row>
    <row r="40" spans="1:37" ht="15" customHeight="1">
      <c r="A40" s="223"/>
      <c r="B40" s="2084"/>
      <c r="C40" s="223"/>
      <c r="D40" s="249"/>
      <c r="F40" s="249"/>
      <c r="H40" s="249"/>
      <c r="J40" s="249"/>
      <c r="L40" s="249"/>
      <c r="N40" s="249"/>
      <c r="P40" s="249"/>
      <c r="R40" s="249"/>
      <c r="T40" s="249"/>
      <c r="V40" s="249"/>
      <c r="X40" s="249"/>
      <c r="Z40" s="249"/>
      <c r="AA40" s="261"/>
      <c r="AB40" s="250"/>
      <c r="AC40" s="249"/>
      <c r="AD40" s="261"/>
      <c r="AE40" s="250"/>
      <c r="AF40" s="249"/>
      <c r="AG40" s="514"/>
      <c r="AH40" s="249"/>
      <c r="AI40" s="1860"/>
      <c r="AJ40" s="229"/>
      <c r="AK40" s="1254"/>
    </row>
    <row r="41" spans="1:37" ht="15" customHeight="1">
      <c r="A41" s="223"/>
      <c r="B41" s="2070" t="s">
        <v>1415</v>
      </c>
      <c r="C41" s="223"/>
      <c r="D41" s="2302">
        <f>ROUND(SUM(D18+D29+D36+D39),1)</f>
        <v>376.6</v>
      </c>
      <c r="F41" s="2302">
        <f t="shared" ref="F41:X41" si="8">ROUND(SUM(F18+F29+F36+F39),1)</f>
        <v>0</v>
      </c>
      <c r="H41" s="2302">
        <f t="shared" si="8"/>
        <v>0</v>
      </c>
      <c r="J41" s="2302">
        <f t="shared" si="8"/>
        <v>0</v>
      </c>
      <c r="L41" s="2302">
        <f t="shared" si="8"/>
        <v>0</v>
      </c>
      <c r="N41" s="2302">
        <f t="shared" si="8"/>
        <v>0</v>
      </c>
      <c r="P41" s="2302">
        <f t="shared" si="8"/>
        <v>0</v>
      </c>
      <c r="R41" s="2302">
        <f t="shared" si="8"/>
        <v>0</v>
      </c>
      <c r="T41" s="2302">
        <f t="shared" si="8"/>
        <v>0</v>
      </c>
      <c r="V41" s="2302">
        <f t="shared" si="8"/>
        <v>0</v>
      </c>
      <c r="X41" s="2302">
        <f t="shared" si="8"/>
        <v>0</v>
      </c>
      <c r="Z41" s="271">
        <f>ROUND(SUM(Z18+Z29+Z36+Z39),1)</f>
        <v>0</v>
      </c>
      <c r="AA41" s="261"/>
      <c r="AB41" s="250"/>
      <c r="AC41" s="271">
        <f>ROUND(SUM(AC18+AC29+AC36+AC39),1)</f>
        <v>376.6</v>
      </c>
      <c r="AD41" s="261"/>
      <c r="AE41" s="250"/>
      <c r="AF41" s="271">
        <f>ROUND(SUM(AF18+AF29+AF36+AF39),1)</f>
        <v>399.6</v>
      </c>
      <c r="AG41" s="514"/>
      <c r="AH41" s="249"/>
      <c r="AI41" s="271">
        <f>ROUND(SUM(AI18+AI29+AI36+AI39),1)</f>
        <v>-23</v>
      </c>
      <c r="AK41" s="524">
        <f>ROUND(SUM(+AI41/AF41),3)</f>
        <v>-5.8000000000000003E-2</v>
      </c>
    </row>
    <row r="42" spans="1:37" ht="15" customHeight="1">
      <c r="A42" s="223"/>
      <c r="B42" s="223"/>
      <c r="C42" s="223"/>
      <c r="D42" s="1313"/>
      <c r="F42" s="1313"/>
      <c r="H42" s="1313"/>
      <c r="J42" s="1313"/>
      <c r="L42" s="1313"/>
      <c r="N42" s="274"/>
      <c r="P42" s="274"/>
      <c r="R42" s="274"/>
      <c r="T42" s="274"/>
      <c r="V42" s="274"/>
      <c r="X42" s="274"/>
      <c r="Z42" s="517"/>
      <c r="AA42" s="261"/>
      <c r="AB42" s="250"/>
      <c r="AC42" s="261"/>
      <c r="AD42" s="261"/>
      <c r="AE42" s="250"/>
      <c r="AF42" s="515"/>
      <c r="AG42" s="518"/>
      <c r="AH42" s="249"/>
      <c r="AI42" s="1159"/>
      <c r="AJ42" s="248"/>
      <c r="AK42" s="1884"/>
    </row>
    <row r="43" spans="1:37" ht="15" customHeight="1">
      <c r="A43" s="223"/>
      <c r="B43" s="489" t="s">
        <v>1173</v>
      </c>
      <c r="C43" s="223"/>
      <c r="D43" s="1313"/>
      <c r="F43" s="1313"/>
      <c r="H43" s="1313"/>
      <c r="J43" s="1313"/>
      <c r="L43" s="1313"/>
      <c r="N43" s="274"/>
      <c r="P43" s="274"/>
      <c r="R43" s="274"/>
      <c r="T43" s="274"/>
      <c r="V43" s="274"/>
      <c r="X43" s="274"/>
      <c r="Z43" s="517"/>
      <c r="AA43" s="261"/>
      <c r="AB43" s="250"/>
      <c r="AC43" s="261"/>
      <c r="AD43" s="261"/>
      <c r="AE43" s="250"/>
      <c r="AF43" s="515"/>
      <c r="AG43" s="518"/>
      <c r="AH43" s="249"/>
      <c r="AI43" s="1159"/>
      <c r="AJ43" s="248"/>
      <c r="AK43" s="1884"/>
    </row>
    <row r="44" spans="1:37" ht="15" customHeight="1">
      <c r="A44" s="223"/>
      <c r="B44" s="1784" t="s">
        <v>1301</v>
      </c>
      <c r="C44" s="223"/>
      <c r="D44" s="1313"/>
      <c r="F44" s="1313"/>
      <c r="H44" s="1313"/>
      <c r="J44" s="1313"/>
      <c r="L44" s="1313"/>
      <c r="N44" s="274"/>
      <c r="P44" s="274"/>
      <c r="R44" s="274"/>
      <c r="T44" s="274"/>
      <c r="V44" s="274"/>
      <c r="X44" s="274"/>
      <c r="Z44" s="517"/>
      <c r="AA44" s="261"/>
      <c r="AB44" s="250"/>
      <c r="AC44" s="261"/>
      <c r="AD44" s="261"/>
      <c r="AE44" s="250"/>
      <c r="AF44" s="515"/>
      <c r="AG44" s="518"/>
      <c r="AH44" s="249"/>
      <c r="AI44" s="1159"/>
      <c r="AJ44" s="248"/>
      <c r="AK44" s="1884"/>
    </row>
    <row r="45" spans="1:37" ht="15" customHeight="1">
      <c r="A45" s="223"/>
      <c r="B45" s="1784" t="s">
        <v>1206</v>
      </c>
      <c r="C45" s="223"/>
      <c r="D45" s="1313">
        <f>'Exhibit G state'!D44+'Exhibit G Federal'!D19</f>
        <v>0.9</v>
      </c>
      <c r="F45" s="1313"/>
      <c r="H45" s="1313"/>
      <c r="J45" s="1313"/>
      <c r="L45" s="1313"/>
      <c r="N45" s="1313"/>
      <c r="P45" s="1313"/>
      <c r="R45" s="1313"/>
      <c r="T45" s="2082"/>
      <c r="V45" s="2082"/>
      <c r="X45" s="2082"/>
      <c r="Z45" s="2082"/>
      <c r="AA45" s="261"/>
      <c r="AB45" s="250"/>
      <c r="AC45" s="261">
        <f t="shared" ref="AC45:AC85" si="9">ROUND(SUM(D45:Z45),1)</f>
        <v>0.9</v>
      </c>
      <c r="AD45" s="261"/>
      <c r="AE45" s="250"/>
      <c r="AF45" s="515">
        <f>+'Exhibit G state'!AH44+'Exhibit G Federal'!AH19</f>
        <v>0.8</v>
      </c>
      <c r="AG45" s="518"/>
      <c r="AH45" s="249"/>
      <c r="AI45" s="1159">
        <f>ROUND(SUM(+AC45-AF45),1)</f>
        <v>0.1</v>
      </c>
      <c r="AJ45" s="248"/>
      <c r="AK45" s="1816">
        <f>ROUND(IF(AF45=0,0,AI45/ABS(AF45)),3)</f>
        <v>0.125</v>
      </c>
    </row>
    <row r="46" spans="1:37" ht="15" customHeight="1">
      <c r="A46" s="223"/>
      <c r="B46" s="1784" t="s">
        <v>1302</v>
      </c>
      <c r="C46" s="223"/>
      <c r="D46" s="1336"/>
      <c r="F46" s="1336"/>
      <c r="H46" s="1336"/>
      <c r="J46" s="1313"/>
      <c r="L46" s="1313"/>
      <c r="N46" s="1336"/>
      <c r="P46" s="1313"/>
      <c r="R46" s="274"/>
      <c r="T46" s="274"/>
      <c r="V46" s="274"/>
      <c r="X46" s="2082"/>
      <c r="Z46" s="2082"/>
      <c r="AA46" s="261"/>
      <c r="AB46" s="250"/>
      <c r="AC46" s="261"/>
      <c r="AD46" s="261"/>
      <c r="AE46" s="250"/>
      <c r="AF46" s="515"/>
      <c r="AG46" s="518"/>
      <c r="AH46" s="249"/>
      <c r="AI46" s="1159"/>
      <c r="AJ46" s="248"/>
      <c r="AK46" s="1884"/>
    </row>
    <row r="47" spans="1:37" ht="15" customHeight="1">
      <c r="A47" s="223"/>
      <c r="B47" s="1784" t="s">
        <v>1208</v>
      </c>
      <c r="C47" s="223"/>
      <c r="D47" s="1336">
        <f>'Exhibit G state'!D46+'Exhibit G Federal'!D21</f>
        <v>32.4</v>
      </c>
      <c r="F47" s="1336"/>
      <c r="H47" s="1336"/>
      <c r="J47" s="1313"/>
      <c r="L47" s="1313"/>
      <c r="N47" s="1313"/>
      <c r="P47" s="1313"/>
      <c r="R47" s="1313"/>
      <c r="T47" s="2082"/>
      <c r="V47" s="2082"/>
      <c r="X47" s="2082"/>
      <c r="Z47" s="2082"/>
      <c r="AA47" s="261"/>
      <c r="AB47" s="250"/>
      <c r="AC47" s="261">
        <f t="shared" si="9"/>
        <v>32.4</v>
      </c>
      <c r="AD47" s="261"/>
      <c r="AE47" s="250"/>
      <c r="AF47" s="515">
        <f>+'Exhibit G state'!AH46+'Exhibit G Federal'!AH21</f>
        <v>79.3</v>
      </c>
      <c r="AG47" s="518"/>
      <c r="AH47" s="249"/>
      <c r="AI47" s="1159">
        <f>ROUND(SUM(+AC47-AF47),1)</f>
        <v>-46.9</v>
      </c>
      <c r="AJ47" s="248"/>
      <c r="AK47" s="1816">
        <f>ROUND(IF(AF47=0,0,AI47/ABS(AF47)),3)</f>
        <v>-0.59099999999999997</v>
      </c>
    </row>
    <row r="48" spans="1:37" ht="15" customHeight="1">
      <c r="A48" s="223"/>
      <c r="B48" s="1784" t="s">
        <v>1209</v>
      </c>
      <c r="C48" s="223"/>
      <c r="D48" s="1336">
        <f>'Exhibit G state'!D47+'Exhibit G Federal'!D22</f>
        <v>416.5</v>
      </c>
      <c r="F48" s="1336"/>
      <c r="H48" s="1336"/>
      <c r="J48" s="1313"/>
      <c r="L48" s="1313"/>
      <c r="N48" s="1313"/>
      <c r="P48" s="1313"/>
      <c r="R48" s="1313"/>
      <c r="T48" s="2082"/>
      <c r="V48" s="2082"/>
      <c r="X48" s="2082"/>
      <c r="Z48" s="2082"/>
      <c r="AA48" s="261"/>
      <c r="AB48" s="250"/>
      <c r="AC48" s="1159">
        <f t="shared" si="9"/>
        <v>416.5</v>
      </c>
      <c r="AD48" s="261"/>
      <c r="AE48" s="250"/>
      <c r="AF48" s="515">
        <f>+'Exhibit G state'!AH47+'Exhibit G Federal'!AH22</f>
        <v>371.1</v>
      </c>
      <c r="AG48" s="518"/>
      <c r="AH48" s="249"/>
      <c r="AI48" s="1159">
        <f>ROUND(SUM(+AC48-AF48),1)</f>
        <v>45.4</v>
      </c>
      <c r="AJ48" s="248"/>
      <c r="AK48" s="1816">
        <f>ROUND(IF(AF48=0,0,AI48/ABS(AF48)),3)</f>
        <v>0.122</v>
      </c>
    </row>
    <row r="49" spans="1:37" ht="15" customHeight="1">
      <c r="A49" s="223"/>
      <c r="B49" s="1784" t="s">
        <v>1210</v>
      </c>
      <c r="C49" s="223"/>
      <c r="D49" s="1336">
        <f>'Exhibit G state'!D48+'Exhibit G Federal'!D23</f>
        <v>5.7</v>
      </c>
      <c r="F49" s="1336"/>
      <c r="H49" s="1336"/>
      <c r="J49" s="1313"/>
      <c r="L49" s="1313"/>
      <c r="N49" s="1313"/>
      <c r="P49" s="1313"/>
      <c r="R49" s="1313"/>
      <c r="T49" s="2082"/>
      <c r="V49" s="2082"/>
      <c r="X49" s="2082"/>
      <c r="Z49" s="2082"/>
      <c r="AA49" s="261"/>
      <c r="AB49" s="250"/>
      <c r="AC49" s="261">
        <f t="shared" si="9"/>
        <v>5.7</v>
      </c>
      <c r="AD49" s="261"/>
      <c r="AE49" s="250"/>
      <c r="AF49" s="515">
        <f>+'Exhibit G state'!AH48+'Exhibit G Federal'!AH23</f>
        <v>0.7</v>
      </c>
      <c r="AG49" s="518"/>
      <c r="AH49" s="249"/>
      <c r="AI49" s="1159">
        <f>ROUND(SUM(+AC49-AF49),1)</f>
        <v>5</v>
      </c>
      <c r="AJ49" s="248"/>
      <c r="AK49" s="1816">
        <f>ROUND(IF(AF49=0,0,AI49/ABS(AF49)),3)</f>
        <v>7.1429999999999998</v>
      </c>
    </row>
    <row r="50" spans="1:37" ht="15" customHeight="1">
      <c r="A50" s="223"/>
      <c r="B50" s="1784" t="s">
        <v>1211</v>
      </c>
      <c r="C50" s="223"/>
      <c r="D50" s="1336">
        <f>'Exhibit G state'!D49+'Exhibit G Federal'!D24</f>
        <v>20.399999999999999</v>
      </c>
      <c r="F50" s="1336"/>
      <c r="H50" s="1336"/>
      <c r="J50" s="1313"/>
      <c r="L50" s="1313"/>
      <c r="N50" s="1313"/>
      <c r="P50" s="1313"/>
      <c r="R50" s="1313"/>
      <c r="T50" s="2082"/>
      <c r="V50" s="2082"/>
      <c r="X50" s="2082"/>
      <c r="Z50" s="2082"/>
      <c r="AA50" s="261"/>
      <c r="AB50" s="250"/>
      <c r="AC50" s="261">
        <f t="shared" si="9"/>
        <v>20.399999999999999</v>
      </c>
      <c r="AD50" s="261"/>
      <c r="AE50" s="250"/>
      <c r="AF50" s="515">
        <f>+'Exhibit G state'!AH49+'Exhibit G Federal'!AH24</f>
        <v>18.2</v>
      </c>
      <c r="AG50" s="518"/>
      <c r="AH50" s="249"/>
      <c r="AI50" s="1159">
        <f>ROUND(SUM(+AC50-AF50),1)</f>
        <v>2.2000000000000002</v>
      </c>
      <c r="AJ50" s="248"/>
      <c r="AK50" s="1816">
        <f>ROUND(IF(AF50=0,0,AI50/ABS(AF50)),3)</f>
        <v>0.121</v>
      </c>
    </row>
    <row r="51" spans="1:37" ht="15" customHeight="1">
      <c r="A51" s="223"/>
      <c r="B51" s="1784" t="s">
        <v>1307</v>
      </c>
      <c r="C51" s="223"/>
      <c r="D51" s="1336"/>
      <c r="F51" s="1336"/>
      <c r="H51" s="1336"/>
      <c r="J51" s="1313"/>
      <c r="L51" s="1313"/>
      <c r="N51" s="1336"/>
      <c r="P51" s="1313"/>
      <c r="R51" s="1313"/>
      <c r="T51" s="2082"/>
      <c r="V51" s="2082"/>
      <c r="X51" s="2082"/>
      <c r="Z51" s="2082"/>
      <c r="AA51" s="261"/>
      <c r="AB51" s="250"/>
      <c r="AC51" s="261"/>
      <c r="AD51" s="261"/>
      <c r="AE51" s="250"/>
      <c r="AF51" s="515"/>
      <c r="AG51" s="518"/>
      <c r="AH51" s="249"/>
      <c r="AI51" s="1159"/>
      <c r="AJ51" s="248"/>
      <c r="AK51" s="1884"/>
    </row>
    <row r="52" spans="1:37" ht="15" customHeight="1">
      <c r="A52" s="223"/>
      <c r="B52" s="1784" t="s">
        <v>1440</v>
      </c>
      <c r="C52" s="223"/>
      <c r="D52" s="1336">
        <f>'Exhibit G state'!D51</f>
        <v>0</v>
      </c>
      <c r="F52" s="1336"/>
      <c r="H52" s="1336"/>
      <c r="J52" s="1313"/>
      <c r="L52" s="1313"/>
      <c r="N52" s="1336"/>
      <c r="P52" s="1313"/>
      <c r="R52" s="1313"/>
      <c r="T52" s="2082"/>
      <c r="V52" s="2082"/>
      <c r="X52" s="2082"/>
      <c r="Z52" s="2082"/>
      <c r="AA52" s="261"/>
      <c r="AB52" s="250"/>
      <c r="AC52" s="261">
        <f>ROUND(SUM(D52:Z52),1)</f>
        <v>0</v>
      </c>
      <c r="AD52" s="261"/>
      <c r="AE52" s="250"/>
      <c r="AF52" s="515">
        <f>+'Exhibit G state'!AH51</f>
        <v>0</v>
      </c>
      <c r="AG52" s="518"/>
      <c r="AH52" s="249"/>
      <c r="AI52" s="2993">
        <f>ROUND(SUM(+AC52-AF52),1)</f>
        <v>0</v>
      </c>
      <c r="AJ52" s="248"/>
      <c r="AK52" s="2741">
        <f>ROUND(IF(AF52=0,0,AI52/ABS(AF52)),3)</f>
        <v>0</v>
      </c>
    </row>
    <row r="53" spans="1:37" ht="15" customHeight="1">
      <c r="A53" s="223"/>
      <c r="B53" s="1784" t="s">
        <v>1212</v>
      </c>
      <c r="C53" s="223"/>
      <c r="D53" s="1336">
        <f>'Exhibit G state'!D52+'Exhibit G Federal'!D26</f>
        <v>47.7</v>
      </c>
      <c r="F53" s="1336"/>
      <c r="H53" s="1336"/>
      <c r="J53" s="1336"/>
      <c r="L53" s="1313"/>
      <c r="N53" s="1313"/>
      <c r="P53" s="1313"/>
      <c r="R53" s="1313"/>
      <c r="T53" s="2082"/>
      <c r="V53" s="2082"/>
      <c r="X53" s="2082"/>
      <c r="Z53" s="2082"/>
      <c r="AA53" s="261"/>
      <c r="AB53" s="250"/>
      <c r="AC53" s="261">
        <f t="shared" si="9"/>
        <v>47.7</v>
      </c>
      <c r="AD53" s="261"/>
      <c r="AE53" s="250"/>
      <c r="AF53" s="515">
        <f>+'Exhibit G state'!AH52+'Exhibit G Federal'!AH26</f>
        <v>70.5</v>
      </c>
      <c r="AG53" s="518"/>
      <c r="AH53" s="249"/>
      <c r="AI53" s="1159">
        <f t="shared" ref="AI53:AI58" si="10">ROUND(SUM(+AC53-AF53),1)</f>
        <v>-22.8</v>
      </c>
      <c r="AJ53" s="248"/>
      <c r="AK53" s="1816">
        <f t="shared" ref="AK53:AK58" si="11">ROUND(IF(AF53=0,0,AI53/ABS(AF53)),3)</f>
        <v>-0.32300000000000001</v>
      </c>
    </row>
    <row r="54" spans="1:37" ht="15" customHeight="1">
      <c r="A54" s="223"/>
      <c r="B54" s="1784" t="s">
        <v>1213</v>
      </c>
      <c r="C54" s="223"/>
      <c r="D54" s="1336">
        <f>'Exhibit G state'!D53+'Exhibit G Federal'!D27</f>
        <v>5.4</v>
      </c>
      <c r="F54" s="1336"/>
      <c r="H54" s="1336"/>
      <c r="J54" s="1336"/>
      <c r="L54" s="1313"/>
      <c r="N54" s="1313"/>
      <c r="P54" s="1313"/>
      <c r="R54" s="1313"/>
      <c r="T54" s="2082"/>
      <c r="V54" s="2082"/>
      <c r="X54" s="2082"/>
      <c r="Z54" s="2082"/>
      <c r="AA54" s="261"/>
      <c r="AB54" s="250"/>
      <c r="AC54" s="261">
        <f t="shared" si="9"/>
        <v>5.4</v>
      </c>
      <c r="AD54" s="261"/>
      <c r="AE54" s="250"/>
      <c r="AF54" s="515">
        <f>+'Exhibit G state'!AH53+'Exhibit G Federal'!AH27</f>
        <v>4.4000000000000004</v>
      </c>
      <c r="AG54" s="518"/>
      <c r="AH54" s="249"/>
      <c r="AI54" s="1159">
        <f t="shared" si="10"/>
        <v>1</v>
      </c>
      <c r="AJ54" s="248"/>
      <c r="AK54" s="1816">
        <f t="shared" si="11"/>
        <v>0.22700000000000001</v>
      </c>
    </row>
    <row r="55" spans="1:37" ht="15" customHeight="1">
      <c r="A55" s="223"/>
      <c r="B55" s="1784" t="s">
        <v>1214</v>
      </c>
      <c r="C55" s="223"/>
      <c r="D55" s="1336">
        <f>'Exhibit G state'!D54+'Exhibit G Federal'!D28</f>
        <v>0</v>
      </c>
      <c r="F55" s="1336"/>
      <c r="H55" s="1336"/>
      <c r="J55" s="1336"/>
      <c r="L55" s="1313"/>
      <c r="N55" s="1313"/>
      <c r="P55" s="1313"/>
      <c r="R55" s="1313"/>
      <c r="T55" s="2082"/>
      <c r="V55" s="2082"/>
      <c r="X55" s="2082"/>
      <c r="Z55" s="2082"/>
      <c r="AA55" s="261"/>
      <c r="AB55" s="250"/>
      <c r="AC55" s="261">
        <f t="shared" si="9"/>
        <v>0</v>
      </c>
      <c r="AD55" s="261"/>
      <c r="AE55" s="250"/>
      <c r="AF55" s="515">
        <f>+'Exhibit G state'!AH54+'Exhibit G Federal'!AH28</f>
        <v>0</v>
      </c>
      <c r="AG55" s="518"/>
      <c r="AH55" s="249"/>
      <c r="AI55" s="1159">
        <f t="shared" si="10"/>
        <v>0</v>
      </c>
      <c r="AJ55" s="248"/>
      <c r="AK55" s="1816">
        <f t="shared" si="11"/>
        <v>0</v>
      </c>
    </row>
    <row r="56" spans="1:37" ht="15" customHeight="1">
      <c r="A56" s="223"/>
      <c r="B56" s="1784" t="s">
        <v>1215</v>
      </c>
      <c r="C56" s="223"/>
      <c r="D56" s="1336">
        <f>'Exhibit G state'!D55+'Exhibit G Federal'!D29</f>
        <v>39.9</v>
      </c>
      <c r="F56" s="1336"/>
      <c r="H56" s="1336"/>
      <c r="J56" s="1336"/>
      <c r="L56" s="1313"/>
      <c r="N56" s="1313"/>
      <c r="P56" s="1313"/>
      <c r="R56" s="1313"/>
      <c r="T56" s="2082"/>
      <c r="V56" s="2082"/>
      <c r="X56" s="2082"/>
      <c r="Z56" s="2082"/>
      <c r="AA56" s="261"/>
      <c r="AB56" s="250"/>
      <c r="AC56" s="261">
        <f t="shared" si="9"/>
        <v>39.9</v>
      </c>
      <c r="AD56" s="261"/>
      <c r="AE56" s="250"/>
      <c r="AF56" s="515">
        <f>+'Exhibit G state'!AH55+'Exhibit G Federal'!AH29</f>
        <v>33.5</v>
      </c>
      <c r="AG56" s="518"/>
      <c r="AH56" s="249"/>
      <c r="AI56" s="1159">
        <f t="shared" si="10"/>
        <v>6.4</v>
      </c>
      <c r="AJ56" s="248"/>
      <c r="AK56" s="1816">
        <f t="shared" si="11"/>
        <v>0.191</v>
      </c>
    </row>
    <row r="57" spans="1:37" ht="15" customHeight="1">
      <c r="A57" s="223"/>
      <c r="B57" s="1784" t="s">
        <v>1216</v>
      </c>
      <c r="C57" s="223"/>
      <c r="D57" s="1336">
        <f>'Exhibit G state'!D56+'Exhibit G Federal'!D30</f>
        <v>39.200000000000003</v>
      </c>
      <c r="F57" s="1336"/>
      <c r="H57" s="1336"/>
      <c r="J57" s="1336"/>
      <c r="L57" s="1313"/>
      <c r="N57" s="1313"/>
      <c r="P57" s="1313"/>
      <c r="R57" s="1313"/>
      <c r="T57" s="2082"/>
      <c r="V57" s="2082"/>
      <c r="X57" s="2082"/>
      <c r="Z57" s="2082"/>
      <c r="AA57" s="261"/>
      <c r="AB57" s="250"/>
      <c r="AC57" s="1159">
        <f t="shared" si="9"/>
        <v>39.200000000000003</v>
      </c>
      <c r="AD57" s="261"/>
      <c r="AE57" s="250"/>
      <c r="AF57" s="515">
        <f>+'Exhibit G state'!AH56+'Exhibit G Federal'!AH30</f>
        <v>15.4</v>
      </c>
      <c r="AG57" s="518"/>
      <c r="AH57" s="249"/>
      <c r="AI57" s="1159">
        <f t="shared" si="10"/>
        <v>23.8</v>
      </c>
      <c r="AJ57" s="248"/>
      <c r="AK57" s="1816">
        <f t="shared" si="11"/>
        <v>1.5449999999999999</v>
      </c>
    </row>
    <row r="58" spans="1:37" ht="15" customHeight="1">
      <c r="A58" s="223"/>
      <c r="B58" s="1784" t="s">
        <v>1174</v>
      </c>
      <c r="C58" s="223"/>
      <c r="D58" s="1336">
        <f>'Exhibit G state'!D57+'Exhibit G Federal'!D31</f>
        <v>5.1000000000000005</v>
      </c>
      <c r="F58" s="1336"/>
      <c r="H58" s="1336"/>
      <c r="J58" s="1336"/>
      <c r="L58" s="1313"/>
      <c r="N58" s="1313"/>
      <c r="P58" s="1313"/>
      <c r="R58" s="1313"/>
      <c r="T58" s="2082"/>
      <c r="V58" s="2082"/>
      <c r="X58" s="2082"/>
      <c r="Z58" s="2082"/>
      <c r="AA58" s="261"/>
      <c r="AB58" s="250"/>
      <c r="AC58" s="1159">
        <f t="shared" si="9"/>
        <v>5.0999999999999996</v>
      </c>
      <c r="AD58" s="261"/>
      <c r="AE58" s="250"/>
      <c r="AF58" s="515">
        <f>+'Exhibit G state'!AH57+'Exhibit G Federal'!AH31</f>
        <v>9.9</v>
      </c>
      <c r="AG58" s="518"/>
      <c r="AH58" s="249"/>
      <c r="AI58" s="1159">
        <f t="shared" si="10"/>
        <v>-4.8</v>
      </c>
      <c r="AJ58" s="248"/>
      <c r="AK58" s="2799">
        <f t="shared" si="11"/>
        <v>-0.48499999999999999</v>
      </c>
    </row>
    <row r="59" spans="1:37" ht="15" customHeight="1">
      <c r="A59" s="223"/>
      <c r="B59" s="1784" t="s">
        <v>1304</v>
      </c>
      <c r="C59" s="223"/>
      <c r="D59" s="1336"/>
      <c r="F59" s="1336"/>
      <c r="H59" s="1336"/>
      <c r="J59" s="1313"/>
      <c r="L59" s="1313"/>
      <c r="N59" s="1336"/>
      <c r="P59" s="1313"/>
      <c r="R59" s="1313"/>
      <c r="T59" s="2082"/>
      <c r="V59" s="2082"/>
      <c r="X59" s="2082"/>
      <c r="Z59" s="2082"/>
      <c r="AA59" s="261"/>
      <c r="AB59" s="250"/>
      <c r="AC59" s="1159"/>
      <c r="AD59" s="261"/>
      <c r="AE59" s="250"/>
      <c r="AF59" s="515"/>
      <c r="AG59" s="518"/>
      <c r="AH59" s="249"/>
      <c r="AI59" s="1159"/>
      <c r="AJ59" s="248"/>
      <c r="AK59" s="1884"/>
    </row>
    <row r="60" spans="1:37" ht="15" customHeight="1">
      <c r="A60" s="223"/>
      <c r="B60" s="1784" t="s">
        <v>1217</v>
      </c>
      <c r="C60" s="223"/>
      <c r="D60" s="1336">
        <f>'Exhibit G state'!D59</f>
        <v>15.3</v>
      </c>
      <c r="F60" s="1336"/>
      <c r="H60" s="1336"/>
      <c r="J60" s="1336"/>
      <c r="L60" s="1313"/>
      <c r="N60" s="1313"/>
      <c r="P60" s="1313"/>
      <c r="R60" s="1313"/>
      <c r="T60" s="2082"/>
      <c r="V60" s="2082"/>
      <c r="X60" s="2082"/>
      <c r="Z60" s="2082"/>
      <c r="AA60" s="261"/>
      <c r="AB60" s="250"/>
      <c r="AC60" s="1159">
        <f t="shared" si="9"/>
        <v>15.3</v>
      </c>
      <c r="AD60" s="261"/>
      <c r="AE60" s="250"/>
      <c r="AF60" s="515">
        <f>+'Exhibit G state'!AH59</f>
        <v>43.5</v>
      </c>
      <c r="AG60" s="518"/>
      <c r="AH60" s="249"/>
      <c r="AI60" s="1159">
        <f>ROUND(SUM(+AC60-AF60),1)</f>
        <v>-28.2</v>
      </c>
      <c r="AJ60" s="248"/>
      <c r="AK60" s="2799">
        <f>ROUND(IF(AF60=0,0,AI60/ABS(AF60)),3)</f>
        <v>-0.64800000000000002</v>
      </c>
    </row>
    <row r="61" spans="1:37" ht="15" customHeight="1">
      <c r="A61" s="223"/>
      <c r="B61" s="1784" t="s">
        <v>1218</v>
      </c>
      <c r="C61" s="223"/>
      <c r="D61" s="1336">
        <f>'Exhibit G state'!D60</f>
        <v>188.8</v>
      </c>
      <c r="F61" s="1336"/>
      <c r="H61" s="1336"/>
      <c r="J61" s="1336"/>
      <c r="L61" s="1313"/>
      <c r="N61" s="1313"/>
      <c r="P61" s="1313"/>
      <c r="R61" s="1313"/>
      <c r="T61" s="2082"/>
      <c r="V61" s="2082"/>
      <c r="X61" s="2082"/>
      <c r="Z61" s="2082"/>
      <c r="AA61" s="261"/>
      <c r="AB61" s="250"/>
      <c r="AC61" s="1159">
        <f t="shared" si="9"/>
        <v>188.8</v>
      </c>
      <c r="AD61" s="261"/>
      <c r="AE61" s="250"/>
      <c r="AF61" s="515">
        <f>+'Exhibit G state'!AH60</f>
        <v>226.4</v>
      </c>
      <c r="AG61" s="518"/>
      <c r="AH61" s="249"/>
      <c r="AI61" s="1159">
        <f>ROUND(SUM(+AC61-AF61),1)</f>
        <v>-37.6</v>
      </c>
      <c r="AJ61" s="248"/>
      <c r="AK61" s="1816">
        <f>ROUND(IF(AF61=0,0,AI61/ABS(AF61)),3)</f>
        <v>-0.16600000000000001</v>
      </c>
    </row>
    <row r="62" spans="1:37" ht="15" customHeight="1">
      <c r="A62" s="223"/>
      <c r="B62" s="1784" t="s">
        <v>1219</v>
      </c>
      <c r="C62" s="223"/>
      <c r="D62" s="1336">
        <f>'Exhibit G state'!D61</f>
        <v>78.400000000000006</v>
      </c>
      <c r="F62" s="1336"/>
      <c r="H62" s="1336"/>
      <c r="J62" s="1336"/>
      <c r="L62" s="1313"/>
      <c r="N62" s="1313"/>
      <c r="P62" s="1313"/>
      <c r="R62" s="1313"/>
      <c r="T62" s="2082"/>
      <c r="V62" s="2082"/>
      <c r="X62" s="2082"/>
      <c r="Z62" s="2082"/>
      <c r="AA62" s="261"/>
      <c r="AB62" s="250"/>
      <c r="AC62" s="1159">
        <f t="shared" si="9"/>
        <v>78.400000000000006</v>
      </c>
      <c r="AD62" s="261"/>
      <c r="AE62" s="250"/>
      <c r="AF62" s="515">
        <f>+'Exhibit G state'!AH61</f>
        <v>94.5</v>
      </c>
      <c r="AG62" s="518"/>
      <c r="AH62" s="249"/>
      <c r="AI62" s="1159">
        <f>ROUND(SUM(+AC62-AF62),1)</f>
        <v>-16.100000000000001</v>
      </c>
      <c r="AJ62" s="248"/>
      <c r="AK62" s="1816">
        <f>ROUND(IF(AF62=0,0,AI62/ABS(AF62)),3)</f>
        <v>-0.17</v>
      </c>
    </row>
    <row r="63" spans="1:37" ht="15" customHeight="1">
      <c r="A63" s="223"/>
      <c r="B63" s="1784" t="s">
        <v>1175</v>
      </c>
      <c r="C63" s="223"/>
      <c r="D63" s="1336">
        <f>'Exhibit G state'!D62+'Exhibit G Federal'!D32</f>
        <v>2.8000000000000003</v>
      </c>
      <c r="F63" s="1336"/>
      <c r="H63" s="1336"/>
      <c r="J63" s="1336"/>
      <c r="L63" s="1313"/>
      <c r="N63" s="1313"/>
      <c r="P63" s="1313"/>
      <c r="R63" s="1313"/>
      <c r="T63" s="2082"/>
      <c r="V63" s="2082"/>
      <c r="X63" s="2082"/>
      <c r="Z63" s="2082"/>
      <c r="AA63" s="261"/>
      <c r="AB63" s="250"/>
      <c r="AC63" s="1159">
        <f t="shared" si="9"/>
        <v>2.8</v>
      </c>
      <c r="AD63" s="261"/>
      <c r="AE63" s="250"/>
      <c r="AF63" s="515">
        <f>+'Exhibit G state'!AH62+'Exhibit G Federal'!AH32</f>
        <v>2.4</v>
      </c>
      <c r="AG63" s="518"/>
      <c r="AH63" s="249"/>
      <c r="AI63" s="1159">
        <f>ROUND(SUM(+AC63-AF63),1)</f>
        <v>0.4</v>
      </c>
      <c r="AJ63" s="248"/>
      <c r="AK63" s="1816">
        <f>ROUND(IF(AF63=0,0,AI63/ABS(AF63)),3)</f>
        <v>0.16700000000000001</v>
      </c>
    </row>
    <row r="64" spans="1:37" ht="15" customHeight="1">
      <c r="A64" s="223"/>
      <c r="B64" s="1784" t="s">
        <v>1305</v>
      </c>
      <c r="C64" s="223"/>
      <c r="D64" s="1336"/>
      <c r="F64" s="1336"/>
      <c r="H64" s="1336"/>
      <c r="J64" s="1313"/>
      <c r="L64" s="1313"/>
      <c r="N64" s="1336"/>
      <c r="P64" s="1313"/>
      <c r="R64" s="1313"/>
      <c r="T64" s="2082"/>
      <c r="V64" s="2082"/>
      <c r="X64" s="2082"/>
      <c r="Z64" s="2082"/>
      <c r="AA64" s="261"/>
      <c r="AB64" s="250"/>
      <c r="AC64" s="1159"/>
      <c r="AD64" s="261"/>
      <c r="AE64" s="250"/>
      <c r="AF64" s="515"/>
      <c r="AG64" s="518"/>
      <c r="AH64" s="249"/>
      <c r="AI64" s="1159"/>
      <c r="AJ64" s="248"/>
      <c r="AK64" s="1884"/>
    </row>
    <row r="65" spans="1:37" ht="15" customHeight="1">
      <c r="A65" s="223"/>
      <c r="B65" s="1784" t="s">
        <v>1220</v>
      </c>
      <c r="C65" s="223"/>
      <c r="D65" s="1336">
        <f>'Exhibit G state'!D64+'Exhibit G Federal'!D34</f>
        <v>0</v>
      </c>
      <c r="F65" s="1336"/>
      <c r="H65" s="1336"/>
      <c r="J65" s="1336"/>
      <c r="L65" s="1313"/>
      <c r="N65" s="1313"/>
      <c r="P65" s="1313"/>
      <c r="R65" s="1313"/>
      <c r="T65" s="2082"/>
      <c r="V65" s="2082"/>
      <c r="X65" s="2082"/>
      <c r="Z65" s="2082"/>
      <c r="AA65" s="261"/>
      <c r="AB65" s="250"/>
      <c r="AC65" s="1159">
        <f t="shared" si="9"/>
        <v>0</v>
      </c>
      <c r="AD65" s="261"/>
      <c r="AE65" s="250"/>
      <c r="AF65" s="515">
        <f>+'Exhibit G state'!AH64+'Exhibit G Federal'!AH34</f>
        <v>0</v>
      </c>
      <c r="AG65" s="518"/>
      <c r="AH65" s="249"/>
      <c r="AI65" s="1159">
        <f t="shared" ref="AI65:AI70" si="12">ROUND(SUM(+AC65-AF65),1)</f>
        <v>0</v>
      </c>
      <c r="AJ65" s="248"/>
      <c r="AK65" s="1816">
        <f t="shared" ref="AK65:AK70" si="13">ROUND(IF(AF65=0,0,AI65/ABS(AF65)),3)</f>
        <v>0</v>
      </c>
    </row>
    <row r="66" spans="1:37" ht="15" customHeight="1">
      <c r="A66" s="223"/>
      <c r="B66" s="1784" t="s">
        <v>1221</v>
      </c>
      <c r="C66" s="223"/>
      <c r="D66" s="1336">
        <f>'Exhibit G state'!D65+'Exhibit G Federal'!D35</f>
        <v>0</v>
      </c>
      <c r="F66" s="1336"/>
      <c r="H66" s="1336"/>
      <c r="J66" s="1336"/>
      <c r="L66" s="1313"/>
      <c r="N66" s="1313"/>
      <c r="P66" s="1313"/>
      <c r="R66" s="1313"/>
      <c r="T66" s="2082"/>
      <c r="V66" s="2082"/>
      <c r="X66" s="2082"/>
      <c r="Z66" s="2082"/>
      <c r="AA66" s="261"/>
      <c r="AB66" s="250"/>
      <c r="AC66" s="1159">
        <f t="shared" si="9"/>
        <v>0</v>
      </c>
      <c r="AD66" s="261"/>
      <c r="AE66" s="250"/>
      <c r="AF66" s="515">
        <f>+'Exhibit G state'!AH65+'Exhibit G Federal'!AH35</f>
        <v>0</v>
      </c>
      <c r="AG66" s="518"/>
      <c r="AH66" s="249"/>
      <c r="AI66" s="1159">
        <f t="shared" si="12"/>
        <v>0</v>
      </c>
      <c r="AJ66" s="248"/>
      <c r="AK66" s="1816">
        <f t="shared" si="13"/>
        <v>0</v>
      </c>
    </row>
    <row r="67" spans="1:37" ht="15" customHeight="1">
      <c r="A67" s="223"/>
      <c r="B67" s="1784" t="s">
        <v>1222</v>
      </c>
      <c r="C67" s="223"/>
      <c r="D67" s="1336">
        <f>'Exhibit G state'!D66+'Exhibit G Federal'!D36</f>
        <v>7.2</v>
      </c>
      <c r="F67" s="1336"/>
      <c r="H67" s="1336"/>
      <c r="J67" s="1336"/>
      <c r="L67" s="1313"/>
      <c r="N67" s="1313"/>
      <c r="P67" s="1313"/>
      <c r="R67" s="1313"/>
      <c r="T67" s="2082"/>
      <c r="V67" s="2082"/>
      <c r="X67" s="2082"/>
      <c r="Z67" s="2082"/>
      <c r="AA67" s="261"/>
      <c r="AB67" s="250"/>
      <c r="AC67" s="1159">
        <f t="shared" si="9"/>
        <v>7.2</v>
      </c>
      <c r="AD67" s="261"/>
      <c r="AE67" s="250"/>
      <c r="AF67" s="515">
        <f>+'Exhibit G state'!AH66+'Exhibit G Federal'!AH36</f>
        <v>0.2</v>
      </c>
      <c r="AG67" s="518"/>
      <c r="AH67" s="249"/>
      <c r="AI67" s="1159">
        <f t="shared" si="12"/>
        <v>7</v>
      </c>
      <c r="AJ67" s="248"/>
      <c r="AK67" s="2709">
        <f t="shared" si="13"/>
        <v>35</v>
      </c>
    </row>
    <row r="68" spans="1:37" ht="15" customHeight="1">
      <c r="A68" s="223"/>
      <c r="B68" s="1784" t="s">
        <v>1223</v>
      </c>
      <c r="C68" s="223"/>
      <c r="D68" s="1336">
        <f>'Exhibit G state'!D67+'Exhibit G Federal'!D37</f>
        <v>0.9</v>
      </c>
      <c r="F68" s="1336"/>
      <c r="H68" s="1336"/>
      <c r="J68" s="1336"/>
      <c r="L68" s="1313"/>
      <c r="N68" s="1313"/>
      <c r="P68" s="1313"/>
      <c r="R68" s="1313"/>
      <c r="T68" s="2082"/>
      <c r="V68" s="2082"/>
      <c r="X68" s="2082"/>
      <c r="Z68" s="2082"/>
      <c r="AA68" s="261"/>
      <c r="AB68" s="250"/>
      <c r="AC68" s="1159">
        <f t="shared" si="9"/>
        <v>0.9</v>
      </c>
      <c r="AD68" s="261"/>
      <c r="AE68" s="250"/>
      <c r="AF68" s="515">
        <f>+'Exhibit G state'!AH67+'Exhibit G Federal'!AH37</f>
        <v>0.2</v>
      </c>
      <c r="AG68" s="518"/>
      <c r="AH68" s="249"/>
      <c r="AI68" s="1159">
        <f t="shared" si="12"/>
        <v>0.7</v>
      </c>
      <c r="AJ68" s="248"/>
      <c r="AK68" s="1816">
        <f t="shared" si="13"/>
        <v>3.5</v>
      </c>
    </row>
    <row r="69" spans="1:37" ht="15" customHeight="1">
      <c r="A69" s="223"/>
      <c r="B69" s="1784" t="s">
        <v>1193</v>
      </c>
      <c r="C69" s="223"/>
      <c r="D69" s="1336">
        <f>'Exhibit G state'!D68+'Exhibit G Federal'!D38</f>
        <v>58.4</v>
      </c>
      <c r="F69" s="1336"/>
      <c r="H69" s="1336"/>
      <c r="J69" s="1336"/>
      <c r="L69" s="1313"/>
      <c r="N69" s="1313"/>
      <c r="P69" s="1313"/>
      <c r="R69" s="1313"/>
      <c r="T69" s="2082"/>
      <c r="V69" s="2082"/>
      <c r="X69" s="2082"/>
      <c r="Z69" s="2082"/>
      <c r="AA69" s="261"/>
      <c r="AB69" s="250"/>
      <c r="AC69" s="1159">
        <f t="shared" si="9"/>
        <v>58.4</v>
      </c>
      <c r="AD69" s="261"/>
      <c r="AE69" s="250"/>
      <c r="AF69" s="515">
        <f>+'Exhibit G state'!AH68+'Exhibit G Federal'!AH38</f>
        <v>39.700000000000003</v>
      </c>
      <c r="AG69" s="518"/>
      <c r="AH69" s="249"/>
      <c r="AI69" s="1159">
        <f t="shared" si="12"/>
        <v>18.7</v>
      </c>
      <c r="AJ69" s="248"/>
      <c r="AK69" s="1816">
        <f t="shared" si="13"/>
        <v>0.47099999999999997</v>
      </c>
    </row>
    <row r="70" spans="1:37" ht="15" customHeight="1">
      <c r="A70" s="223"/>
      <c r="B70" s="1784" t="s">
        <v>1194</v>
      </c>
      <c r="C70" s="223"/>
      <c r="D70" s="1336">
        <f>'Exhibit G state'!D69+'Exhibit G Federal'!D39</f>
        <v>55.3</v>
      </c>
      <c r="F70" s="1336"/>
      <c r="H70" s="1336"/>
      <c r="J70" s="1336"/>
      <c r="L70" s="1313"/>
      <c r="N70" s="1313"/>
      <c r="P70" s="1313"/>
      <c r="R70" s="1313"/>
      <c r="T70" s="2082"/>
      <c r="V70" s="2082"/>
      <c r="X70" s="2082"/>
      <c r="Z70" s="2082"/>
      <c r="AA70" s="261"/>
      <c r="AB70" s="250"/>
      <c r="AC70" s="1159">
        <f t="shared" si="9"/>
        <v>55.3</v>
      </c>
      <c r="AD70" s="261"/>
      <c r="AE70" s="250"/>
      <c r="AF70" s="515">
        <f>+'Exhibit G state'!AH69+'Exhibit G Federal'!AH39</f>
        <v>33.799999999999997</v>
      </c>
      <c r="AG70" s="518"/>
      <c r="AH70" s="249"/>
      <c r="AI70" s="1159">
        <f t="shared" si="12"/>
        <v>21.5</v>
      </c>
      <c r="AJ70" s="248"/>
      <c r="AK70" s="2709">
        <f t="shared" si="13"/>
        <v>0.63600000000000001</v>
      </c>
    </row>
    <row r="71" spans="1:37" ht="15" customHeight="1">
      <c r="A71" s="223"/>
      <c r="B71" s="1784" t="s">
        <v>1306</v>
      </c>
      <c r="C71" s="223"/>
      <c r="D71" s="1336"/>
      <c r="F71" s="1336"/>
      <c r="H71" s="1336"/>
      <c r="J71" s="1313"/>
      <c r="L71" s="1313"/>
      <c r="N71" s="1336"/>
      <c r="P71" s="1313"/>
      <c r="R71" s="261"/>
      <c r="T71" s="2082"/>
      <c r="V71" s="2082"/>
      <c r="X71" s="2082"/>
      <c r="Z71" s="2082"/>
      <c r="AA71" s="261"/>
      <c r="AB71" s="250"/>
      <c r="AC71" s="1159"/>
      <c r="AD71" s="261"/>
      <c r="AE71" s="250"/>
      <c r="AF71" s="515"/>
      <c r="AG71" s="518"/>
      <c r="AH71" s="249"/>
      <c r="AI71" s="1159"/>
      <c r="AJ71" s="248"/>
      <c r="AK71" s="1884"/>
    </row>
    <row r="72" spans="1:37" ht="15" customHeight="1">
      <c r="A72" s="223"/>
      <c r="B72" s="1784" t="s">
        <v>1224</v>
      </c>
      <c r="C72" s="223"/>
      <c r="D72" s="1336">
        <f>'Exhibit G state'!D71+'Exhibit G Federal'!D41</f>
        <v>0.4</v>
      </c>
      <c r="F72" s="1336"/>
      <c r="H72" s="1336"/>
      <c r="J72" s="1336"/>
      <c r="L72" s="1313"/>
      <c r="N72" s="1313"/>
      <c r="P72" s="1313"/>
      <c r="R72" s="1313"/>
      <c r="T72" s="2082"/>
      <c r="V72" s="2082"/>
      <c r="X72" s="2082"/>
      <c r="Z72" s="2082"/>
      <c r="AA72" s="261"/>
      <c r="AB72" s="250"/>
      <c r="AC72" s="1787">
        <f t="shared" si="9"/>
        <v>0.4</v>
      </c>
      <c r="AD72" s="261"/>
      <c r="AE72" s="250"/>
      <c r="AF72" s="515">
        <f>+'Exhibit G state'!AH71+'Exhibit G Federal'!AH41</f>
        <v>0.7</v>
      </c>
      <c r="AG72" s="518"/>
      <c r="AH72" s="249"/>
      <c r="AI72" s="1159">
        <f t="shared" ref="AI72:AI82" si="14">ROUND(SUM(+AC72-AF72),1)</f>
        <v>-0.3</v>
      </c>
      <c r="AJ72" s="248"/>
      <c r="AK72" s="1816">
        <f t="shared" ref="AK72:AK77" si="15">ROUND(IF(AF72=0,0,AI72/ABS(AF72)),3)</f>
        <v>-0.42899999999999999</v>
      </c>
    </row>
    <row r="73" spans="1:37" ht="15" customHeight="1">
      <c r="A73" s="223"/>
      <c r="B73" s="1784" t="s">
        <v>1225</v>
      </c>
      <c r="C73" s="223"/>
      <c r="D73" s="1336">
        <f>'Exhibit G state'!D72+'Exhibit G Federal'!D42</f>
        <v>0.2</v>
      </c>
      <c r="F73" s="1336"/>
      <c r="H73" s="1336"/>
      <c r="J73" s="1336"/>
      <c r="L73" s="1313"/>
      <c r="N73" s="1313"/>
      <c r="P73" s="1313"/>
      <c r="R73" s="1313"/>
      <c r="T73" s="2082"/>
      <c r="V73" s="2082"/>
      <c r="X73" s="2082"/>
      <c r="Z73" s="2082"/>
      <c r="AA73" s="261"/>
      <c r="AB73" s="250"/>
      <c r="AC73" s="1159">
        <f t="shared" si="9"/>
        <v>0.2</v>
      </c>
      <c r="AD73" s="261"/>
      <c r="AE73" s="250"/>
      <c r="AF73" s="515">
        <f>+'Exhibit G state'!AH72+'Exhibit G Federal'!AH42</f>
        <v>0.1</v>
      </c>
      <c r="AG73" s="518"/>
      <c r="AH73" s="249"/>
      <c r="AI73" s="1159">
        <f t="shared" si="14"/>
        <v>0.1</v>
      </c>
      <c r="AJ73" s="248"/>
      <c r="AK73" s="1816">
        <f t="shared" si="15"/>
        <v>1</v>
      </c>
    </row>
    <row r="74" spans="1:37" ht="15" customHeight="1">
      <c r="A74" s="223"/>
      <c r="B74" s="1784" t="s">
        <v>1226</v>
      </c>
      <c r="C74" s="223"/>
      <c r="D74" s="1336">
        <f>'Exhibit G state'!D73+'Exhibit G Federal'!D43</f>
        <v>0.9</v>
      </c>
      <c r="F74" s="1336"/>
      <c r="H74" s="1336"/>
      <c r="J74" s="1336"/>
      <c r="L74" s="1313"/>
      <c r="N74" s="1313"/>
      <c r="P74" s="1313"/>
      <c r="R74" s="1313"/>
      <c r="T74" s="2082"/>
      <c r="V74" s="2082"/>
      <c r="X74" s="2082"/>
      <c r="Z74" s="2082"/>
      <c r="AA74" s="261"/>
      <c r="AB74" s="250"/>
      <c r="AC74" s="1159">
        <f t="shared" si="9"/>
        <v>0.9</v>
      </c>
      <c r="AD74" s="261"/>
      <c r="AE74" s="250"/>
      <c r="AF74" s="515">
        <f>+'Exhibit G state'!AH73+'Exhibit G Federal'!AH43</f>
        <v>0.9</v>
      </c>
      <c r="AG74" s="518"/>
      <c r="AH74" s="249"/>
      <c r="AI74" s="1159">
        <f t="shared" si="14"/>
        <v>0</v>
      </c>
      <c r="AJ74" s="248"/>
      <c r="AK74" s="1816">
        <f t="shared" si="15"/>
        <v>0</v>
      </c>
    </row>
    <row r="75" spans="1:37" ht="15" customHeight="1">
      <c r="A75" s="223"/>
      <c r="B75" s="1784" t="s">
        <v>1227</v>
      </c>
      <c r="C75" s="223"/>
      <c r="D75" s="1336">
        <v>0</v>
      </c>
      <c r="F75" s="1336"/>
      <c r="H75" s="1336"/>
      <c r="J75" s="1336"/>
      <c r="L75" s="1313"/>
      <c r="N75" s="1313"/>
      <c r="P75" s="1313"/>
      <c r="R75" s="1313"/>
      <c r="T75" s="2082"/>
      <c r="V75" s="2082"/>
      <c r="X75" s="2082"/>
      <c r="Z75" s="2082"/>
      <c r="AA75" s="261"/>
      <c r="AB75" s="250"/>
      <c r="AC75" s="1159">
        <f t="shared" si="9"/>
        <v>0</v>
      </c>
      <c r="AD75" s="261"/>
      <c r="AE75" s="250"/>
      <c r="AF75" s="515">
        <f>+'Exhibit G state'!AH74+'Exhibit G Federal'!AH44</f>
        <v>0</v>
      </c>
      <c r="AG75" s="518"/>
      <c r="AH75" s="249"/>
      <c r="AI75" s="1159">
        <f t="shared" si="14"/>
        <v>0</v>
      </c>
      <c r="AJ75" s="248"/>
      <c r="AK75" s="2741">
        <f t="shared" si="15"/>
        <v>0</v>
      </c>
    </row>
    <row r="76" spans="1:37" ht="15" customHeight="1">
      <c r="A76" s="223"/>
      <c r="B76" s="1784" t="s">
        <v>1228</v>
      </c>
      <c r="C76" s="223"/>
      <c r="D76" s="1336">
        <f>'Exhibit G state'!D75+'Exhibit G Federal'!D45</f>
        <v>145.80000000000001</v>
      </c>
      <c r="F76" s="1336"/>
      <c r="H76" s="1336"/>
      <c r="J76" s="1336"/>
      <c r="L76" s="1313"/>
      <c r="N76" s="1313"/>
      <c r="P76" s="1313"/>
      <c r="R76" s="1313"/>
      <c r="T76" s="2082"/>
      <c r="V76" s="2082"/>
      <c r="X76" s="2082"/>
      <c r="Z76" s="2082"/>
      <c r="AA76" s="261"/>
      <c r="AB76" s="250"/>
      <c r="AC76" s="1159">
        <f t="shared" si="9"/>
        <v>145.80000000000001</v>
      </c>
      <c r="AD76" s="261"/>
      <c r="AE76" s="250"/>
      <c r="AF76" s="515">
        <f>+'Exhibit G state'!AH75+'Exhibit G Federal'!AH45</f>
        <v>-747.8</v>
      </c>
      <c r="AG76" s="518"/>
      <c r="AH76" s="249"/>
      <c r="AI76" s="1159">
        <f t="shared" si="14"/>
        <v>893.6</v>
      </c>
      <c r="AJ76" s="248"/>
      <c r="AK76" s="1816">
        <f t="shared" si="15"/>
        <v>1.1950000000000001</v>
      </c>
    </row>
    <row r="77" spans="1:37" ht="15" customHeight="1">
      <c r="A77" s="223"/>
      <c r="B77" s="1784" t="s">
        <v>1229</v>
      </c>
      <c r="C77" s="223"/>
      <c r="D77" s="1336">
        <f>'Exhibit G state'!D76+'Exhibit G Federal'!D46</f>
        <v>11</v>
      </c>
      <c r="F77" s="1336"/>
      <c r="H77" s="1336"/>
      <c r="J77" s="1336"/>
      <c r="L77" s="1313"/>
      <c r="N77" s="1313"/>
      <c r="P77" s="1313"/>
      <c r="R77" s="1313"/>
      <c r="T77" s="2082"/>
      <c r="V77" s="2082"/>
      <c r="X77" s="2082"/>
      <c r="Z77" s="2082"/>
      <c r="AA77" s="261"/>
      <c r="AB77" s="250"/>
      <c r="AC77" s="1787">
        <f t="shared" si="9"/>
        <v>11</v>
      </c>
      <c r="AD77" s="261"/>
      <c r="AE77" s="250"/>
      <c r="AF77" s="515">
        <f>+'Exhibit G state'!AH76+'Exhibit G Federal'!AH46</f>
        <v>11.2</v>
      </c>
      <c r="AG77" s="518"/>
      <c r="AH77" s="249"/>
      <c r="AI77" s="1159">
        <f t="shared" si="14"/>
        <v>-0.2</v>
      </c>
      <c r="AJ77" s="248"/>
      <c r="AK77" s="1816">
        <f t="shared" si="15"/>
        <v>-1.7999999999999999E-2</v>
      </c>
    </row>
    <row r="78" spans="1:37" ht="15" customHeight="1">
      <c r="A78" s="223"/>
      <c r="B78" s="1784" t="s">
        <v>1230</v>
      </c>
      <c r="C78" s="223"/>
      <c r="D78" s="1336">
        <f>'Exhibit G state'!D77+'Exhibit G Federal'!D47</f>
        <v>-1.2</v>
      </c>
      <c r="F78" s="1336"/>
      <c r="H78" s="1336"/>
      <c r="J78" s="1336"/>
      <c r="L78" s="1313"/>
      <c r="N78" s="1313"/>
      <c r="P78" s="1313"/>
      <c r="R78" s="1313"/>
      <c r="T78" s="2082"/>
      <c r="V78" s="2082"/>
      <c r="X78" s="2082"/>
      <c r="Z78" s="2082"/>
      <c r="AA78" s="261"/>
      <c r="AB78" s="250"/>
      <c r="AC78" s="1159">
        <f t="shared" si="9"/>
        <v>-1.2</v>
      </c>
      <c r="AD78" s="261"/>
      <c r="AE78" s="250"/>
      <c r="AF78" s="515">
        <f>+'Exhibit G state'!AH77+'Exhibit G Federal'!AH47</f>
        <v>0.6</v>
      </c>
      <c r="AG78" s="518"/>
      <c r="AH78" s="249"/>
      <c r="AI78" s="1159">
        <f t="shared" si="14"/>
        <v>-1.8</v>
      </c>
      <c r="AJ78" s="248"/>
      <c r="AK78" s="2709">
        <f>ROUND(IF(AF78=0,1,AI78/ABS(AF78)),3)</f>
        <v>-3</v>
      </c>
    </row>
    <row r="79" spans="1:37" ht="15" customHeight="1">
      <c r="A79" s="223"/>
      <c r="B79" s="1784" t="s">
        <v>1231</v>
      </c>
      <c r="C79" s="223"/>
      <c r="D79" s="1336">
        <f>'Exhibit G state'!D78+'Exhibit G Federal'!D48</f>
        <v>8.1999999999999993</v>
      </c>
      <c r="F79" s="1336"/>
      <c r="H79" s="1336"/>
      <c r="J79" s="1336"/>
      <c r="L79" s="1313"/>
      <c r="N79" s="1313"/>
      <c r="P79" s="1313"/>
      <c r="R79" s="1313"/>
      <c r="T79" s="2082"/>
      <c r="V79" s="2082"/>
      <c r="X79" s="2082"/>
      <c r="Z79" s="2082"/>
      <c r="AA79" s="261"/>
      <c r="AB79" s="250"/>
      <c r="AC79" s="1159">
        <f t="shared" si="9"/>
        <v>8.1999999999999993</v>
      </c>
      <c r="AD79" s="261"/>
      <c r="AE79" s="250"/>
      <c r="AF79" s="515">
        <f>+'Exhibit G state'!AH78+'Exhibit G Federal'!AH48</f>
        <v>8.4</v>
      </c>
      <c r="AG79" s="518"/>
      <c r="AH79" s="249"/>
      <c r="AI79" s="1159">
        <f t="shared" si="14"/>
        <v>-0.2</v>
      </c>
      <c r="AJ79" s="248"/>
      <c r="AK79" s="1816">
        <f>ROUND(IF(AF79=0,0,AI79/ABS(AF79)),3)</f>
        <v>-2.4E-2</v>
      </c>
    </row>
    <row r="80" spans="1:37" ht="15" customHeight="1">
      <c r="A80" s="223"/>
      <c r="B80" s="1784" t="s">
        <v>1232</v>
      </c>
      <c r="C80" s="223"/>
      <c r="D80" s="1336">
        <f>'Exhibit G state'!D79+'Exhibit G Federal'!D49</f>
        <v>50.300000000000004</v>
      </c>
      <c r="F80" s="1336"/>
      <c r="H80" s="1336"/>
      <c r="J80" s="1336"/>
      <c r="L80" s="1313"/>
      <c r="N80" s="1313"/>
      <c r="P80" s="1313"/>
      <c r="R80" s="1313"/>
      <c r="T80" s="2082"/>
      <c r="V80" s="2082"/>
      <c r="X80" s="2082"/>
      <c r="Z80" s="2082"/>
      <c r="AA80" s="261"/>
      <c r="AB80" s="250"/>
      <c r="AC80" s="1159">
        <f t="shared" si="9"/>
        <v>50.3</v>
      </c>
      <c r="AD80" s="261"/>
      <c r="AE80" s="250"/>
      <c r="AF80" s="515">
        <f>+'Exhibit G state'!AH79+'Exhibit G Federal'!AH49</f>
        <v>6.4</v>
      </c>
      <c r="AG80" s="518"/>
      <c r="AH80" s="249"/>
      <c r="AI80" s="1159">
        <f t="shared" si="14"/>
        <v>43.9</v>
      </c>
      <c r="AJ80" s="248"/>
      <c r="AK80" s="2799">
        <f>ROUND(IF(AF80=0,0,AI80/ABS(AF80)),3)</f>
        <v>6.859</v>
      </c>
    </row>
    <row r="81" spans="1:44" ht="15" customHeight="1">
      <c r="A81" s="223"/>
      <c r="B81" s="1784" t="s">
        <v>1204</v>
      </c>
      <c r="C81" s="223"/>
      <c r="D81" s="1336">
        <f>'Exhibit G state'!D80+'Exhibit G Federal'!D50</f>
        <v>0.7</v>
      </c>
      <c r="F81" s="1336"/>
      <c r="H81" s="1336"/>
      <c r="J81" s="1336"/>
      <c r="L81" s="1313"/>
      <c r="N81" s="1313"/>
      <c r="P81" s="1313"/>
      <c r="R81" s="1313"/>
      <c r="T81" s="2082"/>
      <c r="V81" s="2082"/>
      <c r="X81" s="2082"/>
      <c r="Z81" s="2082"/>
      <c r="AA81" s="261"/>
      <c r="AB81" s="250"/>
      <c r="AC81" s="261">
        <f t="shared" si="9"/>
        <v>0.7</v>
      </c>
      <c r="AD81" s="261"/>
      <c r="AE81" s="250"/>
      <c r="AF81" s="515">
        <f>+'Exhibit G state'!AH80+'Exhibit G Federal'!AH50</f>
        <v>0.9</v>
      </c>
      <c r="AG81" s="518"/>
      <c r="AH81" s="249"/>
      <c r="AI81" s="1159">
        <f t="shared" si="14"/>
        <v>-0.2</v>
      </c>
      <c r="AJ81" s="248"/>
      <c r="AK81" s="1816">
        <f>ROUND(IF(AF81=0,0,AI81/ABS(AF81)),3)</f>
        <v>-0.222</v>
      </c>
    </row>
    <row r="82" spans="1:44" ht="15" customHeight="1">
      <c r="A82" s="223"/>
      <c r="B82" s="1784" t="s">
        <v>1205</v>
      </c>
      <c r="C82" s="223"/>
      <c r="D82" s="1336">
        <f>'Exhibit G state'!D81+'Exhibit G Federal'!D51</f>
        <v>54.7</v>
      </c>
      <c r="F82" s="1336"/>
      <c r="H82" s="1336"/>
      <c r="J82" s="1336"/>
      <c r="L82" s="1313"/>
      <c r="N82" s="1313"/>
      <c r="P82" s="1313"/>
      <c r="R82" s="1313"/>
      <c r="T82" s="2082"/>
      <c r="V82" s="2082"/>
      <c r="X82" s="2082"/>
      <c r="Z82" s="2082"/>
      <c r="AA82" s="261"/>
      <c r="AB82" s="250"/>
      <c r="AC82" s="261">
        <f t="shared" si="9"/>
        <v>54.7</v>
      </c>
      <c r="AD82" s="261"/>
      <c r="AE82" s="250"/>
      <c r="AF82" s="515">
        <f>+'Exhibit G state'!AH81+'Exhibit G Federal'!AH51</f>
        <v>125.2</v>
      </c>
      <c r="AG82" s="518"/>
      <c r="AH82" s="249"/>
      <c r="AI82" s="1159">
        <f t="shared" si="14"/>
        <v>-70.5</v>
      </c>
      <c r="AJ82" s="248"/>
      <c r="AK82" s="1816">
        <f>ROUND(IF(AF82=0,0,AI82/ABS(AF82)),3)</f>
        <v>-0.56299999999999994</v>
      </c>
    </row>
    <row r="83" spans="1:44" s="412" customFormat="1" ht="15" customHeight="1">
      <c r="A83" s="221"/>
      <c r="B83" s="588" t="s">
        <v>1411</v>
      </c>
      <c r="C83" s="221"/>
      <c r="D83" s="483">
        <f>ROUND(SUM(D45:D82),1)</f>
        <v>1291.3</v>
      </c>
      <c r="E83"/>
      <c r="F83" s="483">
        <f t="shared" ref="F83:X83" si="16">ROUND(SUM(F45:F82),1)</f>
        <v>0</v>
      </c>
      <c r="G83"/>
      <c r="H83" s="483">
        <f t="shared" si="16"/>
        <v>0</v>
      </c>
      <c r="I83"/>
      <c r="J83" s="483">
        <f t="shared" si="16"/>
        <v>0</v>
      </c>
      <c r="K83"/>
      <c r="L83" s="483">
        <f t="shared" si="16"/>
        <v>0</v>
      </c>
      <c r="M83"/>
      <c r="N83" s="483">
        <f t="shared" si="16"/>
        <v>0</v>
      </c>
      <c r="O83"/>
      <c r="P83" s="483">
        <f t="shared" si="16"/>
        <v>0</v>
      </c>
      <c r="Q83"/>
      <c r="R83" s="483">
        <f t="shared" si="16"/>
        <v>0</v>
      </c>
      <c r="S83"/>
      <c r="T83" s="483">
        <f t="shared" si="16"/>
        <v>0</v>
      </c>
      <c r="U83"/>
      <c r="V83" s="483">
        <f t="shared" si="16"/>
        <v>0</v>
      </c>
      <c r="W83"/>
      <c r="X83" s="483">
        <f t="shared" si="16"/>
        <v>0</v>
      </c>
      <c r="Y83"/>
      <c r="Z83" s="483">
        <f>ROUND(SUM(Z45:Z82),1)</f>
        <v>0</v>
      </c>
      <c r="AA83" s="1838"/>
      <c r="AB83" s="259"/>
      <c r="AC83" s="483">
        <f>ROUND(SUM(AC45:AC82),1)</f>
        <v>1291.3</v>
      </c>
      <c r="AD83" s="1838"/>
      <c r="AE83" s="259"/>
      <c r="AF83" s="483">
        <f>ROUND(SUM(AF45:AF82),1)</f>
        <v>451.1</v>
      </c>
      <c r="AG83" s="521"/>
      <c r="AH83" s="273"/>
      <c r="AI83" s="483">
        <f>ROUND(SUM(AI45:AI82),1)</f>
        <v>840.2</v>
      </c>
      <c r="AJ83" s="1012"/>
      <c r="AK83" s="2053">
        <f>ROUND(SUM(+AI83/AF83),3)</f>
        <v>1.863</v>
      </c>
    </row>
    <row r="84" spans="1:44" ht="15" customHeight="1">
      <c r="A84" s="223"/>
      <c r="B84" s="1674"/>
      <c r="C84" s="223"/>
      <c r="D84" s="1159"/>
      <c r="F84" s="261"/>
      <c r="H84" s="261"/>
      <c r="J84" s="261"/>
      <c r="L84" s="261"/>
      <c r="N84" s="274"/>
      <c r="P84" s="274"/>
      <c r="R84" s="274"/>
      <c r="T84" s="274"/>
      <c r="V84" s="274"/>
      <c r="X84" s="274"/>
      <c r="Z84" s="517"/>
      <c r="AA84" s="261"/>
      <c r="AB84" s="250"/>
      <c r="AC84" s="261"/>
      <c r="AD84" s="261"/>
      <c r="AE84" s="250"/>
      <c r="AF84" s="261"/>
      <c r="AG84" s="514"/>
      <c r="AH84" s="249"/>
      <c r="AI84" s="1159"/>
      <c r="AJ84" s="248"/>
      <c r="AK84" s="1884"/>
    </row>
    <row r="85" spans="1:44" ht="15" customHeight="1">
      <c r="A85" s="223"/>
      <c r="B85" s="519" t="s">
        <v>155</v>
      </c>
      <c r="C85" s="223"/>
      <c r="D85" s="1313">
        <f>+'Exhibit G state'!D84+'Exhibit G Federal'!D54</f>
        <v>3149.5</v>
      </c>
      <c r="F85" s="1313"/>
      <c r="H85" s="1313"/>
      <c r="J85" s="1313"/>
      <c r="L85" s="1313"/>
      <c r="N85" s="1313"/>
      <c r="P85" s="1313"/>
      <c r="R85" s="1313"/>
      <c r="T85" s="2082"/>
      <c r="V85" s="2082"/>
      <c r="X85" s="2082"/>
      <c r="Z85" s="2082"/>
      <c r="AA85" s="261"/>
      <c r="AB85" s="250"/>
      <c r="AC85" s="261">
        <f t="shared" si="9"/>
        <v>3149.5</v>
      </c>
      <c r="AD85" s="261"/>
      <c r="AE85" s="250"/>
      <c r="AF85" s="515">
        <f>'Exhibit G state'!AH84+'Exhibit G Federal'!AH54</f>
        <v>1629</v>
      </c>
      <c r="AG85" s="514"/>
      <c r="AH85" s="249"/>
      <c r="AI85" s="1860">
        <f>ROUND(SUM(+AC85-AF85),1)</f>
        <v>1520.5</v>
      </c>
      <c r="AJ85" s="998"/>
      <c r="AK85" s="1816">
        <f>ROUND(IF(AF85=0,0,AI85/ABS(AF85)),3)</f>
        <v>0.93300000000000005</v>
      </c>
    </row>
    <row r="86" spans="1:44" ht="15" customHeight="1">
      <c r="A86" s="223"/>
      <c r="B86" s="223"/>
      <c r="C86" s="223"/>
      <c r="D86" s="288"/>
      <c r="F86" s="288"/>
      <c r="H86" s="288"/>
      <c r="J86" s="288"/>
      <c r="L86" s="288"/>
      <c r="N86" s="288"/>
      <c r="P86" s="288"/>
      <c r="R86" s="288"/>
      <c r="T86" s="288"/>
      <c r="V86" s="288"/>
      <c r="X86" s="288"/>
      <c r="Z86" s="288"/>
      <c r="AA86" s="261"/>
      <c r="AB86" s="250"/>
      <c r="AC86" s="288"/>
      <c r="AD86" s="261"/>
      <c r="AE86" s="250"/>
      <c r="AF86" s="288"/>
      <c r="AG86" s="514"/>
      <c r="AH86" s="249"/>
      <c r="AI86" s="2676"/>
      <c r="AK86" s="2681"/>
    </row>
    <row r="87" spans="1:44" ht="15" customHeight="1">
      <c r="A87" s="223"/>
      <c r="B87" s="221" t="s">
        <v>156</v>
      </c>
      <c r="C87" s="223"/>
      <c r="D87" s="1838">
        <f>ROUND(SUM(D85+D83+D41),1)</f>
        <v>4817.3999999999996</v>
      </c>
      <c r="F87" s="1838">
        <f t="shared" ref="F87:X87" si="17">ROUND(SUM(F85+F83+F41),1)</f>
        <v>0</v>
      </c>
      <c r="H87" s="1838">
        <f t="shared" si="17"/>
        <v>0</v>
      </c>
      <c r="J87" s="1838">
        <f t="shared" si="17"/>
        <v>0</v>
      </c>
      <c r="L87" s="1838">
        <f t="shared" si="17"/>
        <v>0</v>
      </c>
      <c r="N87" s="1838">
        <f t="shared" si="17"/>
        <v>0</v>
      </c>
      <c r="P87" s="1838">
        <f t="shared" si="17"/>
        <v>0</v>
      </c>
      <c r="R87" s="1838">
        <f t="shared" si="17"/>
        <v>0</v>
      </c>
      <c r="T87" s="1838">
        <f t="shared" si="17"/>
        <v>0</v>
      </c>
      <c r="V87" s="1838">
        <f t="shared" si="17"/>
        <v>0</v>
      </c>
      <c r="X87" s="1838">
        <f t="shared" si="17"/>
        <v>0</v>
      </c>
      <c r="Z87" s="1838">
        <f>ROUND(SUM(Z85+Z83+Z41),1)</f>
        <v>0</v>
      </c>
      <c r="AA87" s="257"/>
      <c r="AB87" s="259"/>
      <c r="AC87" s="1838">
        <f>ROUND(SUM(AC85+AC83+AC41),1)</f>
        <v>4817.3999999999996</v>
      </c>
      <c r="AD87" s="257"/>
      <c r="AE87" s="259"/>
      <c r="AF87" s="1838">
        <f>ROUND(SUM(AF85+AF83+AF41),1)</f>
        <v>2479.6999999999998</v>
      </c>
      <c r="AG87" s="521"/>
      <c r="AH87" s="273"/>
      <c r="AI87" s="271">
        <f>ROUND(SUM(AI85+AI83+AI41),1)</f>
        <v>2337.6999999999998</v>
      </c>
      <c r="AJ87" s="523"/>
      <c r="AK87" s="1887">
        <f>ROUND(SUM(+AI87/AF87),3)</f>
        <v>0.94299999999999995</v>
      </c>
    </row>
    <row r="88" spans="1:44" ht="15" customHeight="1">
      <c r="A88" s="223"/>
      <c r="B88" s="223"/>
      <c r="C88" s="223"/>
      <c r="D88" s="288"/>
      <c r="F88" s="288"/>
      <c r="H88" s="288"/>
      <c r="J88" s="288"/>
      <c r="L88" s="288"/>
      <c r="N88" s="288"/>
      <c r="P88" s="288"/>
      <c r="R88" s="288"/>
      <c r="T88" s="288"/>
      <c r="V88" s="288"/>
      <c r="X88" s="288"/>
      <c r="Z88" s="288"/>
      <c r="AA88" s="261"/>
      <c r="AB88" s="250"/>
      <c r="AC88" s="288"/>
      <c r="AD88" s="261"/>
      <c r="AE88" s="250"/>
      <c r="AF88" s="288"/>
      <c r="AG88" s="514"/>
      <c r="AH88" s="249"/>
      <c r="AI88" s="1159"/>
      <c r="AK88" s="1884"/>
    </row>
    <row r="89" spans="1:44" ht="15" customHeight="1">
      <c r="A89" s="223"/>
      <c r="B89" s="375" t="s">
        <v>24</v>
      </c>
      <c r="C89" s="223"/>
      <c r="D89" s="261"/>
      <c r="F89" s="261"/>
      <c r="H89" s="261"/>
      <c r="J89" s="261"/>
      <c r="L89" s="261"/>
      <c r="N89" s="261"/>
      <c r="P89" s="261"/>
      <c r="R89" s="261"/>
      <c r="T89" s="261"/>
      <c r="V89" s="261"/>
      <c r="X89" s="261"/>
      <c r="Z89" s="261"/>
      <c r="AA89" s="261"/>
      <c r="AB89" s="250"/>
      <c r="AC89" s="261"/>
      <c r="AD89" s="1595"/>
      <c r="AE89" s="1592"/>
      <c r="AF89" s="261"/>
      <c r="AG89" s="514"/>
      <c r="AH89" s="249"/>
      <c r="AI89" s="1159"/>
      <c r="AK89" s="1884"/>
    </row>
    <row r="90" spans="1:44" ht="15" customHeight="1">
      <c r="A90" s="223"/>
      <c r="B90" s="1343" t="s">
        <v>157</v>
      </c>
      <c r="C90" s="223"/>
      <c r="D90" s="261"/>
      <c r="F90" s="274"/>
      <c r="H90" s="318"/>
      <c r="J90" s="318"/>
      <c r="L90" s="318"/>
      <c r="N90" s="274"/>
      <c r="P90" s="274"/>
      <c r="R90" s="274"/>
      <c r="T90" s="274"/>
      <c r="V90" s="274"/>
      <c r="X90" s="261"/>
      <c r="Z90" s="517"/>
      <c r="AA90" s="261"/>
      <c r="AB90" s="250"/>
      <c r="AC90" s="261"/>
      <c r="AD90" s="261"/>
      <c r="AE90" s="250"/>
      <c r="AF90" s="318"/>
      <c r="AG90" s="514"/>
      <c r="AH90" s="249"/>
      <c r="AI90" s="1159"/>
      <c r="AK90" s="1254"/>
    </row>
    <row r="91" spans="1:44" ht="15" customHeight="1">
      <c r="A91" s="223"/>
      <c r="B91" s="381" t="s">
        <v>26</v>
      </c>
      <c r="C91" s="223"/>
      <c r="D91" s="1313">
        <f>+'Exhibit G state'!D90+'Exhibit G Federal'!D60</f>
        <v>269.79999999999995</v>
      </c>
      <c r="F91" s="1313"/>
      <c r="H91" s="1313"/>
      <c r="J91" s="1313"/>
      <c r="L91" s="1313"/>
      <c r="N91" s="1313"/>
      <c r="P91" s="1313"/>
      <c r="R91" s="1313"/>
      <c r="T91" s="2082"/>
      <c r="V91" s="2082"/>
      <c r="X91" s="2082"/>
      <c r="Z91" s="2082"/>
      <c r="AA91" s="261"/>
      <c r="AB91" s="250"/>
      <c r="AC91" s="261">
        <f>ROUND(SUM(D91:Z91),1)</f>
        <v>269.8</v>
      </c>
      <c r="AD91" s="261"/>
      <c r="AE91" s="250"/>
      <c r="AF91" s="262">
        <f>'Exhibit G state'!AH90+'Exhibit G Federal'!AH60</f>
        <v>324.20000000000005</v>
      </c>
      <c r="AG91" s="514"/>
      <c r="AH91" s="249"/>
      <c r="AI91" s="1159">
        <f>ROUND(SUM(+AC91-AF91),1)</f>
        <v>-54.4</v>
      </c>
      <c r="AJ91" s="998"/>
      <c r="AK91" s="1816">
        <f>ROUND(IF(AF91=0,0,AI91/ABS(AF91)),3)</f>
        <v>-0.16800000000000001</v>
      </c>
      <c r="AQ91" s="341"/>
      <c r="AR91" s="474"/>
    </row>
    <row r="92" spans="1:44" ht="15" customHeight="1">
      <c r="A92" s="223"/>
      <c r="B92" s="381" t="s">
        <v>27</v>
      </c>
      <c r="C92" s="223"/>
      <c r="D92" s="1313">
        <f>+'Exhibit G state'!D91+'Exhibit G Federal'!D61</f>
        <v>0.6</v>
      </c>
      <c r="F92" s="1313"/>
      <c r="H92" s="1313"/>
      <c r="J92" s="1313"/>
      <c r="L92" s="1313"/>
      <c r="N92" s="1313"/>
      <c r="P92" s="1313"/>
      <c r="R92" s="1313"/>
      <c r="T92" s="2082"/>
      <c r="V92" s="2082"/>
      <c r="X92" s="2082"/>
      <c r="Z92" s="2082"/>
      <c r="AA92" s="261"/>
      <c r="AB92" s="250"/>
      <c r="AC92" s="261">
        <f>ROUND(SUM(D92:Z92),1)</f>
        <v>0.6</v>
      </c>
      <c r="AD92" s="261"/>
      <c r="AE92" s="250"/>
      <c r="AF92" s="262">
        <f>'Exhibit G state'!AH91+'Exhibit G Federal'!AH61</f>
        <v>0.3</v>
      </c>
      <c r="AG92" s="514"/>
      <c r="AH92" s="249"/>
      <c r="AI92" s="1159">
        <f>ROUND(SUM(+AC92-AF92),1)</f>
        <v>0.3</v>
      </c>
      <c r="AJ92" s="998"/>
      <c r="AK92" s="1816">
        <f>ROUND(IF(AF92=0,0,AI92/ABS(AF92)),3)</f>
        <v>1</v>
      </c>
      <c r="AQ92" s="474"/>
      <c r="AR92" s="474"/>
    </row>
    <row r="93" spans="1:44" ht="15" customHeight="1">
      <c r="A93" s="223"/>
      <c r="B93" s="381" t="s">
        <v>28</v>
      </c>
      <c r="C93" s="223"/>
      <c r="D93" s="1313">
        <f>+'Exhibit G state'!D92+'Exhibit G Federal'!D62</f>
        <v>10.5</v>
      </c>
      <c r="F93" s="1313"/>
      <c r="H93" s="1313"/>
      <c r="J93" s="1313"/>
      <c r="L93" s="1313"/>
      <c r="N93" s="1313"/>
      <c r="P93" s="1313"/>
      <c r="R93" s="1313"/>
      <c r="T93" s="2082"/>
      <c r="V93" s="2082"/>
      <c r="X93" s="2082"/>
      <c r="Z93" s="2082"/>
      <c r="AA93" s="261"/>
      <c r="AB93" s="250"/>
      <c r="AC93" s="261">
        <f>ROUND(SUM(D93:Z93),1)</f>
        <v>10.5</v>
      </c>
      <c r="AD93" s="261"/>
      <c r="AE93" s="250"/>
      <c r="AF93" s="262">
        <f>'Exhibit G state'!AH92+'Exhibit G Federal'!AH62</f>
        <v>12.700000000000001</v>
      </c>
      <c r="AG93" s="514"/>
      <c r="AH93" s="249"/>
      <c r="AI93" s="1159">
        <f>ROUND(SUM(+AC93-AF93),1)</f>
        <v>-2.2000000000000002</v>
      </c>
      <c r="AJ93" s="998"/>
      <c r="AK93" s="1816">
        <f>ROUND(IF(AF93=0,0,AI93/ABS(AF93)),3)</f>
        <v>-0.17299999999999999</v>
      </c>
      <c r="AQ93" s="474"/>
      <c r="AR93" s="474"/>
    </row>
    <row r="94" spans="1:44" ht="15" customHeight="1">
      <c r="A94" s="223"/>
      <c r="B94" s="381" t="s">
        <v>29</v>
      </c>
      <c r="C94" s="223"/>
      <c r="D94" s="249"/>
      <c r="F94" s="249"/>
      <c r="H94" s="249"/>
      <c r="J94" s="1313"/>
      <c r="L94" s="1313"/>
      <c r="N94" s="249"/>
      <c r="P94" s="261"/>
      <c r="R94" s="261"/>
      <c r="T94" s="249"/>
      <c r="V94" s="249"/>
      <c r="X94" s="2082"/>
      <c r="Z94" s="2082"/>
      <c r="AA94" s="261"/>
      <c r="AB94" s="250"/>
      <c r="AC94" s="261"/>
      <c r="AD94" s="261"/>
      <c r="AE94" s="250"/>
      <c r="AF94" s="262"/>
      <c r="AG94" s="514"/>
      <c r="AH94" s="249"/>
      <c r="AI94" s="1159" t="s">
        <v>16</v>
      </c>
      <c r="AJ94" s="1253" t="s">
        <v>16</v>
      </c>
      <c r="AK94" s="1254" t="s">
        <v>16</v>
      </c>
      <c r="AQ94" s="341"/>
      <c r="AR94" s="341"/>
    </row>
    <row r="95" spans="1:44" ht="15" customHeight="1">
      <c r="A95" s="223"/>
      <c r="B95" s="1675" t="s">
        <v>30</v>
      </c>
      <c r="C95" s="223"/>
      <c r="D95" s="1313">
        <f>+'Exhibit G state'!D94+'Exhibit G Federal'!D64</f>
        <v>2579</v>
      </c>
      <c r="F95" s="1313"/>
      <c r="H95" s="1313"/>
      <c r="J95" s="1313"/>
      <c r="L95" s="1313"/>
      <c r="N95" s="1313"/>
      <c r="P95" s="1313"/>
      <c r="R95" s="1313"/>
      <c r="T95" s="2082"/>
      <c r="V95" s="2082"/>
      <c r="X95" s="2082"/>
      <c r="Z95" s="2082"/>
      <c r="AA95" s="261"/>
      <c r="AB95" s="250"/>
      <c r="AC95" s="261">
        <f t="shared" ref="AC95:AC100" si="18">ROUND(SUM(D95:Z95),1)</f>
        <v>2579</v>
      </c>
      <c r="AD95" s="261"/>
      <c r="AE95" s="250"/>
      <c r="AF95" s="262">
        <f>'Exhibit G state'!AH94+'Exhibit G Federal'!AH64</f>
        <v>1967.5</v>
      </c>
      <c r="AG95" s="514"/>
      <c r="AH95" s="249"/>
      <c r="AI95" s="1159">
        <f t="shared" ref="AI95:AI100" si="19">ROUND(SUM(+AC95-AF95),1)</f>
        <v>611.5</v>
      </c>
      <c r="AJ95" s="998"/>
      <c r="AK95" s="1816">
        <f t="shared" ref="AK95:AK100" si="20">ROUND(IF(AF95=0,0,AI95/ABS(AF95)),3)</f>
        <v>0.311</v>
      </c>
      <c r="AQ95" s="341"/>
      <c r="AR95" s="341"/>
    </row>
    <row r="96" spans="1:44" ht="15" customHeight="1">
      <c r="A96" s="223"/>
      <c r="B96" s="381" t="s">
        <v>31</v>
      </c>
      <c r="C96" s="223"/>
      <c r="D96" s="1313">
        <f>+'Exhibit G state'!D95+'Exhibit G Federal'!D65</f>
        <v>570</v>
      </c>
      <c r="F96" s="1313"/>
      <c r="H96" s="1313"/>
      <c r="J96" s="1313"/>
      <c r="L96" s="1313"/>
      <c r="N96" s="1313"/>
      <c r="P96" s="1313"/>
      <c r="R96" s="1313"/>
      <c r="T96" s="2082"/>
      <c r="V96" s="2082"/>
      <c r="X96" s="2082"/>
      <c r="Z96" s="2082"/>
      <c r="AA96" s="261"/>
      <c r="AB96" s="250"/>
      <c r="AC96" s="261">
        <f t="shared" si="18"/>
        <v>570</v>
      </c>
      <c r="AD96" s="261"/>
      <c r="AE96" s="250"/>
      <c r="AF96" s="262">
        <f>'Exhibit G state'!AH95+'Exhibit G Federal'!AH65</f>
        <v>204.39999999999998</v>
      </c>
      <c r="AG96" s="514"/>
      <c r="AH96" s="249"/>
      <c r="AI96" s="1159">
        <f t="shared" si="19"/>
        <v>365.6</v>
      </c>
      <c r="AJ96" s="998"/>
      <c r="AK96" s="1816">
        <f t="shared" si="20"/>
        <v>1.7889999999999999</v>
      </c>
      <c r="AQ96" s="341"/>
      <c r="AR96" s="341"/>
    </row>
    <row r="97" spans="1:45" ht="15" customHeight="1">
      <c r="A97" s="223"/>
      <c r="B97" s="381" t="s">
        <v>32</v>
      </c>
      <c r="C97" s="223"/>
      <c r="D97" s="1313">
        <f>+'Exhibit G state'!D96+'Exhibit G Federal'!D66</f>
        <v>85</v>
      </c>
      <c r="F97" s="1313"/>
      <c r="H97" s="1313"/>
      <c r="J97" s="1313"/>
      <c r="L97" s="1313"/>
      <c r="N97" s="1313"/>
      <c r="P97" s="1313"/>
      <c r="R97" s="1313"/>
      <c r="T97" s="2082"/>
      <c r="V97" s="2082"/>
      <c r="X97" s="2082"/>
      <c r="Z97" s="2082"/>
      <c r="AA97" s="261"/>
      <c r="AB97" s="250"/>
      <c r="AC97" s="261">
        <f t="shared" si="18"/>
        <v>85</v>
      </c>
      <c r="AD97" s="261"/>
      <c r="AE97" s="250"/>
      <c r="AF97" s="262">
        <f>'Exhibit G state'!AH96+'Exhibit G Federal'!AH66</f>
        <v>168</v>
      </c>
      <c r="AG97" s="514"/>
      <c r="AH97" s="249"/>
      <c r="AI97" s="1159">
        <f t="shared" si="19"/>
        <v>-83</v>
      </c>
      <c r="AJ97" s="998"/>
      <c r="AK97" s="1816">
        <f t="shared" si="20"/>
        <v>-0.49399999999999999</v>
      </c>
      <c r="AQ97" s="341"/>
      <c r="AR97" s="341"/>
    </row>
    <row r="98" spans="1:45" ht="15" customHeight="1">
      <c r="A98" s="223"/>
      <c r="B98" s="381" t="s">
        <v>33</v>
      </c>
      <c r="C98" s="223"/>
      <c r="D98" s="1313">
        <f>+'Exhibit G state'!D97+'Exhibit G Federal'!D67</f>
        <v>247.20000000000002</v>
      </c>
      <c r="F98" s="1313"/>
      <c r="H98" s="1313"/>
      <c r="J98" s="1313"/>
      <c r="L98" s="1313"/>
      <c r="N98" s="1313"/>
      <c r="P98" s="1313"/>
      <c r="R98" s="1313"/>
      <c r="T98" s="2082"/>
      <c r="V98" s="2082"/>
      <c r="X98" s="2082"/>
      <c r="Z98" s="2082"/>
      <c r="AA98" s="261"/>
      <c r="AB98" s="250"/>
      <c r="AC98" s="261">
        <f t="shared" si="18"/>
        <v>247.2</v>
      </c>
      <c r="AD98" s="261"/>
      <c r="AE98" s="250"/>
      <c r="AF98" s="262">
        <f>'Exhibit G state'!AH97+'Exhibit G Federal'!AH67</f>
        <v>235.1</v>
      </c>
      <c r="AG98" s="514"/>
      <c r="AH98" s="249"/>
      <c r="AI98" s="1159">
        <f t="shared" si="19"/>
        <v>12.1</v>
      </c>
      <c r="AJ98" s="998"/>
      <c r="AK98" s="1816">
        <f t="shared" si="20"/>
        <v>5.0999999999999997E-2</v>
      </c>
      <c r="AQ98" s="341"/>
      <c r="AR98" s="341"/>
    </row>
    <row r="99" spans="1:45" ht="15" customHeight="1">
      <c r="A99" s="223"/>
      <c r="B99" s="381" t="s">
        <v>34</v>
      </c>
      <c r="C99" s="223"/>
      <c r="D99" s="1313">
        <f>+'Exhibit G state'!D98+'Exhibit G Federal'!D68</f>
        <v>0.1</v>
      </c>
      <c r="F99" s="1313"/>
      <c r="H99" s="1313"/>
      <c r="J99" s="1313"/>
      <c r="L99" s="1313"/>
      <c r="N99" s="1313"/>
      <c r="P99" s="1313"/>
      <c r="R99" s="1313"/>
      <c r="T99" s="2082"/>
      <c r="V99" s="2082"/>
      <c r="X99" s="2082"/>
      <c r="Z99" s="2082"/>
      <c r="AA99" s="261"/>
      <c r="AB99" s="250"/>
      <c r="AC99" s="261">
        <f t="shared" si="18"/>
        <v>0.1</v>
      </c>
      <c r="AD99" s="261"/>
      <c r="AE99" s="250"/>
      <c r="AF99" s="262">
        <f>'Exhibit G state'!AH98+'Exhibit G Federal'!AH68</f>
        <v>2.2999999999999998</v>
      </c>
      <c r="AG99" s="514"/>
      <c r="AH99" s="249"/>
      <c r="AI99" s="1159">
        <f t="shared" si="19"/>
        <v>-2.2000000000000002</v>
      </c>
      <c r="AJ99" s="998"/>
      <c r="AK99" s="1816">
        <f t="shared" si="20"/>
        <v>-0.95699999999999996</v>
      </c>
      <c r="AQ99" s="474"/>
      <c r="AR99" s="474"/>
    </row>
    <row r="100" spans="1:45" ht="15" customHeight="1">
      <c r="A100" s="223"/>
      <c r="B100" s="381" t="s">
        <v>35</v>
      </c>
      <c r="C100" s="223"/>
      <c r="D100" s="1313">
        <f>+'Exhibit G state'!D99+'Exhibit G Federal'!D69</f>
        <v>198.2</v>
      </c>
      <c r="F100" s="1313"/>
      <c r="H100" s="1313"/>
      <c r="J100" s="1313"/>
      <c r="L100" s="1313"/>
      <c r="N100" s="1313"/>
      <c r="P100" s="1313"/>
      <c r="R100" s="1313"/>
      <c r="T100" s="2082"/>
      <c r="V100" s="2082"/>
      <c r="X100" s="2082"/>
      <c r="Z100" s="2082"/>
      <c r="AA100" s="261"/>
      <c r="AB100" s="250"/>
      <c r="AC100" s="249">
        <f t="shared" si="18"/>
        <v>198.2</v>
      </c>
      <c r="AD100" s="261"/>
      <c r="AE100" s="250"/>
      <c r="AF100" s="262">
        <f>'Exhibit G state'!AH99+'Exhibit G Federal'!AH69</f>
        <v>127.5</v>
      </c>
      <c r="AG100" s="514"/>
      <c r="AH100" s="249"/>
      <c r="AI100" s="1860">
        <f t="shared" si="19"/>
        <v>70.7</v>
      </c>
      <c r="AJ100" s="998"/>
      <c r="AK100" s="2744">
        <f t="shared" si="20"/>
        <v>0.55500000000000005</v>
      </c>
      <c r="AL100" s="2797"/>
      <c r="AQ100" s="317"/>
      <c r="AR100" s="317"/>
      <c r="AS100" s="229"/>
    </row>
    <row r="101" spans="1:45" ht="15" customHeight="1">
      <c r="A101" s="223"/>
      <c r="B101" s="221" t="s">
        <v>1353</v>
      </c>
      <c r="C101" s="223"/>
      <c r="D101" s="256">
        <f>ROUND(SUM(D91:D100),1)</f>
        <v>3960.4</v>
      </c>
      <c r="F101" s="256">
        <f t="shared" ref="F101:X101" si="21">ROUND(SUM(F91:F100),1)</f>
        <v>0</v>
      </c>
      <c r="H101" s="256">
        <f t="shared" si="21"/>
        <v>0</v>
      </c>
      <c r="J101" s="256">
        <f t="shared" si="21"/>
        <v>0</v>
      </c>
      <c r="L101" s="256">
        <f t="shared" si="21"/>
        <v>0</v>
      </c>
      <c r="N101" s="256">
        <f t="shared" si="21"/>
        <v>0</v>
      </c>
      <c r="P101" s="256">
        <f t="shared" si="21"/>
        <v>0</v>
      </c>
      <c r="R101" s="256">
        <f t="shared" si="21"/>
        <v>0</v>
      </c>
      <c r="T101" s="256">
        <f t="shared" si="21"/>
        <v>0</v>
      </c>
      <c r="V101" s="256">
        <f t="shared" si="21"/>
        <v>0</v>
      </c>
      <c r="X101" s="256">
        <f t="shared" si="21"/>
        <v>0</v>
      </c>
      <c r="Z101" s="256">
        <f>ROUND(SUM(Z91:Z100),1)</f>
        <v>0</v>
      </c>
      <c r="AA101" s="257"/>
      <c r="AB101" s="259"/>
      <c r="AC101" s="256">
        <f>ROUND(SUM(AC91:AC100),1)</f>
        <v>3960.4</v>
      </c>
      <c r="AD101" s="257"/>
      <c r="AE101" s="259"/>
      <c r="AF101" s="526">
        <f>ROUND(SUM(AF91:AF100),1)</f>
        <v>3042</v>
      </c>
      <c r="AG101" s="521"/>
      <c r="AH101" s="273"/>
      <c r="AI101" s="256">
        <f>ROUND(SUM(AI91:AI100),1)</f>
        <v>918.4</v>
      </c>
      <c r="AJ101" s="368"/>
      <c r="AK101" s="1887">
        <f>ROUND(SUM(+AI101/AF101),3)</f>
        <v>0.30199999999999999</v>
      </c>
      <c r="AQ101" s="229"/>
      <c r="AR101" s="317"/>
      <c r="AS101" s="229"/>
    </row>
    <row r="102" spans="1:45" ht="15" customHeight="1">
      <c r="A102" s="223"/>
      <c r="B102" s="223" t="s">
        <v>176</v>
      </c>
      <c r="C102" s="223"/>
      <c r="D102" s="261"/>
      <c r="F102" s="261"/>
      <c r="H102" s="261"/>
      <c r="J102" s="261"/>
      <c r="L102" s="261"/>
      <c r="N102" s="261"/>
      <c r="P102" s="261"/>
      <c r="R102" s="261"/>
      <c r="T102" s="261"/>
      <c r="V102" s="261"/>
      <c r="X102" s="261"/>
      <c r="Z102" s="318"/>
      <c r="AA102" s="261"/>
      <c r="AB102" s="250"/>
      <c r="AC102" s="261"/>
      <c r="AD102" s="261"/>
      <c r="AE102" s="250"/>
      <c r="AF102" s="261"/>
      <c r="AG102" s="514"/>
      <c r="AH102" s="249"/>
      <c r="AI102" s="1159"/>
      <c r="AK102" s="1884"/>
      <c r="AR102" s="341"/>
    </row>
    <row r="103" spans="1:45" ht="15" customHeight="1">
      <c r="A103" s="223"/>
      <c r="B103" s="223" t="s">
        <v>159</v>
      </c>
      <c r="C103" s="223"/>
      <c r="D103" s="1313">
        <f>+'Exhibit G state'!D102+'Exhibit G Federal'!D72</f>
        <v>599.9</v>
      </c>
      <c r="F103" s="1313"/>
      <c r="H103" s="1313"/>
      <c r="J103" s="1313"/>
      <c r="L103" s="1313"/>
      <c r="N103" s="1313"/>
      <c r="P103" s="1313"/>
      <c r="R103" s="1313"/>
      <c r="T103" s="2082"/>
      <c r="V103" s="2082"/>
      <c r="X103" s="2082"/>
      <c r="Z103" s="2082"/>
      <c r="AA103" s="261"/>
      <c r="AB103" s="250"/>
      <c r="AC103" s="261">
        <f>ROUND(SUM(D103:Z103),1)</f>
        <v>599.9</v>
      </c>
      <c r="AD103" s="261"/>
      <c r="AE103" s="250"/>
      <c r="AF103" s="261">
        <f>'Exhibit G state'!AH102+'Exhibit G Federal'!AH72</f>
        <v>683.5</v>
      </c>
      <c r="AG103" s="514"/>
      <c r="AH103" s="249"/>
      <c r="AI103" s="1159">
        <f>ROUND(SUM(+AC103-AF103),1)</f>
        <v>-83.6</v>
      </c>
      <c r="AJ103" s="248"/>
      <c r="AK103" s="1816">
        <f>ROUND(IF(AF103=0,0,AI103/ABS(AF103)),3)</f>
        <v>-0.122</v>
      </c>
    </row>
    <row r="104" spans="1:45" ht="15" customHeight="1">
      <c r="A104" s="223"/>
      <c r="B104" s="223" t="s">
        <v>177</v>
      </c>
      <c r="C104" s="223"/>
      <c r="D104" s="1313">
        <f>+'Exhibit G state'!D103+'Exhibit G Federal'!D73</f>
        <v>260.10000000000002</v>
      </c>
      <c r="F104" s="1313"/>
      <c r="H104" s="1313"/>
      <c r="J104" s="1313"/>
      <c r="L104" s="1313"/>
      <c r="N104" s="1313"/>
      <c r="P104" s="1313"/>
      <c r="R104" s="1313"/>
      <c r="T104" s="2082"/>
      <c r="V104" s="2082"/>
      <c r="X104" s="2082"/>
      <c r="Z104" s="2082"/>
      <c r="AA104" s="261"/>
      <c r="AB104" s="250"/>
      <c r="AC104" s="261">
        <f>ROUND(SUM(D104:Z104),1)</f>
        <v>260.10000000000002</v>
      </c>
      <c r="AD104" s="261"/>
      <c r="AE104" s="250"/>
      <c r="AF104" s="261">
        <f>'Exhibit G state'!AH103+'Exhibit G Federal'!AH73</f>
        <v>280.39999999999998</v>
      </c>
      <c r="AG104" s="514"/>
      <c r="AH104" s="249"/>
      <c r="AI104" s="1159">
        <f>ROUND(SUM(+AC104-AF104),1)</f>
        <v>-20.3</v>
      </c>
      <c r="AJ104" s="248"/>
      <c r="AK104" s="1816">
        <f>ROUND(IF(AF104=0,0,AI104/ABS(AF104)),3)</f>
        <v>-7.1999999999999995E-2</v>
      </c>
    </row>
    <row r="105" spans="1:45" ht="15" customHeight="1">
      <c r="A105" s="223"/>
      <c r="B105" s="223" t="s">
        <v>178</v>
      </c>
      <c r="C105" s="223"/>
      <c r="D105" s="1313">
        <f>+'Exhibit G state'!D104+'Exhibit G Federal'!D74</f>
        <v>189.5</v>
      </c>
      <c r="F105" s="1313"/>
      <c r="H105" s="1313"/>
      <c r="J105" s="1313"/>
      <c r="L105" s="1313"/>
      <c r="N105" s="1313"/>
      <c r="P105" s="1313"/>
      <c r="R105" s="1313"/>
      <c r="T105" s="2082"/>
      <c r="V105" s="2082"/>
      <c r="X105" s="2082"/>
      <c r="Z105" s="2082"/>
      <c r="AA105" s="261"/>
      <c r="AB105" s="250"/>
      <c r="AC105" s="261">
        <f>ROUND(SUM(D105:Z105),1)</f>
        <v>189.5</v>
      </c>
      <c r="AD105" s="261"/>
      <c r="AE105" s="250"/>
      <c r="AF105" s="261">
        <f>'Exhibit G state'!AH104+'Exhibit G Federal'!AH74</f>
        <v>51.400000000000006</v>
      </c>
      <c r="AG105" s="514"/>
      <c r="AH105" s="249"/>
      <c r="AI105" s="1159">
        <f>ROUND(SUM(+AC105-AF105),1)</f>
        <v>138.1</v>
      </c>
      <c r="AJ105" s="248"/>
      <c r="AK105" s="1816">
        <f>ROUND(IF(AF105=0,0,AI105/ABS(AF105)),3)</f>
        <v>2.6869999999999998</v>
      </c>
    </row>
    <row r="106" spans="1:45" ht="15" customHeight="1">
      <c r="A106" s="223"/>
      <c r="B106" s="223" t="s">
        <v>179</v>
      </c>
      <c r="C106" s="223"/>
      <c r="D106" s="1313">
        <f>+'Exhibit G state'!D105+'Exhibit G Federal'!D75</f>
        <v>0.1</v>
      </c>
      <c r="F106" s="1313"/>
      <c r="H106" s="1313"/>
      <c r="J106" s="1313"/>
      <c r="L106" s="1313"/>
      <c r="N106" s="1313"/>
      <c r="P106" s="1313"/>
      <c r="R106" s="1313"/>
      <c r="T106" s="2082"/>
      <c r="V106" s="2082"/>
      <c r="X106" s="2082"/>
      <c r="Z106" s="2082"/>
      <c r="AA106" s="261"/>
      <c r="AB106" s="250"/>
      <c r="AC106" s="261">
        <f>ROUND(SUM(D106:Z106),1)</f>
        <v>0.1</v>
      </c>
      <c r="AD106" s="261"/>
      <c r="AE106" s="250"/>
      <c r="AF106" s="261">
        <f>'Exhibit G state'!AH105+'Exhibit G Federal'!AH75</f>
        <v>0</v>
      </c>
      <c r="AG106" s="514"/>
      <c r="AH106" s="249"/>
      <c r="AI106" s="1860">
        <f>ROUND(SUM(+AC106-AF106),1)</f>
        <v>0.1</v>
      </c>
      <c r="AJ106" s="998"/>
      <c r="AK106" s="2741">
        <f>ROUND(IF(AF106=0,1,AI106/ABS(AF106)),3)</f>
        <v>1</v>
      </c>
    </row>
    <row r="107" spans="1:45" ht="15" customHeight="1">
      <c r="A107" s="223"/>
      <c r="B107" s="223"/>
      <c r="C107" s="223"/>
      <c r="D107" s="288"/>
      <c r="F107" s="288"/>
      <c r="H107" s="288"/>
      <c r="J107" s="288"/>
      <c r="L107" s="288"/>
      <c r="N107" s="288"/>
      <c r="P107" s="288"/>
      <c r="R107" s="288"/>
      <c r="T107" s="288"/>
      <c r="V107" s="288"/>
      <c r="X107" s="288"/>
      <c r="Z107" s="288"/>
      <c r="AA107" s="261"/>
      <c r="AB107" s="250"/>
      <c r="AC107" s="288"/>
      <c r="AD107" s="261"/>
      <c r="AE107" s="250"/>
      <c r="AF107" s="288"/>
      <c r="AG107" s="514"/>
      <c r="AH107" s="249"/>
      <c r="AI107" s="2676"/>
      <c r="AK107" s="2681"/>
    </row>
    <row r="108" spans="1:45" ht="15" customHeight="1">
      <c r="A108" s="223"/>
      <c r="B108" s="221" t="s">
        <v>162</v>
      </c>
      <c r="C108" s="223"/>
      <c r="D108" s="257">
        <f>ROUND(SUM(D101:D106),1)</f>
        <v>5010</v>
      </c>
      <c r="F108" s="1838">
        <f t="shared" ref="F108:X108" si="22">ROUND(SUM(F101:F106),1)</f>
        <v>0</v>
      </c>
      <c r="H108" s="1838">
        <f t="shared" si="22"/>
        <v>0</v>
      </c>
      <c r="J108" s="1838">
        <f t="shared" si="22"/>
        <v>0</v>
      </c>
      <c r="L108" s="1838">
        <f t="shared" si="22"/>
        <v>0</v>
      </c>
      <c r="N108" s="1838">
        <f t="shared" si="22"/>
        <v>0</v>
      </c>
      <c r="P108" s="1838">
        <f t="shared" si="22"/>
        <v>0</v>
      </c>
      <c r="R108" s="1838">
        <f t="shared" si="22"/>
        <v>0</v>
      </c>
      <c r="T108" s="1838">
        <f t="shared" si="22"/>
        <v>0</v>
      </c>
      <c r="V108" s="1838">
        <f t="shared" si="22"/>
        <v>0</v>
      </c>
      <c r="X108" s="1838">
        <f t="shared" si="22"/>
        <v>0</v>
      </c>
      <c r="Z108" s="257">
        <f>ROUND(SUM(Z101:Z106),1)</f>
        <v>0</v>
      </c>
      <c r="AA108" s="257"/>
      <c r="AB108" s="259"/>
      <c r="AC108" s="257">
        <f>ROUND(SUM(AC101:AC106),1)</f>
        <v>5010</v>
      </c>
      <c r="AD108" s="257"/>
      <c r="AE108" s="259"/>
      <c r="AF108" s="257">
        <f>ROUND(SUM(AF101:AF106),1)</f>
        <v>4057.3</v>
      </c>
      <c r="AG108" s="521"/>
      <c r="AH108" s="273"/>
      <c r="AI108" s="271">
        <f>ROUND(SUM(AI101:AI106),1)</f>
        <v>952.7</v>
      </c>
      <c r="AJ108" s="413"/>
      <c r="AK108" s="1887">
        <f>ROUND(SUM(+AI108/AF108),3)</f>
        <v>0.23499999999999999</v>
      </c>
    </row>
    <row r="109" spans="1:45" ht="15" customHeight="1">
      <c r="A109" s="223"/>
      <c r="B109" s="223"/>
      <c r="C109" s="223"/>
      <c r="D109" s="288"/>
      <c r="F109" s="288"/>
      <c r="H109" s="288"/>
      <c r="J109" s="288"/>
      <c r="L109" s="288"/>
      <c r="N109" s="288"/>
      <c r="P109" s="288"/>
      <c r="R109" s="288"/>
      <c r="T109" s="288"/>
      <c r="V109" s="288"/>
      <c r="X109" s="288"/>
      <c r="Z109" s="288"/>
      <c r="AA109" s="261"/>
      <c r="AB109" s="250"/>
      <c r="AC109" s="288"/>
      <c r="AD109" s="261"/>
      <c r="AE109" s="250"/>
      <c r="AF109" s="288"/>
      <c r="AG109" s="514"/>
      <c r="AH109" s="249"/>
      <c r="AI109" s="1159"/>
      <c r="AK109" s="1884"/>
    </row>
    <row r="110" spans="1:45" ht="15" customHeight="1">
      <c r="A110" s="223"/>
      <c r="B110" s="221" t="s">
        <v>163</v>
      </c>
      <c r="C110" s="223"/>
      <c r="D110" s="261"/>
      <c r="F110" s="261"/>
      <c r="H110" s="261"/>
      <c r="J110" s="261"/>
      <c r="L110" s="261"/>
      <c r="N110" s="261"/>
      <c r="P110" s="261"/>
      <c r="R110" s="261"/>
      <c r="T110" s="261"/>
      <c r="V110" s="261"/>
      <c r="X110" s="261"/>
      <c r="Z110" s="261"/>
      <c r="AA110" s="261"/>
      <c r="AB110" s="250"/>
      <c r="AC110" s="261" t="s">
        <v>164</v>
      </c>
      <c r="AD110" s="1593"/>
      <c r="AE110" s="1594"/>
      <c r="AF110" s="261"/>
      <c r="AG110" s="528"/>
      <c r="AH110" s="529"/>
      <c r="AI110" s="1159"/>
      <c r="AK110" s="1884"/>
    </row>
    <row r="111" spans="1:45" ht="15" customHeight="1">
      <c r="A111" s="223"/>
      <c r="B111" s="221" t="s">
        <v>46</v>
      </c>
      <c r="C111" s="223"/>
      <c r="D111" s="257">
        <f>ROUND(SUM(D87-D108),1)</f>
        <v>-192.6</v>
      </c>
      <c r="F111" s="257"/>
      <c r="H111" s="257"/>
      <c r="J111" s="1838"/>
      <c r="L111" s="1838"/>
      <c r="N111" s="257"/>
      <c r="P111" s="257"/>
      <c r="R111" s="257"/>
      <c r="T111" s="257"/>
      <c r="V111" s="257"/>
      <c r="X111" s="257"/>
      <c r="Z111" s="257">
        <f>ROUND(SUM(Z87-Z108),1)</f>
        <v>0</v>
      </c>
      <c r="AA111" s="257"/>
      <c r="AB111" s="259"/>
      <c r="AC111" s="257">
        <f>ROUND(SUM(AC87-AC108),1)</f>
        <v>-192.6</v>
      </c>
      <c r="AD111" s="257"/>
      <c r="AE111" s="259"/>
      <c r="AF111" s="257">
        <f>ROUND(SUM(AF87-AF108),1)</f>
        <v>-1577.6</v>
      </c>
      <c r="AG111" s="521"/>
      <c r="AH111" s="273"/>
      <c r="AI111" s="1692">
        <f>ROUND(SUM(AI87-AI108),1)</f>
        <v>1385</v>
      </c>
      <c r="AJ111" s="412"/>
      <c r="AK111" s="1887">
        <f>ROUND(SUM(+AI111/ABS(AF111)),3)</f>
        <v>0.878</v>
      </c>
    </row>
    <row r="112" spans="1:45" ht="15" customHeight="1">
      <c r="A112" s="223"/>
      <c r="B112" s="223"/>
      <c r="C112" s="223"/>
      <c r="D112" s="288"/>
      <c r="F112" s="288"/>
      <c r="H112" s="288"/>
      <c r="J112" s="288"/>
      <c r="L112" s="288"/>
      <c r="N112" s="288"/>
      <c r="P112" s="288"/>
      <c r="R112" s="288"/>
      <c r="T112" s="288"/>
      <c r="V112" s="288"/>
      <c r="X112" s="288"/>
      <c r="Z112" s="288"/>
      <c r="AA112" s="261"/>
      <c r="AB112" s="250"/>
      <c r="AC112" s="288"/>
      <c r="AD112" s="261"/>
      <c r="AE112" s="250"/>
      <c r="AF112" s="288"/>
      <c r="AG112" s="514"/>
      <c r="AH112" s="249"/>
      <c r="AI112" s="1159"/>
      <c r="AK112" s="1884"/>
    </row>
    <row r="113" spans="1:48" ht="15" customHeight="1">
      <c r="A113" s="223"/>
      <c r="B113" s="221" t="s">
        <v>47</v>
      </c>
      <c r="C113" s="223"/>
      <c r="D113" s="261"/>
      <c r="F113" s="261"/>
      <c r="H113" s="261"/>
      <c r="J113" s="261"/>
      <c r="L113" s="261"/>
      <c r="N113" s="261"/>
      <c r="P113" s="261"/>
      <c r="R113" s="261"/>
      <c r="T113" s="261"/>
      <c r="V113" s="261"/>
      <c r="X113" s="261"/>
      <c r="Z113" s="261"/>
      <c r="AA113" s="261"/>
      <c r="AB113" s="250"/>
      <c r="AC113" s="261"/>
      <c r="AD113" s="261"/>
      <c r="AE113" s="250"/>
      <c r="AF113" s="261"/>
      <c r="AG113" s="514"/>
      <c r="AH113" s="249"/>
      <c r="AI113" s="1159"/>
      <c r="AK113" s="1884"/>
    </row>
    <row r="114" spans="1:48" ht="15" customHeight="1">
      <c r="A114" s="223"/>
      <c r="B114" s="223" t="s">
        <v>180</v>
      </c>
      <c r="C114" s="223"/>
      <c r="D114" s="1313">
        <v>545.9</v>
      </c>
      <c r="F114" s="1313"/>
      <c r="H114" s="1313"/>
      <c r="J114" s="1313"/>
      <c r="L114" s="1313"/>
      <c r="N114" s="1313"/>
      <c r="P114" s="274"/>
      <c r="R114" s="274"/>
      <c r="T114" s="274"/>
      <c r="V114" s="274"/>
      <c r="X114" s="274"/>
      <c r="Z114" s="515">
        <v>0</v>
      </c>
      <c r="AA114" s="261"/>
      <c r="AB114" s="250"/>
      <c r="AC114" s="261">
        <f>ROUND(SUM(D114:Z114),1)</f>
        <v>545.9</v>
      </c>
      <c r="AD114" s="261"/>
      <c r="AE114" s="250"/>
      <c r="AF114" s="261">
        <f>'Exhibit G state'!AH113+'Exhibit G Federal'!AH83</f>
        <v>1783</v>
      </c>
      <c r="AG114" s="514"/>
      <c r="AH114" s="249"/>
      <c r="AI114" s="1860">
        <f>ROUND(SUM(+AC114-AF114),1)</f>
        <v>-1237.0999999999999</v>
      </c>
      <c r="AJ114" s="998"/>
      <c r="AK114" s="1816">
        <f>ROUND(IF(AF114=0,0,AI114/ABS(AF114)),3)</f>
        <v>-0.69399999999999995</v>
      </c>
    </row>
    <row r="115" spans="1:48" ht="15" customHeight="1">
      <c r="A115" s="223"/>
      <c r="B115" s="223" t="s">
        <v>181</v>
      </c>
      <c r="C115" s="223"/>
      <c r="D115" s="1313">
        <v>-89.8</v>
      </c>
      <c r="F115" s="274"/>
      <c r="H115" s="274"/>
      <c r="J115" s="1313"/>
      <c r="L115" s="1313"/>
      <c r="N115" s="1313"/>
      <c r="P115" s="275"/>
      <c r="R115" s="274"/>
      <c r="T115" s="274"/>
      <c r="V115" s="274"/>
      <c r="X115" s="274"/>
      <c r="Z115" s="515">
        <v>0</v>
      </c>
      <c r="AA115" s="261"/>
      <c r="AB115" s="250"/>
      <c r="AC115" s="261">
        <f>ROUND(SUM(D115:Z115),1)</f>
        <v>-89.8</v>
      </c>
      <c r="AD115" s="261"/>
      <c r="AE115" s="250"/>
      <c r="AF115" s="318">
        <f>'Exhibit G state'!AH114+'Exhibit G Federal'!AH84</f>
        <v>-166.8</v>
      </c>
      <c r="AG115" s="514"/>
      <c r="AH115" s="249"/>
      <c r="AI115" s="1860">
        <f>ROUND(SUM(+AC115-AF115)*-1,1)</f>
        <v>-77</v>
      </c>
      <c r="AJ115" s="998"/>
      <c r="AK115" s="1816">
        <f>ROUND(IF(AF115=0,0,AI115/ABS(AF115)),3)</f>
        <v>-0.46200000000000002</v>
      </c>
    </row>
    <row r="116" spans="1:48" ht="15" customHeight="1">
      <c r="A116" s="223"/>
      <c r="B116" s="223"/>
      <c r="C116" s="223"/>
      <c r="D116" s="288"/>
      <c r="F116" s="288"/>
      <c r="H116" s="288"/>
      <c r="J116" s="288"/>
      <c r="L116" s="288"/>
      <c r="N116" s="288"/>
      <c r="P116" s="288"/>
      <c r="R116" s="288"/>
      <c r="T116" s="288"/>
      <c r="V116" s="288"/>
      <c r="X116" s="288"/>
      <c r="Z116" s="288"/>
      <c r="AA116" s="261"/>
      <c r="AB116" s="250"/>
      <c r="AC116" s="288"/>
      <c r="AD116" s="261"/>
      <c r="AE116" s="250"/>
      <c r="AF116" s="288"/>
      <c r="AG116" s="514"/>
      <c r="AH116" s="249"/>
      <c r="AI116" s="2676"/>
      <c r="AK116" s="2681"/>
    </row>
    <row r="117" spans="1:48" ht="15" customHeight="1">
      <c r="A117" s="223"/>
      <c r="B117" s="221" t="s">
        <v>1354</v>
      </c>
      <c r="C117" s="223"/>
      <c r="D117" s="257">
        <f>ROUND(SUM(D114:D115),1)</f>
        <v>456.1</v>
      </c>
      <c r="F117" s="257">
        <f>ROUND(SUM(F114:F115),1)</f>
        <v>0</v>
      </c>
      <c r="H117" s="257">
        <f>ROUND(SUM(H114:H115),1)</f>
        <v>0</v>
      </c>
      <c r="J117" s="1838">
        <f>ROUND(SUM(J114:J115),1)</f>
        <v>0</v>
      </c>
      <c r="L117" s="1838">
        <f>ROUND(SUM(L114:L115),1)</f>
        <v>0</v>
      </c>
      <c r="N117" s="257">
        <f>ROUND(SUM(N114:N115),1)</f>
        <v>0</v>
      </c>
      <c r="P117" s="257">
        <f>ROUND(SUM(P114:P115),1)</f>
        <v>0</v>
      </c>
      <c r="R117" s="257">
        <f>ROUND(SUM(R114:R115),1)</f>
        <v>0</v>
      </c>
      <c r="T117" s="257">
        <f>ROUND(SUM(T114:T115),1)</f>
        <v>0</v>
      </c>
      <c r="V117" s="257">
        <f>ROUND(SUM(V114:V115),1)</f>
        <v>0</v>
      </c>
      <c r="X117" s="257">
        <f>ROUND(SUM(X114:X115),1)</f>
        <v>0</v>
      </c>
      <c r="Z117" s="257">
        <f>ROUND(SUM(Z114:Z115),1)</f>
        <v>0</v>
      </c>
      <c r="AA117" s="257"/>
      <c r="AB117" s="259"/>
      <c r="AC117" s="257">
        <f>ROUND(SUM(AC114:AC115),1)</f>
        <v>456.1</v>
      </c>
      <c r="AD117" s="257"/>
      <c r="AE117" s="259"/>
      <c r="AF117" s="257">
        <f>ROUND(SUM(AF114:AF115),1)</f>
        <v>1616.2</v>
      </c>
      <c r="AG117" s="521"/>
      <c r="AH117" s="273"/>
      <c r="AI117" s="271">
        <f>ROUND(SUM(AC117-AF117),1)</f>
        <v>-1160.0999999999999</v>
      </c>
      <c r="AJ117" s="368"/>
      <c r="AK117" s="1887">
        <f>ROUND(SUM(+AI117/AF117),3)</f>
        <v>-0.71799999999999997</v>
      </c>
    </row>
    <row r="118" spans="1:48" ht="15" customHeight="1">
      <c r="A118" s="223"/>
      <c r="B118" s="223"/>
      <c r="C118" s="223"/>
      <c r="D118" s="288"/>
      <c r="F118" s="288"/>
      <c r="H118" s="288"/>
      <c r="J118" s="288"/>
      <c r="L118" s="288"/>
      <c r="N118" s="288"/>
      <c r="P118" s="288"/>
      <c r="R118" s="288"/>
      <c r="T118" s="288"/>
      <c r="V118" s="288"/>
      <c r="X118" s="288"/>
      <c r="Z118" s="288"/>
      <c r="AA118" s="261"/>
      <c r="AB118" s="250"/>
      <c r="AC118" s="288"/>
      <c r="AD118" s="261"/>
      <c r="AE118" s="250"/>
      <c r="AF118" s="288"/>
      <c r="AG118" s="514"/>
      <c r="AH118" s="249"/>
      <c r="AI118" s="1159"/>
      <c r="AK118" s="1884"/>
    </row>
    <row r="119" spans="1:48" ht="15" customHeight="1">
      <c r="A119" s="223"/>
      <c r="B119" s="221" t="s">
        <v>172</v>
      </c>
      <c r="C119" s="223"/>
      <c r="D119" s="261"/>
      <c r="F119" s="261"/>
      <c r="H119" s="261"/>
      <c r="J119" s="261"/>
      <c r="L119" s="261"/>
      <c r="N119" s="261"/>
      <c r="P119" s="261"/>
      <c r="R119" s="261"/>
      <c r="T119" s="261"/>
      <c r="V119" s="261"/>
      <c r="X119" s="261"/>
      <c r="Z119" s="261"/>
      <c r="AA119" s="261"/>
      <c r="AB119" s="250"/>
      <c r="AC119" s="261"/>
      <c r="AD119" s="261"/>
      <c r="AE119" s="250"/>
      <c r="AF119" s="261"/>
      <c r="AG119" s="514"/>
      <c r="AH119" s="249"/>
      <c r="AI119" s="1159"/>
      <c r="AK119" s="1884"/>
    </row>
    <row r="120" spans="1:48" ht="15" customHeight="1">
      <c r="A120" s="223"/>
      <c r="B120" s="221" t="s">
        <v>173</v>
      </c>
      <c r="C120" s="223"/>
      <c r="D120" s="261"/>
      <c r="F120" s="261"/>
      <c r="H120" s="261"/>
      <c r="J120" s="261"/>
      <c r="L120" s="261"/>
      <c r="N120" s="261"/>
      <c r="P120" s="261"/>
      <c r="R120" s="261"/>
      <c r="T120" s="261"/>
      <c r="V120" s="261"/>
      <c r="X120" s="261"/>
      <c r="Z120" s="261"/>
      <c r="AA120" s="261"/>
      <c r="AB120" s="250"/>
      <c r="AC120" s="261"/>
      <c r="AD120" s="261"/>
      <c r="AE120" s="250"/>
      <c r="AF120" s="261"/>
      <c r="AG120" s="514"/>
      <c r="AH120" s="249"/>
      <c r="AI120" s="1159"/>
      <c r="AK120" s="1884"/>
    </row>
    <row r="121" spans="1:48" ht="15" customHeight="1">
      <c r="A121" s="223"/>
      <c r="B121" s="221" t="s">
        <v>1355</v>
      </c>
      <c r="C121" s="223"/>
      <c r="D121" s="257">
        <f>ROUND(SUM(D111+D117),1)</f>
        <v>263.5</v>
      </c>
      <c r="F121" s="257">
        <f>ROUND(SUM(F111+F117),1)</f>
        <v>0</v>
      </c>
      <c r="H121" s="257">
        <f>ROUND(SUM(H111+H117),1)</f>
        <v>0</v>
      </c>
      <c r="J121" s="1838">
        <f>ROUND(SUM(J111+J117),1)</f>
        <v>0</v>
      </c>
      <c r="L121" s="1838">
        <f>ROUND(SUM(L111+L117),1)</f>
        <v>0</v>
      </c>
      <c r="N121" s="257">
        <f>ROUND(SUM(N111+N117),1)</f>
        <v>0</v>
      </c>
      <c r="P121" s="257">
        <f>ROUND(SUM(P111+P117),1)</f>
        <v>0</v>
      </c>
      <c r="R121" s="257">
        <f>ROUND(SUM(R111+R117),1)</f>
        <v>0</v>
      </c>
      <c r="T121" s="257">
        <f>ROUND(SUM(T111+T117),1)</f>
        <v>0</v>
      </c>
      <c r="V121" s="257">
        <f>ROUND(SUM(V111+V117),1)</f>
        <v>0</v>
      </c>
      <c r="X121" s="257">
        <f>ROUND(SUM(X111+X117),1)</f>
        <v>0</v>
      </c>
      <c r="Z121" s="257">
        <f>ROUND(SUM(Z111+Z117),1)</f>
        <v>0</v>
      </c>
      <c r="AA121" s="257"/>
      <c r="AB121" s="259"/>
      <c r="AC121" s="257">
        <f>ROUND(SUM(AC111+AC117),1)</f>
        <v>263.5</v>
      </c>
      <c r="AD121" s="257"/>
      <c r="AE121" s="259"/>
      <c r="AF121" s="257">
        <f>ROUND(SUM(AF111+AF117),1)</f>
        <v>38.6</v>
      </c>
      <c r="AG121" s="521"/>
      <c r="AH121" s="273"/>
      <c r="AI121" s="271">
        <f>ROUND(SUM(AC121-AF121),1)</f>
        <v>224.9</v>
      </c>
      <c r="AJ121" s="412"/>
      <c r="AK121" s="1887">
        <f>ROUND(SUM(AI121/ABS(AF121)),3)</f>
        <v>5.8259999999999996</v>
      </c>
    </row>
    <row r="122" spans="1:48" ht="15" customHeight="1">
      <c r="A122" s="223"/>
      <c r="B122" s="223"/>
      <c r="C122" s="223"/>
      <c r="D122" s="235"/>
      <c r="F122" s="235"/>
      <c r="H122" s="235"/>
      <c r="J122" s="235"/>
      <c r="L122" s="235"/>
      <c r="N122" s="235"/>
      <c r="P122" s="235"/>
      <c r="R122" s="235"/>
      <c r="T122" s="235"/>
      <c r="V122" s="235"/>
      <c r="X122" s="235"/>
      <c r="Z122" s="235"/>
      <c r="AB122" s="415"/>
      <c r="AC122" s="235"/>
      <c r="AE122" s="415"/>
      <c r="AF122" s="235"/>
      <c r="AG122" s="513"/>
      <c r="AH122" s="229"/>
      <c r="AI122" s="1834"/>
      <c r="AK122" s="1884"/>
    </row>
    <row r="123" spans="1:48" ht="15" customHeight="1" thickBot="1">
      <c r="A123" s="223"/>
      <c r="B123" s="221" t="s">
        <v>1356</v>
      </c>
      <c r="C123" s="223"/>
      <c r="D123" s="294">
        <f>ROUND(SUM(D14+D121),1)</f>
        <v>3870.6</v>
      </c>
      <c r="F123" s="294">
        <f>ROUND(SUM(F14+F121),1)</f>
        <v>0</v>
      </c>
      <c r="H123" s="294">
        <f>ROUND(SUM(H14+H121),1)</f>
        <v>0</v>
      </c>
      <c r="J123" s="294">
        <f>ROUND(SUM(J14+J121),1)</f>
        <v>0</v>
      </c>
      <c r="L123" s="294">
        <f>ROUND(SUM(L14+L121),1)</f>
        <v>0</v>
      </c>
      <c r="N123" s="294">
        <f>ROUND(SUM(N14+N121),1)</f>
        <v>0</v>
      </c>
      <c r="P123" s="294">
        <f>ROUND(SUM(P14+P121),1)</f>
        <v>0</v>
      </c>
      <c r="R123" s="294">
        <f>ROUND(SUM(R14+R121),1)</f>
        <v>0</v>
      </c>
      <c r="T123" s="294">
        <f>ROUND(SUM(T14+T121),1)</f>
        <v>0</v>
      </c>
      <c r="V123" s="294">
        <f>ROUND(SUM(V14+V121),1)</f>
        <v>0</v>
      </c>
      <c r="X123" s="294">
        <f>ROUND(SUM(X14+X121),1)</f>
        <v>0</v>
      </c>
      <c r="Z123" s="294">
        <f>ROUND(SUM(Z14+Z121),1)</f>
        <v>0</v>
      </c>
      <c r="AA123" s="294"/>
      <c r="AB123" s="295"/>
      <c r="AC123" s="294">
        <f>ROUND(SUM(AC14+AC121),1)</f>
        <v>3870.6</v>
      </c>
      <c r="AD123" s="294"/>
      <c r="AE123" s="295"/>
      <c r="AF123" s="502">
        <f>ROUND(SUM(AF14+AF121),1)</f>
        <v>2700.4</v>
      </c>
      <c r="AG123" s="510"/>
      <c r="AH123" s="423"/>
      <c r="AI123" s="502">
        <f>ROUND(SUM(AC123-AF123),1)</f>
        <v>1170.2</v>
      </c>
      <c r="AJ123" s="384"/>
      <c r="AK123" s="530">
        <f>ROUND(SUM(+AI123/AF123),3)</f>
        <v>0.433</v>
      </c>
      <c r="AL123" s="505"/>
      <c r="AM123" s="505"/>
      <c r="AN123" s="505"/>
      <c r="AO123" s="505"/>
      <c r="AP123" s="505"/>
      <c r="AQ123" s="505"/>
      <c r="AR123" s="505"/>
      <c r="AS123" s="505"/>
      <c r="AT123" s="505"/>
      <c r="AU123" s="505"/>
      <c r="AV123" s="505"/>
    </row>
    <row r="124" spans="1:48" ht="15" customHeight="1" thickTop="1">
      <c r="A124" s="223"/>
      <c r="B124" s="223"/>
      <c r="C124" s="223"/>
      <c r="D124" s="531"/>
      <c r="F124" s="531"/>
      <c r="H124" s="531"/>
      <c r="J124" s="531"/>
      <c r="L124" s="531"/>
      <c r="N124" s="531"/>
      <c r="P124" s="531"/>
      <c r="R124" s="531"/>
      <c r="T124" s="531"/>
      <c r="V124" s="531"/>
      <c r="X124" s="531"/>
      <c r="Z124" s="531"/>
      <c r="AA124" s="505"/>
      <c r="AB124" s="505"/>
      <c r="AC124" s="531"/>
      <c r="AD124" s="505"/>
      <c r="AE124" s="505"/>
      <c r="AF124" s="532"/>
      <c r="AG124" s="532"/>
      <c r="AH124" s="505"/>
      <c r="AI124" s="2677"/>
      <c r="AJ124" s="505"/>
      <c r="AK124" s="1884"/>
      <c r="AL124" s="505"/>
      <c r="AM124" s="505"/>
      <c r="AN124" s="505"/>
      <c r="AO124" s="505"/>
      <c r="AP124" s="505"/>
      <c r="AQ124" s="505"/>
      <c r="AR124" s="505"/>
      <c r="AS124" s="505"/>
      <c r="AT124" s="505"/>
      <c r="AU124" s="505"/>
      <c r="AV124" s="505"/>
    </row>
    <row r="125" spans="1:48" ht="15" customHeight="1">
      <c r="A125" s="223"/>
      <c r="B125" s="223"/>
      <c r="C125" s="223"/>
      <c r="D125" s="532"/>
      <c r="F125" s="532"/>
      <c r="H125" s="532"/>
      <c r="J125" s="532"/>
      <c r="L125" s="532"/>
      <c r="N125" s="532"/>
      <c r="P125" s="532"/>
      <c r="R125" s="532"/>
      <c r="T125" s="532"/>
      <c r="V125" s="532"/>
      <c r="X125" s="532"/>
      <c r="Z125" s="532"/>
      <c r="AA125" s="532"/>
      <c r="AB125" s="532"/>
      <c r="AC125" s="532"/>
      <c r="AD125" s="532"/>
      <c r="AE125" s="532"/>
      <c r="AF125" s="532"/>
      <c r="AG125" s="532"/>
      <c r="AH125" s="505"/>
      <c r="AI125" s="2677"/>
      <c r="AJ125" s="505"/>
      <c r="AK125" s="1884"/>
      <c r="AL125" s="505"/>
      <c r="AM125" s="505"/>
      <c r="AN125" s="505"/>
      <c r="AO125" s="505"/>
      <c r="AP125" s="505"/>
      <c r="AQ125" s="505"/>
      <c r="AR125" s="505"/>
      <c r="AS125" s="505"/>
      <c r="AT125" s="505"/>
      <c r="AU125" s="505"/>
      <c r="AV125" s="505"/>
    </row>
    <row r="126" spans="1:48" ht="15" customHeight="1">
      <c r="A126" s="497"/>
      <c r="D126" s="505"/>
      <c r="F126" s="505"/>
      <c r="H126" s="505"/>
      <c r="J126" s="505"/>
      <c r="L126" s="505"/>
      <c r="N126" s="505"/>
      <c r="P126" s="505"/>
      <c r="R126" s="505"/>
      <c r="T126" s="505"/>
      <c r="V126" s="505"/>
      <c r="X126" s="505"/>
      <c r="Z126" s="505"/>
      <c r="AA126" s="505"/>
      <c r="AB126" s="505"/>
      <c r="AC126" s="505"/>
      <c r="AD126" s="505"/>
      <c r="AE126" s="505"/>
      <c r="AF126" s="505"/>
      <c r="AG126" s="505"/>
      <c r="AH126" s="505"/>
      <c r="AI126" s="2677"/>
      <c r="AJ126" s="505"/>
      <c r="AK126" s="1884"/>
      <c r="AL126" s="505"/>
      <c r="AM126" s="505"/>
      <c r="AN126" s="505"/>
      <c r="AO126" s="505"/>
      <c r="AP126" s="505"/>
      <c r="AQ126" s="505"/>
      <c r="AR126" s="505"/>
      <c r="AS126" s="505"/>
      <c r="AT126" s="505"/>
      <c r="AU126" s="505"/>
      <c r="AV126" s="505"/>
    </row>
    <row r="127" spans="1:48" ht="15" customHeight="1">
      <c r="D127" s="505"/>
      <c r="F127" s="505"/>
      <c r="H127" s="505"/>
      <c r="J127" s="505"/>
      <c r="L127" s="505"/>
      <c r="N127" s="505"/>
      <c r="P127" s="505"/>
      <c r="R127" s="505"/>
      <c r="T127" s="505"/>
      <c r="V127" s="505"/>
      <c r="X127" s="505"/>
      <c r="Z127" s="505"/>
      <c r="AA127" s="505"/>
      <c r="AB127" s="505"/>
      <c r="AC127" s="505"/>
      <c r="AD127" s="505"/>
      <c r="AE127" s="505"/>
      <c r="AF127" s="505"/>
      <c r="AG127" s="505"/>
      <c r="AH127" s="505"/>
      <c r="AI127" s="2677"/>
      <c r="AJ127" s="505"/>
      <c r="AK127" s="1884"/>
      <c r="AL127" s="505"/>
      <c r="AM127" s="505"/>
      <c r="AN127" s="505"/>
      <c r="AO127" s="505"/>
      <c r="AP127" s="505"/>
      <c r="AQ127" s="505"/>
      <c r="AR127" s="505"/>
      <c r="AS127" s="505"/>
      <c r="AT127" s="505"/>
      <c r="AU127" s="505"/>
      <c r="AV127" s="505"/>
    </row>
    <row r="128" spans="1:48" ht="15" customHeight="1">
      <c r="AI128" s="1834"/>
      <c r="AK128" s="1884"/>
    </row>
    <row r="129" spans="35:37" ht="15" customHeight="1">
      <c r="AI129" s="1834"/>
      <c r="AK129" s="1884"/>
    </row>
    <row r="130" spans="35:37" ht="15" customHeight="1">
      <c r="AI130" s="1834"/>
      <c r="AK130" s="1884"/>
    </row>
    <row r="131" spans="35:37" ht="15" customHeight="1">
      <c r="AI131" s="1834"/>
      <c r="AK131" s="1884"/>
    </row>
    <row r="132" spans="35:37" ht="15" customHeight="1">
      <c r="AI132" s="1834"/>
      <c r="AK132" s="1884"/>
    </row>
    <row r="133" spans="35:37" ht="15" customHeight="1">
      <c r="AI133" s="1834"/>
      <c r="AK133" s="1884"/>
    </row>
    <row r="134" spans="35:37" ht="15" customHeight="1">
      <c r="AI134" s="1834"/>
      <c r="AK134" s="1884"/>
    </row>
    <row r="135" spans="35:37" ht="15" customHeight="1">
      <c r="AI135" s="1834"/>
      <c r="AK135" s="1884"/>
    </row>
    <row r="136" spans="35:37" ht="15" customHeight="1">
      <c r="AI136" s="1834"/>
      <c r="AK136" s="1884"/>
    </row>
    <row r="137" spans="35:37" ht="15" customHeight="1">
      <c r="AI137" s="1834"/>
      <c r="AK137" s="1884"/>
    </row>
    <row r="138" spans="35:37" ht="15" customHeight="1">
      <c r="AI138" s="1834"/>
      <c r="AK138" s="1884"/>
    </row>
    <row r="139" spans="35:37" ht="15" customHeight="1">
      <c r="AI139" s="1834"/>
      <c r="AK139" s="1884"/>
    </row>
    <row r="140" spans="35:37" ht="15" customHeight="1">
      <c r="AI140" s="1834"/>
      <c r="AK140" s="1884"/>
    </row>
    <row r="141" spans="35:37" ht="15" customHeight="1">
      <c r="AI141" s="1834"/>
      <c r="AK141" s="1884"/>
    </row>
    <row r="142" spans="35:37" ht="15" customHeight="1">
      <c r="AI142" s="1834"/>
      <c r="AK142" s="1884"/>
    </row>
    <row r="143" spans="35:37" ht="15" customHeight="1">
      <c r="AI143" s="1834"/>
      <c r="AK143" s="1884"/>
    </row>
    <row r="144" spans="35:37" ht="15" customHeight="1">
      <c r="AI144" s="1834"/>
      <c r="AK144" s="1884"/>
    </row>
    <row r="145" spans="35:37" ht="15" customHeight="1">
      <c r="AI145" s="1834"/>
      <c r="AK145" s="1884"/>
    </row>
    <row r="146" spans="35:37" ht="15" customHeight="1">
      <c r="AI146" s="1834"/>
      <c r="AK146" s="1884"/>
    </row>
    <row r="147" spans="35:37" ht="15" customHeight="1">
      <c r="AI147" s="1834"/>
      <c r="AK147" s="1884"/>
    </row>
    <row r="148" spans="35:37" ht="15" customHeight="1">
      <c r="AI148" s="1834"/>
      <c r="AK148" s="1884"/>
    </row>
    <row r="149" spans="35:37" ht="15" customHeight="1">
      <c r="AI149" s="1834"/>
      <c r="AK149" s="1884"/>
    </row>
    <row r="150" spans="35:37" ht="15" customHeight="1">
      <c r="AI150" s="1834"/>
      <c r="AK150" s="1884"/>
    </row>
    <row r="151" spans="35:37" ht="15" customHeight="1">
      <c r="AI151" s="1834"/>
      <c r="AK151" s="1884"/>
    </row>
    <row r="152" spans="35:37" ht="15" customHeight="1">
      <c r="AI152" s="1834"/>
      <c r="AK152" s="1884"/>
    </row>
    <row r="153" spans="35:37" ht="15" customHeight="1">
      <c r="AI153" s="1834"/>
      <c r="AK153" s="1884"/>
    </row>
    <row r="154" spans="35:37" ht="15" customHeight="1">
      <c r="AI154" s="1834"/>
      <c r="AK154" s="1884"/>
    </row>
    <row r="155" spans="35:37" ht="15" customHeight="1">
      <c r="AI155" s="1834"/>
      <c r="AK155" s="1884"/>
    </row>
    <row r="156" spans="35:37" ht="15" customHeight="1">
      <c r="AI156" s="1834"/>
      <c r="AK156" s="1884"/>
    </row>
    <row r="157" spans="35:37" ht="15" customHeight="1">
      <c r="AI157" s="1834"/>
      <c r="AK157" s="1884"/>
    </row>
    <row r="158" spans="35:37" ht="15" customHeight="1">
      <c r="AI158" s="1834"/>
      <c r="AK158" s="1884"/>
    </row>
    <row r="159" spans="35:37" ht="15" customHeight="1">
      <c r="AI159" s="1834"/>
      <c r="AK159" s="1884"/>
    </row>
    <row r="160" spans="35:37" ht="15" customHeight="1">
      <c r="AI160" s="1834"/>
      <c r="AK160" s="1884"/>
    </row>
    <row r="161" spans="35:37" ht="15" customHeight="1">
      <c r="AI161" s="1834"/>
      <c r="AK161" s="1884"/>
    </row>
    <row r="162" spans="35:37" ht="15" customHeight="1">
      <c r="AI162" s="1834"/>
      <c r="AK162" s="1884"/>
    </row>
    <row r="163" spans="35:37" ht="15" customHeight="1">
      <c r="AI163" s="1834"/>
      <c r="AK163" s="1884"/>
    </row>
    <row r="164" spans="35:37" ht="15" customHeight="1">
      <c r="AI164" s="1834"/>
      <c r="AK164" s="1884"/>
    </row>
    <row r="165" spans="35:37" ht="15" customHeight="1">
      <c r="AI165" s="1834"/>
      <c r="AK165" s="1884"/>
    </row>
    <row r="166" spans="35:37" ht="15" customHeight="1">
      <c r="AI166" s="1834"/>
      <c r="AK166" s="1884"/>
    </row>
    <row r="167" spans="35:37" ht="15" customHeight="1">
      <c r="AI167" s="1834"/>
      <c r="AK167" s="1884"/>
    </row>
    <row r="168" spans="35:37" ht="15" customHeight="1">
      <c r="AI168" s="1834"/>
      <c r="AK168" s="1884"/>
    </row>
    <row r="169" spans="35:37" ht="15" customHeight="1">
      <c r="AI169" s="1834"/>
      <c r="AK169" s="1884"/>
    </row>
    <row r="170" spans="35:37" ht="15" customHeight="1"/>
    <row r="171" spans="35:37" ht="15" customHeight="1"/>
    <row r="172" spans="35:37" ht="15" customHeight="1"/>
    <row r="173" spans="35:37" ht="15" customHeight="1"/>
    <row r="174" spans="35:37" ht="15" customHeight="1"/>
    <row r="175" spans="35:37" ht="15" customHeight="1"/>
  </sheetData>
  <customSheetViews>
    <customSheetView guid="{8EE6466D-211E-4E05-9F84-CC0A1C6F79F4}" scale="60" showGridLines="0" topLeftCell="A34">
      <selection activeCell="AF45" sqref="AF45"/>
      <rowBreaks count="1" manualBreakCount="1">
        <brk id="65" max="36" man="1"/>
      </rowBreaks>
      <pageMargins left="0.5" right="0.5" top="0.75" bottom="0.25" header="0" footer="0.25"/>
      <pageSetup scale="40" firstPageNumber="22" fitToHeight="2" orientation="landscape" useFirstPageNumber="1" r:id="rId1"/>
      <headerFooter scaleWithDoc="0" alignWithMargins="0">
        <oddFooter>&amp;C&amp;8&amp;P</oddFooter>
      </headerFooter>
    </customSheetView>
  </customSheetViews>
  <pageMargins left="0.5" right="0.5" top="0.75" bottom="0.25" header="0" footer="0.25"/>
  <pageSetup scale="39" firstPageNumber="22" orientation="landscape" useFirstPageNumber="1" r:id="rId2"/>
  <headerFooter scaleWithDoc="0" alignWithMargins="0">
    <oddFooter>&amp;C&amp;8&amp;P</oddFooter>
  </headerFooter>
  <rowBreaks count="1" manualBreakCount="1">
    <brk id="81" min="1" max="36" man="1"/>
  </rowBreaks>
  <ignoredErrors>
    <ignoredError sqref="AK109:AK110 AK118:AK120 AK122 AK124 AK53:AK74 AK25:AK51 AK79:AK86 AK88:AK99 AK102:AK105 AK112:AK116 AK20:AK23 AK107" unlockedFormula="1"/>
    <ignoredError sqref="AK76:AK78 AK24" formula="1" unlockedFormula="1"/>
    <ignoredError sqref="AI24:AJ2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106"/>
  <sheetViews>
    <sheetView zoomScale="70" zoomScaleNormal="70" workbookViewId="0"/>
  </sheetViews>
  <sheetFormatPr defaultColWidth="8.90625" defaultRowHeight="10.199999999999999"/>
  <cols>
    <col min="1" max="1" width="35.1796875" style="2" customWidth="1"/>
    <col min="2" max="2" width="9.36328125" style="2" customWidth="1"/>
    <col min="3" max="3" width="5.54296875" style="2" customWidth="1"/>
    <col min="4" max="4" width="12.6328125" style="1168" bestFit="1" customWidth="1"/>
    <col min="5" max="5" width="1.6328125" style="2" customWidth="1"/>
    <col min="6" max="6" width="13.453125" style="2" customWidth="1"/>
    <col min="7" max="7" width="2.08984375" style="2" customWidth="1"/>
    <col min="8" max="8" width="12.6328125" style="1168" bestFit="1" customWidth="1"/>
    <col min="9" max="9" width="1.90625" style="2" customWidth="1"/>
    <col min="10" max="10" width="13.6328125" style="2" customWidth="1"/>
    <col min="11" max="11" width="1.90625" style="2" customWidth="1"/>
    <col min="12" max="12" width="11.6328125" style="1168" customWidth="1"/>
    <col min="13" max="13" width="2" style="2" customWidth="1"/>
    <col min="14" max="14" width="13.6328125" style="2" customWidth="1"/>
    <col min="15" max="15" width="1.90625" style="2" customWidth="1"/>
    <col min="16" max="16" width="13" style="2" customWidth="1"/>
    <col min="17" max="17" width="1.6328125" style="2" customWidth="1"/>
    <col min="18" max="18" width="13.1796875" style="2" customWidth="1"/>
    <col min="19" max="21" width="1.08984375" style="2" customWidth="1"/>
    <col min="22" max="22" width="12.6328125" style="1168" bestFit="1" customWidth="1"/>
    <col min="23" max="23" width="1.90625" style="2" customWidth="1"/>
    <col min="24" max="24" width="13.6328125" style="2" customWidth="1"/>
    <col min="25" max="25" width="1.08984375" style="2" customWidth="1"/>
    <col min="26" max="27" width="1.36328125" style="2" customWidth="1"/>
    <col min="28" max="28" width="12.08984375" style="1168" customWidth="1"/>
    <col min="29" max="29" width="1.6328125" style="2" customWidth="1"/>
    <col min="30" max="30" width="13.6328125" style="136" customWidth="1"/>
    <col min="31" max="31" width="1" style="136" customWidth="1"/>
    <col min="32" max="32" width="1" style="2" customWidth="1"/>
    <col min="33" max="33" width="13.08984375" style="2" bestFit="1" customWidth="1"/>
    <col min="34" max="34" width="1.6328125" style="2" customWidth="1"/>
    <col min="35" max="35" width="12.81640625" style="141" customWidth="1"/>
    <col min="36" max="36" width="19.08984375" style="2" customWidth="1"/>
    <col min="37" max="16384" width="8.90625" style="2"/>
  </cols>
  <sheetData>
    <row r="1" spans="1:38" ht="15">
      <c r="A1" s="1172" t="s">
        <v>1103</v>
      </c>
    </row>
    <row r="2" spans="1:38" ht="15">
      <c r="A2" s="1172"/>
    </row>
    <row r="3" spans="1:38" ht="21">
      <c r="A3" s="2332" t="s">
        <v>0</v>
      </c>
      <c r="B3" s="2333"/>
      <c r="C3" s="2333"/>
      <c r="D3" s="2333"/>
      <c r="E3" s="2333"/>
      <c r="F3" s="2333"/>
      <c r="G3" s="2333"/>
      <c r="H3" s="2333"/>
      <c r="I3" s="2333"/>
      <c r="J3" s="2333"/>
      <c r="K3" s="2333"/>
      <c r="L3" s="2333"/>
      <c r="M3" s="2333"/>
      <c r="N3" s="2333"/>
      <c r="O3" s="2333"/>
      <c r="P3" s="2333"/>
      <c r="Q3" s="2333"/>
      <c r="R3" s="2333"/>
      <c r="S3" s="2333"/>
      <c r="T3" s="2333"/>
      <c r="U3" s="2333"/>
      <c r="V3" s="2333"/>
      <c r="W3" s="2333"/>
      <c r="X3" s="2333"/>
      <c r="Y3" s="2333"/>
      <c r="Z3" s="2333"/>
      <c r="AA3" s="2333"/>
      <c r="AB3" s="2333"/>
      <c r="AC3" s="2333"/>
      <c r="AD3" s="2333"/>
      <c r="AE3" s="2333"/>
      <c r="AF3" s="2333"/>
      <c r="AG3" s="2333"/>
      <c r="AH3" s="2333"/>
      <c r="AI3" s="9" t="s">
        <v>2</v>
      </c>
      <c r="AJ3" s="1"/>
    </row>
    <row r="4" spans="1:38" ht="21">
      <c r="A4" s="3380" t="s">
        <v>1</v>
      </c>
      <c r="B4" s="3381"/>
      <c r="C4" s="3381"/>
      <c r="D4" s="3381"/>
      <c r="E4" s="3381"/>
      <c r="F4" s="3381"/>
      <c r="G4" s="3381"/>
      <c r="H4" s="3381"/>
      <c r="I4" s="3381"/>
      <c r="J4" s="3381"/>
      <c r="K4" s="3381"/>
      <c r="L4" s="3381"/>
      <c r="M4" s="3381"/>
      <c r="N4" s="3381"/>
      <c r="O4" s="3381"/>
      <c r="P4" s="3381"/>
      <c r="Q4" s="3381"/>
      <c r="R4" s="3381"/>
      <c r="S4" s="3381"/>
      <c r="T4" s="3381"/>
      <c r="U4" s="3381"/>
      <c r="V4" s="3381"/>
      <c r="W4" s="3381"/>
      <c r="X4" s="3381"/>
      <c r="Y4" s="3381"/>
      <c r="Z4" s="3381"/>
      <c r="AA4" s="3381"/>
      <c r="AB4" s="3381"/>
      <c r="AC4" s="3381"/>
      <c r="AD4" s="3381"/>
      <c r="AE4" s="3381"/>
      <c r="AF4" s="3381"/>
      <c r="AG4" s="3381"/>
      <c r="AH4" s="3381"/>
      <c r="AI4" s="3381"/>
      <c r="AJ4" s="1"/>
    </row>
    <row r="5" spans="1:38" ht="21">
      <c r="A5" s="3380" t="s">
        <v>998</v>
      </c>
      <c r="B5" s="3382"/>
      <c r="C5" s="3382"/>
      <c r="D5" s="3382"/>
      <c r="E5" s="3382"/>
      <c r="F5" s="3382"/>
      <c r="G5" s="3382"/>
      <c r="H5" s="3382"/>
      <c r="I5" s="3382"/>
      <c r="J5" s="3382"/>
      <c r="K5" s="3382"/>
      <c r="L5" s="3382"/>
      <c r="M5" s="3382"/>
      <c r="N5" s="3382"/>
      <c r="O5" s="3382"/>
      <c r="P5" s="3382"/>
      <c r="Q5" s="3382"/>
      <c r="R5" s="3382"/>
      <c r="S5" s="3382"/>
      <c r="T5" s="3382"/>
      <c r="U5" s="3382"/>
      <c r="V5" s="3382"/>
      <c r="W5" s="3382"/>
      <c r="X5" s="3382"/>
      <c r="Y5" s="3382"/>
      <c r="Z5" s="3382"/>
      <c r="AA5" s="3382"/>
      <c r="AB5" s="3382"/>
      <c r="AC5" s="3382"/>
      <c r="AD5" s="3382"/>
      <c r="AE5" s="3381"/>
      <c r="AF5" s="3381"/>
      <c r="AG5" s="3381"/>
      <c r="AH5" s="3381"/>
      <c r="AI5" s="3381"/>
      <c r="AJ5" s="1"/>
    </row>
    <row r="6" spans="1:38" ht="18" customHeight="1">
      <c r="A6" s="3380" t="s">
        <v>991</v>
      </c>
      <c r="B6" s="3381"/>
      <c r="C6" s="3381"/>
      <c r="D6" s="3381"/>
      <c r="E6" s="3381"/>
      <c r="F6" s="3381"/>
      <c r="G6" s="3381"/>
      <c r="H6" s="3381"/>
      <c r="I6" s="3381"/>
      <c r="J6" s="3381"/>
      <c r="K6" s="3381"/>
      <c r="L6" s="3381"/>
      <c r="M6" s="3381"/>
      <c r="N6" s="3381"/>
      <c r="O6" s="3381"/>
      <c r="P6" s="3381"/>
      <c r="Q6" s="3381"/>
      <c r="R6" s="3381"/>
      <c r="S6" s="3381"/>
      <c r="T6" s="3381"/>
      <c r="U6" s="3381"/>
      <c r="V6" s="3381"/>
      <c r="W6" s="3381"/>
      <c r="X6" s="3381"/>
      <c r="Y6" s="3381"/>
      <c r="Z6" s="3381"/>
      <c r="AA6" s="3381"/>
      <c r="AB6" s="3381"/>
      <c r="AC6" s="3381"/>
      <c r="AD6" s="3381"/>
      <c r="AE6" s="3381"/>
      <c r="AF6" s="3381"/>
      <c r="AG6" s="3381"/>
      <c r="AH6" s="3381"/>
      <c r="AI6" s="3381"/>
      <c r="AJ6" s="1"/>
    </row>
    <row r="7" spans="1:38" ht="15.6">
      <c r="A7" s="3"/>
      <c r="B7" s="3"/>
      <c r="C7" s="3"/>
      <c r="D7" s="1164"/>
      <c r="E7" s="3"/>
      <c r="F7" s="4"/>
      <c r="G7" s="3"/>
      <c r="H7" s="1169"/>
      <c r="I7" s="5"/>
      <c r="J7" s="6"/>
      <c r="K7" s="5"/>
      <c r="L7" s="1169"/>
      <c r="M7" s="3"/>
      <c r="N7" s="6"/>
      <c r="O7" s="5"/>
      <c r="P7" s="5"/>
      <c r="Q7" s="5"/>
      <c r="R7" s="6"/>
      <c r="S7" s="3"/>
      <c r="T7" s="3"/>
      <c r="U7" s="3"/>
      <c r="V7" s="1164"/>
      <c r="W7" s="3"/>
      <c r="X7" s="3"/>
      <c r="Y7" s="3"/>
      <c r="Z7" s="3"/>
      <c r="AA7" s="3"/>
      <c r="AB7" s="1164"/>
      <c r="AC7" s="3"/>
      <c r="AD7" s="7"/>
      <c r="AE7" s="7"/>
      <c r="AF7" s="8"/>
      <c r="AG7" s="8"/>
      <c r="AJ7" s="1"/>
      <c r="AK7" s="1"/>
      <c r="AL7" s="1"/>
    </row>
    <row r="8" spans="1:38" ht="15.9" customHeight="1">
      <c r="A8" s="5"/>
      <c r="B8" s="3"/>
      <c r="C8" s="3"/>
      <c r="D8" s="1169"/>
      <c r="E8" s="3"/>
      <c r="F8" s="4"/>
      <c r="G8" s="3"/>
      <c r="H8" s="1169"/>
      <c r="I8" s="5"/>
      <c r="J8" s="6"/>
      <c r="K8" s="5"/>
      <c r="L8" s="1169"/>
      <c r="M8" s="3"/>
      <c r="N8" s="6"/>
      <c r="O8" s="5"/>
      <c r="P8" s="5"/>
      <c r="Q8" s="5"/>
      <c r="R8" s="6"/>
      <c r="S8" s="3"/>
      <c r="T8" s="3"/>
      <c r="U8" s="3"/>
      <c r="V8" s="1164"/>
      <c r="W8" s="3"/>
      <c r="X8" s="3"/>
      <c r="Y8" s="3"/>
      <c r="Z8" s="3"/>
      <c r="AA8" s="3"/>
      <c r="AB8" s="1164"/>
      <c r="AC8" s="3"/>
      <c r="AD8" s="10"/>
      <c r="AE8" s="10"/>
      <c r="AF8" s="11"/>
      <c r="AG8" s="11"/>
      <c r="AI8" s="1"/>
      <c r="AJ8" s="1"/>
      <c r="AK8" s="1"/>
      <c r="AL8" s="1"/>
    </row>
    <row r="9" spans="1:38" ht="15.9" customHeight="1">
      <c r="A9" s="3"/>
      <c r="B9" s="3"/>
      <c r="C9" s="3"/>
      <c r="D9" s="3"/>
      <c r="E9" s="3"/>
      <c r="F9" s="4"/>
      <c r="G9" s="3"/>
      <c r="H9" s="5"/>
      <c r="I9" s="5"/>
      <c r="J9" s="6"/>
      <c r="K9" s="5"/>
      <c r="L9" s="5"/>
      <c r="M9" s="3"/>
      <c r="N9" s="6"/>
      <c r="O9" s="5"/>
      <c r="P9" s="5"/>
      <c r="Q9" s="5"/>
      <c r="R9" s="6"/>
      <c r="S9" s="3"/>
      <c r="T9" s="3"/>
      <c r="U9" s="12"/>
      <c r="V9" s="3"/>
      <c r="W9" s="3"/>
      <c r="X9" s="3"/>
      <c r="Y9" s="3"/>
      <c r="Z9" s="3"/>
      <c r="AA9" s="3"/>
      <c r="AB9" s="3"/>
      <c r="AC9" s="3"/>
      <c r="AD9" s="13"/>
      <c r="AE9" s="13"/>
      <c r="AF9" s="14"/>
      <c r="AG9" s="14"/>
      <c r="AI9" s="1172"/>
      <c r="AJ9" s="1"/>
      <c r="AK9" s="1"/>
      <c r="AL9" s="1"/>
    </row>
    <row r="10" spans="1:38" ht="15.9" customHeight="1">
      <c r="A10" s="15"/>
      <c r="B10" s="15"/>
      <c r="C10" s="15"/>
      <c r="D10" s="16" t="s">
        <v>3</v>
      </c>
      <c r="E10" s="16"/>
      <c r="F10" s="17"/>
      <c r="G10" s="14"/>
      <c r="H10" s="16" t="s">
        <v>4</v>
      </c>
      <c r="I10" s="16"/>
      <c r="J10" s="17"/>
      <c r="K10" s="14"/>
      <c r="L10" s="16" t="s">
        <v>5</v>
      </c>
      <c r="M10" s="16"/>
      <c r="N10" s="17"/>
      <c r="O10" s="14"/>
      <c r="P10" s="16" t="s">
        <v>6</v>
      </c>
      <c r="Q10" s="16"/>
      <c r="R10" s="17"/>
      <c r="S10" s="14"/>
      <c r="T10" s="18"/>
      <c r="U10" s="18"/>
      <c r="V10" s="3383" t="s">
        <v>1340</v>
      </c>
      <c r="W10" s="3384"/>
      <c r="X10" s="3384"/>
      <c r="Y10" s="3384"/>
      <c r="Z10" s="3384"/>
      <c r="AA10" s="3384"/>
      <c r="AB10" s="3384"/>
      <c r="AC10" s="3384"/>
      <c r="AD10" s="3384"/>
      <c r="AE10" s="3384"/>
      <c r="AF10" s="3384"/>
      <c r="AG10" s="3384"/>
      <c r="AH10" s="3384"/>
      <c r="AI10" s="3385"/>
      <c r="AJ10" s="19"/>
      <c r="AK10" s="1"/>
      <c r="AL10" s="1"/>
    </row>
    <row r="11" spans="1:38" ht="15.9" customHeight="1">
      <c r="A11" s="15"/>
      <c r="B11" s="15"/>
      <c r="C11" s="15"/>
      <c r="D11" s="20" t="s">
        <v>7</v>
      </c>
      <c r="E11" s="20"/>
      <c r="F11" s="21" t="s">
        <v>1467</v>
      </c>
      <c r="G11" s="11"/>
      <c r="H11" s="20" t="s">
        <v>7</v>
      </c>
      <c r="I11" s="20"/>
      <c r="J11" s="22" t="str">
        <f>F11</f>
        <v>1 MO. ENDED</v>
      </c>
      <c r="K11" s="11"/>
      <c r="L11" s="20" t="s">
        <v>7</v>
      </c>
      <c r="M11" s="20"/>
      <c r="N11" s="22" t="str">
        <f>F11</f>
        <v>1 MO. ENDED</v>
      </c>
      <c r="O11" s="11"/>
      <c r="P11" s="20" t="s">
        <v>7</v>
      </c>
      <c r="Q11" s="20"/>
      <c r="R11" s="22" t="str">
        <f>J11</f>
        <v>1 MO. ENDED</v>
      </c>
      <c r="S11" s="11"/>
      <c r="T11" s="11"/>
      <c r="U11" s="1173"/>
      <c r="V11" s="20" t="s">
        <v>7</v>
      </c>
      <c r="W11" s="20"/>
      <c r="X11" s="20" t="str">
        <f>F11</f>
        <v>1 MO. ENDED</v>
      </c>
      <c r="Y11" s="20"/>
      <c r="Z11" s="20"/>
      <c r="AA11" s="20"/>
      <c r="AB11" s="20" t="s">
        <v>7</v>
      </c>
      <c r="AC11" s="20"/>
      <c r="AD11" s="24" t="str">
        <f>F11</f>
        <v>1 MO. ENDED</v>
      </c>
      <c r="AE11" s="24"/>
      <c r="AF11" s="20"/>
      <c r="AG11" s="20" t="s">
        <v>8</v>
      </c>
      <c r="AH11" s="1174"/>
      <c r="AI11" s="20" t="s">
        <v>9</v>
      </c>
      <c r="AJ11" s="1"/>
      <c r="AK11" s="1"/>
      <c r="AL11" s="1"/>
    </row>
    <row r="12" spans="1:38" ht="15.9" customHeight="1">
      <c r="A12" s="15"/>
      <c r="B12" s="15"/>
      <c r="C12" s="15"/>
      <c r="D12" s="25" t="s">
        <v>1466</v>
      </c>
      <c r="E12" s="11"/>
      <c r="F12" s="1802" t="s">
        <v>1468</v>
      </c>
      <c r="G12" s="11"/>
      <c r="H12" s="26" t="str">
        <f>D12</f>
        <v>APR. 2016</v>
      </c>
      <c r="I12" s="11"/>
      <c r="J12" s="27" t="str">
        <f>F12</f>
        <v>APR. 30, 2016</v>
      </c>
      <c r="K12" s="11"/>
      <c r="L12" s="26" t="str">
        <f>D12</f>
        <v>APR. 2016</v>
      </c>
      <c r="M12" s="11"/>
      <c r="N12" s="27" t="str">
        <f>F12</f>
        <v>APR. 30, 2016</v>
      </c>
      <c r="O12" s="11"/>
      <c r="P12" s="26" t="str">
        <f>D12</f>
        <v>APR. 2016</v>
      </c>
      <c r="Q12" s="11"/>
      <c r="R12" s="27" t="str">
        <f>J12</f>
        <v>APR. 30, 2016</v>
      </c>
      <c r="S12" s="11"/>
      <c r="T12" s="11"/>
      <c r="U12" s="1175"/>
      <c r="V12" s="26" t="str">
        <f>D12</f>
        <v>APR. 2016</v>
      </c>
      <c r="W12" s="11"/>
      <c r="X12" s="26" t="str">
        <f>F12</f>
        <v>APR. 30, 2016</v>
      </c>
      <c r="Y12" s="11"/>
      <c r="Z12" s="11"/>
      <c r="AA12" s="11"/>
      <c r="AB12" s="25" t="s">
        <v>1480</v>
      </c>
      <c r="AC12" s="11"/>
      <c r="AD12" s="25" t="s">
        <v>1481</v>
      </c>
      <c r="AE12" s="28"/>
      <c r="AF12" s="28"/>
      <c r="AG12" s="26" t="s">
        <v>13</v>
      </c>
      <c r="AH12" s="1172"/>
      <c r="AI12" s="25" t="s">
        <v>14</v>
      </c>
      <c r="AJ12" s="19"/>
      <c r="AK12" s="1"/>
      <c r="AL12" s="1"/>
    </row>
    <row r="13" spans="1:38" ht="15.9" customHeight="1">
      <c r="A13" s="14" t="s">
        <v>15</v>
      </c>
      <c r="B13" s="15"/>
      <c r="C13" s="15"/>
      <c r="D13" s="1165" t="s">
        <v>16</v>
      </c>
      <c r="E13" s="15"/>
      <c r="F13" s="30"/>
      <c r="G13" s="15"/>
      <c r="H13" s="1165" t="s">
        <v>16</v>
      </c>
      <c r="I13" s="15"/>
      <c r="J13" s="30"/>
      <c r="K13" s="15"/>
      <c r="L13" s="1165" t="s">
        <v>16</v>
      </c>
      <c r="M13" s="15"/>
      <c r="N13" s="30"/>
      <c r="O13" s="15"/>
      <c r="P13" s="1121" t="s">
        <v>16</v>
      </c>
      <c r="Q13" s="1122"/>
      <c r="R13" s="1123"/>
      <c r="S13" s="31"/>
      <c r="T13" s="31"/>
      <c r="U13" s="29"/>
      <c r="V13" s="1165"/>
      <c r="W13" s="15"/>
      <c r="X13" s="29"/>
      <c r="Y13" s="31"/>
      <c r="Z13" s="32"/>
      <c r="AA13" s="29"/>
      <c r="AB13" s="1165"/>
      <c r="AC13" s="15"/>
      <c r="AD13" s="33"/>
      <c r="AE13" s="33"/>
      <c r="AF13" s="34"/>
      <c r="AG13" s="29"/>
      <c r="AI13" s="19"/>
      <c r="AJ13" s="19"/>
      <c r="AK13" s="1"/>
      <c r="AL13" s="1"/>
    </row>
    <row r="14" spans="1:38" ht="18" customHeight="1">
      <c r="A14" s="15" t="s">
        <v>17</v>
      </c>
      <c r="B14" s="1831">
        <v>-4</v>
      </c>
      <c r="C14" s="15"/>
      <c r="D14" s="2598">
        <f>+'Exhibit F'!D28</f>
        <v>4786.5</v>
      </c>
      <c r="E14" s="37" t="s">
        <v>16</v>
      </c>
      <c r="F14" s="1197">
        <f>+'Exhibit F'!AC28</f>
        <v>4786.5</v>
      </c>
      <c r="G14" s="37"/>
      <c r="H14" s="2598">
        <f>'Exhibit G'!D18</f>
        <v>1.3</v>
      </c>
      <c r="I14" s="38"/>
      <c r="J14" s="1197">
        <f>'Exhibit G'!AC18</f>
        <v>1.3</v>
      </c>
      <c r="K14" s="37"/>
      <c r="L14" s="2721">
        <f>+'Exhibit H'!B16</f>
        <v>1595.9</v>
      </c>
      <c r="M14" s="1197"/>
      <c r="N14" s="1197">
        <f>+'Exhibit H'!AA16</f>
        <v>1595.9</v>
      </c>
      <c r="O14" s="1197"/>
      <c r="P14" s="1258">
        <v>0</v>
      </c>
      <c r="Q14" s="1259"/>
      <c r="R14" s="1258">
        <v>0</v>
      </c>
      <c r="S14" s="1423"/>
      <c r="T14" s="1423"/>
      <c r="U14" s="1424"/>
      <c r="V14" s="2598">
        <f t="shared" ref="V14:V19" si="0">ROUND(SUM(D14)+SUM(H14)+SUM(L14)+SUM(P14),1)</f>
        <v>6383.7</v>
      </c>
      <c r="W14" s="1422" t="s">
        <v>16</v>
      </c>
      <c r="X14" s="1422">
        <f t="shared" ref="X14:X19" si="1">ROUND(SUM(F14)+SUM(J14)+SUM(N14)+SUM(R14),1)</f>
        <v>6383.7</v>
      </c>
      <c r="Y14" s="39"/>
      <c r="Z14" s="41"/>
      <c r="AA14" s="40"/>
      <c r="AB14" s="1189">
        <v>6718.4</v>
      </c>
      <c r="AC14" s="37"/>
      <c r="AD14" s="2725">
        <f>ROUND(+'Exhibit F'!AF28+'Exhibit G'!AF18+'Exhibit H'!AD16,1)</f>
        <v>6718.4</v>
      </c>
      <c r="AE14" s="42"/>
      <c r="AF14" s="43"/>
      <c r="AG14" s="37">
        <f t="shared" ref="AG14:AG19" si="2">ROUND(SUM(X14-AD14),1)</f>
        <v>-334.7</v>
      </c>
      <c r="AH14" s="44"/>
      <c r="AI14" s="45">
        <f t="shared" ref="AI14:AI19" si="3">ROUND(SUM((+X14-AD14)/ABS(AD14)),3)</f>
        <v>-0.05</v>
      </c>
      <c r="AJ14" s="1800"/>
      <c r="AK14" s="1"/>
      <c r="AL14" s="1"/>
    </row>
    <row r="15" spans="1:38" ht="18" customHeight="1">
      <c r="A15" s="15" t="s">
        <v>18</v>
      </c>
      <c r="B15" s="46" t="s">
        <v>16</v>
      </c>
      <c r="C15" s="15"/>
      <c r="D15" s="1126">
        <f>+'Exhibit F'!D37</f>
        <v>547</v>
      </c>
      <c r="E15" s="47"/>
      <c r="F15" s="48">
        <f>+'Exhibit F'!AC37</f>
        <v>547</v>
      </c>
      <c r="G15" s="47"/>
      <c r="H15" s="1126">
        <f>'Exhibit G'!D29</f>
        <v>185.4</v>
      </c>
      <c r="I15" s="47"/>
      <c r="J15" s="48">
        <f>+'Exhibit G'!AC29</f>
        <v>185.4</v>
      </c>
      <c r="K15" s="47"/>
      <c r="L15" s="2720">
        <f>'Exhibit H'!B20</f>
        <v>498.2</v>
      </c>
      <c r="M15" s="48"/>
      <c r="N15" s="48">
        <f>+'Exhibit H'!AA20</f>
        <v>498.2</v>
      </c>
      <c r="O15" s="48"/>
      <c r="P15" s="2720">
        <f>' Exhbit I '!E23</f>
        <v>43.7</v>
      </c>
      <c r="Q15" s="1125"/>
      <c r="R15" s="1124">
        <f>+' Exhbit I '!AD23</f>
        <v>43.7</v>
      </c>
      <c r="S15" s="50"/>
      <c r="T15" s="50"/>
      <c r="U15" s="51"/>
      <c r="V15" s="1125">
        <f t="shared" si="0"/>
        <v>1274.3</v>
      </c>
      <c r="W15" s="47" t="s">
        <v>16</v>
      </c>
      <c r="X15" s="47">
        <f t="shared" si="1"/>
        <v>1274.3</v>
      </c>
      <c r="Y15" s="50"/>
      <c r="Z15" s="52"/>
      <c r="AA15" s="51"/>
      <c r="AB15" s="1135">
        <v>1239.5</v>
      </c>
      <c r="AC15" s="53"/>
      <c r="AD15" s="33">
        <f>ROUND(+' Exhbit I '!AG23+'Exhibit G'!AF29+'Exhibit H'!AD20+'Exhibit F'!AF37,1)</f>
        <v>1239.5</v>
      </c>
      <c r="AE15" s="54"/>
      <c r="AF15" s="55"/>
      <c r="AG15" s="47">
        <f t="shared" si="2"/>
        <v>34.799999999999997</v>
      </c>
      <c r="AI15" s="45">
        <f t="shared" si="3"/>
        <v>2.8000000000000001E-2</v>
      </c>
      <c r="AJ15" s="29"/>
      <c r="AK15" s="1"/>
      <c r="AL15" s="1"/>
    </row>
    <row r="16" spans="1:38" ht="18" customHeight="1">
      <c r="A16" s="15" t="s">
        <v>19</v>
      </c>
      <c r="B16" s="56"/>
      <c r="C16" s="15"/>
      <c r="D16" s="1126">
        <f>+'Exhibit F'!D44</f>
        <v>158</v>
      </c>
      <c r="E16" s="47"/>
      <c r="F16" s="48">
        <f>+'Exhibit F'!AC44</f>
        <v>158</v>
      </c>
      <c r="G16" s="47"/>
      <c r="H16" s="1126">
        <f>'Exhibit G'!D36</f>
        <v>73.3</v>
      </c>
      <c r="I16" s="47"/>
      <c r="J16" s="48">
        <f>'Exhibit G'!AC36</f>
        <v>73.3</v>
      </c>
      <c r="K16" s="47"/>
      <c r="L16" s="1132">
        <v>0</v>
      </c>
      <c r="M16" s="48"/>
      <c r="N16" s="58">
        <v>0</v>
      </c>
      <c r="O16" s="48"/>
      <c r="P16" s="2720">
        <f>' Exhbit I '!E28</f>
        <v>49</v>
      </c>
      <c r="Q16" s="1125"/>
      <c r="R16" s="1124">
        <f>' Exhbit I '!AD28</f>
        <v>49</v>
      </c>
      <c r="S16" s="50"/>
      <c r="T16" s="50"/>
      <c r="U16" s="51"/>
      <c r="V16" s="1125">
        <f t="shared" si="0"/>
        <v>280.3</v>
      </c>
      <c r="W16" s="47" t="s">
        <v>16</v>
      </c>
      <c r="X16" s="47">
        <f t="shared" si="1"/>
        <v>280.3</v>
      </c>
      <c r="Y16" s="50"/>
      <c r="Z16" s="52"/>
      <c r="AA16" s="51"/>
      <c r="AB16" s="1135">
        <v>314.7</v>
      </c>
      <c r="AC16" s="53"/>
      <c r="AD16" s="33">
        <f>ROUND(+'Exhibit G'!AF36+' Exhbit I '!AG28+'Exhibit F'!AF44,1)</f>
        <v>314.7</v>
      </c>
      <c r="AE16" s="54"/>
      <c r="AF16" s="55"/>
      <c r="AG16" s="47">
        <f t="shared" si="2"/>
        <v>-34.4</v>
      </c>
      <c r="AI16" s="45">
        <f t="shared" si="3"/>
        <v>-0.109</v>
      </c>
      <c r="AJ16" s="29"/>
      <c r="AK16" s="1"/>
      <c r="AL16" s="1"/>
    </row>
    <row r="17" spans="1:38" ht="18" customHeight="1">
      <c r="A17" s="15" t="s">
        <v>20</v>
      </c>
      <c r="B17" s="36"/>
      <c r="C17" s="15"/>
      <c r="D17" s="1126">
        <f>+'Exhibit F'!D52</f>
        <v>75.599999999999994</v>
      </c>
      <c r="E17" s="47"/>
      <c r="F17" s="48">
        <f>+'Exhibit F'!AC52</f>
        <v>75.599999999999994</v>
      </c>
      <c r="G17" s="47"/>
      <c r="H17" s="1126">
        <f>'Exhibit G'!D38</f>
        <v>116.6</v>
      </c>
      <c r="I17" s="47"/>
      <c r="J17" s="47">
        <f>'Exhibit G'!AC39</f>
        <v>116.6</v>
      </c>
      <c r="K17" s="47"/>
      <c r="L17" s="2720">
        <f>'Exhibit H'!B23</f>
        <v>90.4</v>
      </c>
      <c r="M17" s="48"/>
      <c r="N17" s="48">
        <f>+'Exhibit H'!AA23</f>
        <v>90.4</v>
      </c>
      <c r="O17" s="48"/>
      <c r="P17" s="2720">
        <f>' Exhbit I '!E31</f>
        <v>0</v>
      </c>
      <c r="Q17" s="1125"/>
      <c r="R17" s="1124">
        <f>' Exhbit I '!AD31</f>
        <v>0</v>
      </c>
      <c r="S17" s="50"/>
      <c r="T17" s="50"/>
      <c r="U17" s="51"/>
      <c r="V17" s="1125">
        <f t="shared" si="0"/>
        <v>282.60000000000002</v>
      </c>
      <c r="W17" s="47" t="s">
        <v>16</v>
      </c>
      <c r="X17" s="47">
        <f t="shared" si="1"/>
        <v>282.60000000000002</v>
      </c>
      <c r="Y17" s="50"/>
      <c r="Z17" s="52"/>
      <c r="AA17" s="51"/>
      <c r="AB17" s="1125">
        <v>368.7</v>
      </c>
      <c r="AC17" s="47"/>
      <c r="AD17" s="54">
        <f>ROUND(+'Exhibit F'!AF52+'Exhibit G'!AF39+'Exhibit H'!AD23+' Exhbit I '!AG31,1)</f>
        <v>368.7</v>
      </c>
      <c r="AE17" s="54"/>
      <c r="AF17" s="55"/>
      <c r="AG17" s="47">
        <f t="shared" si="2"/>
        <v>-86.1</v>
      </c>
      <c r="AI17" s="45">
        <f t="shared" si="3"/>
        <v>-0.23400000000000001</v>
      </c>
      <c r="AJ17" s="33"/>
      <c r="AK17" s="1"/>
      <c r="AL17" s="1"/>
    </row>
    <row r="18" spans="1:38" ht="18" customHeight="1">
      <c r="A18" s="15" t="s">
        <v>21</v>
      </c>
      <c r="B18" s="59"/>
      <c r="C18" s="15"/>
      <c r="D18" s="1126">
        <f>+'Exhibit F'!D89</f>
        <v>68.3</v>
      </c>
      <c r="E18" s="47"/>
      <c r="F18" s="48">
        <f>+'Exhibit F'!AC89</f>
        <v>68.3</v>
      </c>
      <c r="G18" s="47"/>
      <c r="H18" s="1126">
        <f>'Exhibit G'!D83</f>
        <v>1291.3</v>
      </c>
      <c r="I18" s="47"/>
      <c r="J18" s="48">
        <f>+'Exhibit G'!AC83</f>
        <v>1291.3</v>
      </c>
      <c r="K18" s="47"/>
      <c r="L18" s="2720">
        <f>+'Exhibit H'!B43</f>
        <v>10.7</v>
      </c>
      <c r="M18" s="48"/>
      <c r="N18" s="48">
        <f>+'Exhibit H'!AA43</f>
        <v>10.7</v>
      </c>
      <c r="O18" s="48"/>
      <c r="P18" s="2720">
        <f>+' Exhbit I '!E61</f>
        <v>85.2</v>
      </c>
      <c r="Q18" s="1125"/>
      <c r="R18" s="1126">
        <f>+' Exhbit I '!AD61</f>
        <v>85.2</v>
      </c>
      <c r="S18" s="50"/>
      <c r="T18" s="50"/>
      <c r="U18" s="51"/>
      <c r="V18" s="1125">
        <f t="shared" si="0"/>
        <v>1455.5</v>
      </c>
      <c r="W18" s="47" t="s">
        <v>16</v>
      </c>
      <c r="X18" s="47">
        <f t="shared" si="1"/>
        <v>1455.5</v>
      </c>
      <c r="Y18" s="50"/>
      <c r="Z18" s="52"/>
      <c r="AA18" s="51"/>
      <c r="AB18" s="1135">
        <v>705</v>
      </c>
      <c r="AC18" s="53"/>
      <c r="AD18" s="54">
        <f>ROUND('Exhibit F'!AF89+'Exhibit G'!AF83+'Exhibit H'!AD43+' Exhbit I '!AG61,1)</f>
        <v>705</v>
      </c>
      <c r="AE18" s="54"/>
      <c r="AF18" s="55"/>
      <c r="AG18" s="47">
        <f t="shared" si="2"/>
        <v>750.5</v>
      </c>
      <c r="AI18" s="45">
        <f t="shared" si="3"/>
        <v>1.0649999999999999</v>
      </c>
      <c r="AJ18" s="29"/>
      <c r="AK18" s="1"/>
      <c r="AL18" s="1"/>
    </row>
    <row r="19" spans="1:38" ht="18" customHeight="1">
      <c r="A19" s="15" t="s">
        <v>22</v>
      </c>
      <c r="B19" s="59"/>
      <c r="C19" s="15"/>
      <c r="D19" s="1126">
        <f>+'Exhibit F'!D91</f>
        <v>0</v>
      </c>
      <c r="E19" s="51"/>
      <c r="F19" s="48">
        <f>+'Exhibit F'!AC91</f>
        <v>0</v>
      </c>
      <c r="G19" s="47"/>
      <c r="H19" s="1126">
        <f>'Exhibit G'!D85</f>
        <v>3149.5</v>
      </c>
      <c r="I19" s="47"/>
      <c r="J19" s="48">
        <f>+'Exhibit G'!AC85</f>
        <v>3149.5</v>
      </c>
      <c r="K19" s="47"/>
      <c r="L19" s="2720">
        <f>+'Exhibit H'!B45</f>
        <v>0</v>
      </c>
      <c r="M19" s="74"/>
      <c r="N19" s="48">
        <f>+'Exhibit H'!AA45</f>
        <v>0</v>
      </c>
      <c r="O19" s="48"/>
      <c r="P19" s="2720">
        <f>+' Exhbit I '!E63</f>
        <v>126.2</v>
      </c>
      <c r="Q19" s="1125"/>
      <c r="R19" s="1126">
        <f>+' Exhbit I '!AD63</f>
        <v>126.2</v>
      </c>
      <c r="S19" s="50"/>
      <c r="T19" s="50"/>
      <c r="U19" s="51"/>
      <c r="V19" s="1127">
        <f t="shared" si="0"/>
        <v>3275.7</v>
      </c>
      <c r="W19" s="47" t="s">
        <v>16</v>
      </c>
      <c r="X19" s="51">
        <f t="shared" si="1"/>
        <v>3275.7</v>
      </c>
      <c r="Y19" s="50"/>
      <c r="Z19" s="52"/>
      <c r="AA19" s="51"/>
      <c r="AB19" s="1125">
        <v>1730</v>
      </c>
      <c r="AC19" s="47"/>
      <c r="AD19" s="54">
        <f>ROUND(+'Exhibit F'!AF91+'Exhibit G'!AF85+'Exhibit H'!AD45+' Exhbit I '!AG63,1)</f>
        <v>1730</v>
      </c>
      <c r="AE19" s="54"/>
      <c r="AF19" s="55"/>
      <c r="AG19" s="47">
        <f t="shared" si="2"/>
        <v>1545.7</v>
      </c>
      <c r="AI19" s="45">
        <f t="shared" si="3"/>
        <v>0.89300000000000002</v>
      </c>
      <c r="AJ19" s="29"/>
      <c r="AK19" s="1"/>
      <c r="AL19" s="1"/>
    </row>
    <row r="20" spans="1:38" ht="18" customHeight="1">
      <c r="A20" s="14" t="s">
        <v>23</v>
      </c>
      <c r="B20" s="15"/>
      <c r="C20" s="15"/>
      <c r="D20" s="62">
        <f>ROUND(SUM(D14:D19),1)</f>
        <v>5635.4</v>
      </c>
      <c r="E20" s="61"/>
      <c r="F20" s="62">
        <f>ROUND(SUM(F14:F19),1)</f>
        <v>5635.4</v>
      </c>
      <c r="G20" s="63"/>
      <c r="H20" s="65">
        <f>ROUND(SUM(H14:H19),1)</f>
        <v>4817.3999999999996</v>
      </c>
      <c r="I20" s="63"/>
      <c r="J20" s="65">
        <f>ROUND(SUM(J14:J19),1)</f>
        <v>4817.3999999999996</v>
      </c>
      <c r="K20" s="63"/>
      <c r="L20" s="65">
        <f>ROUND(SUM(L14:L19),1)</f>
        <v>2195.1999999999998</v>
      </c>
      <c r="M20" s="2603"/>
      <c r="N20" s="65">
        <f>ROUND(SUM(N14:N19),1)</f>
        <v>2195.1999999999998</v>
      </c>
      <c r="O20" s="2603"/>
      <c r="P20" s="65">
        <f>ROUND(SUM(P14:P19),1)</f>
        <v>304.10000000000002</v>
      </c>
      <c r="Q20" s="63"/>
      <c r="R20" s="65">
        <f>ROUND(SUM(R14:R19),1)</f>
        <v>304.10000000000002</v>
      </c>
      <c r="S20" s="66"/>
      <c r="T20" s="66"/>
      <c r="U20" s="67"/>
      <c r="V20" s="64">
        <f>ROUND(SUM(V14:V19),1)</f>
        <v>12952.1</v>
      </c>
      <c r="W20" s="63"/>
      <c r="X20" s="64">
        <f>ROUND(SUM(X14:X19),1)</f>
        <v>12952.1</v>
      </c>
      <c r="Y20" s="66"/>
      <c r="Z20" s="68"/>
      <c r="AA20" s="67"/>
      <c r="AB20" s="64">
        <f>ROUND(SUM(AB14:AB19),1)</f>
        <v>11076.3</v>
      </c>
      <c r="AC20" s="63"/>
      <c r="AD20" s="64">
        <f>ROUND(SUM(AD14:AD19),1)</f>
        <v>11076.3</v>
      </c>
      <c r="AE20" s="69"/>
      <c r="AF20" s="70"/>
      <c r="AG20" s="64">
        <f>ROUND(SUM(AG14:AG19),1)</f>
        <v>1875.8</v>
      </c>
      <c r="AH20" s="71"/>
      <c r="AI20" s="72">
        <f>(+X20-AD20)/ABS(AD20)</f>
        <v>0.16935258163827283</v>
      </c>
      <c r="AJ20" s="73"/>
      <c r="AK20" s="1"/>
      <c r="AL20" s="1"/>
    </row>
    <row r="21" spans="1:38" ht="15.9" customHeight="1">
      <c r="A21" s="14"/>
      <c r="B21" s="15"/>
      <c r="C21" s="15"/>
      <c r="D21" s="1128"/>
      <c r="E21" s="51"/>
      <c r="F21" s="74"/>
      <c r="G21" s="47"/>
      <c r="H21" s="1128"/>
      <c r="I21" s="47"/>
      <c r="J21" s="74"/>
      <c r="K21" s="47"/>
      <c r="L21" s="1128"/>
      <c r="M21" s="48"/>
      <c r="N21" s="74"/>
      <c r="O21" s="48"/>
      <c r="P21" s="1128"/>
      <c r="Q21" s="1125"/>
      <c r="R21" s="1128"/>
      <c r="S21" s="50"/>
      <c r="T21" s="50"/>
      <c r="U21" s="51"/>
      <c r="V21" s="1127"/>
      <c r="W21" s="47"/>
      <c r="X21" s="51"/>
      <c r="Y21" s="50"/>
      <c r="Z21" s="52"/>
      <c r="AA21" s="51"/>
      <c r="AB21" s="1127"/>
      <c r="AC21" s="47"/>
      <c r="AD21" s="54"/>
      <c r="AE21" s="54"/>
      <c r="AF21" s="55"/>
      <c r="AG21" s="51"/>
      <c r="AI21" s="19"/>
      <c r="AJ21" s="29"/>
      <c r="AK21" s="1"/>
      <c r="AL21" s="1"/>
    </row>
    <row r="22" spans="1:38" ht="15.9" customHeight="1">
      <c r="A22" s="14" t="s">
        <v>24</v>
      </c>
      <c r="B22" s="15"/>
      <c r="C22" s="15"/>
      <c r="D22" s="1126"/>
      <c r="E22" s="47"/>
      <c r="F22" s="48"/>
      <c r="G22" s="47"/>
      <c r="H22" s="1126"/>
      <c r="I22" s="47"/>
      <c r="J22" s="48"/>
      <c r="K22" s="47"/>
      <c r="L22" s="1126"/>
      <c r="M22" s="48"/>
      <c r="N22" s="48"/>
      <c r="O22" s="48"/>
      <c r="P22" s="1126"/>
      <c r="Q22" s="1125"/>
      <c r="R22" s="1126"/>
      <c r="S22" s="50"/>
      <c r="T22" s="50"/>
      <c r="U22" s="51"/>
      <c r="V22" s="1125"/>
      <c r="W22" s="47"/>
      <c r="X22" s="47"/>
      <c r="Y22" s="50"/>
      <c r="Z22" s="52"/>
      <c r="AA22" s="51"/>
      <c r="AB22" s="1125"/>
      <c r="AC22" s="47"/>
      <c r="AD22" s="54"/>
      <c r="AE22" s="54"/>
      <c r="AF22" s="55"/>
      <c r="AG22" s="47"/>
      <c r="AI22" s="19"/>
      <c r="AJ22" s="29"/>
      <c r="AK22" s="1"/>
      <c r="AL22" s="1"/>
    </row>
    <row r="23" spans="1:38" ht="15.9" customHeight="1">
      <c r="A23" s="15" t="s">
        <v>25</v>
      </c>
      <c r="B23" s="36" t="s">
        <v>1082</v>
      </c>
      <c r="C23" s="15"/>
      <c r="D23" s="1132" t="s">
        <v>16</v>
      </c>
      <c r="E23" s="47"/>
      <c r="F23" s="58" t="s">
        <v>16</v>
      </c>
      <c r="G23" s="47"/>
      <c r="H23" s="1130"/>
      <c r="I23" s="47"/>
      <c r="J23" s="75"/>
      <c r="K23" s="47"/>
      <c r="L23" s="1130"/>
      <c r="M23" s="48"/>
      <c r="N23" s="75"/>
      <c r="O23" s="48"/>
      <c r="P23" s="1130"/>
      <c r="Q23" s="1125"/>
      <c r="R23" s="1130"/>
      <c r="S23" s="50"/>
      <c r="T23" s="50"/>
      <c r="U23" s="51"/>
      <c r="V23" s="1129"/>
      <c r="W23" s="47"/>
      <c r="X23" s="60"/>
      <c r="Y23" s="50"/>
      <c r="Z23" s="52"/>
      <c r="AA23" s="51"/>
      <c r="AB23" s="1129"/>
      <c r="AC23" s="47"/>
      <c r="AD23" s="60"/>
      <c r="AE23" s="54"/>
      <c r="AF23" s="55"/>
      <c r="AG23" s="60"/>
      <c r="AI23" s="76"/>
      <c r="AJ23" s="29"/>
      <c r="AK23" s="1"/>
      <c r="AL23" s="1"/>
    </row>
    <row r="24" spans="1:38" ht="18" customHeight="1">
      <c r="A24" s="1676" t="s">
        <v>26</v>
      </c>
      <c r="B24" s="15"/>
      <c r="C24" s="15"/>
      <c r="D24" s="2610">
        <f>+'Exhibit F'!D97</f>
        <v>828.1</v>
      </c>
      <c r="E24" s="47"/>
      <c r="F24" s="48">
        <f>+'Exhibit F'!AC97</f>
        <v>828.1</v>
      </c>
      <c r="G24" s="47"/>
      <c r="H24" s="2720">
        <f>'Exhibit G'!D91</f>
        <v>269.79999999999995</v>
      </c>
      <c r="I24" s="47"/>
      <c r="J24" s="48">
        <f>+'Exhibit G'!AC91</f>
        <v>269.8</v>
      </c>
      <c r="K24" s="47"/>
      <c r="L24" s="2601">
        <v>0</v>
      </c>
      <c r="M24" s="74"/>
      <c r="N24" s="78">
        <v>0</v>
      </c>
      <c r="O24" s="48"/>
      <c r="P24" s="2720">
        <f>' Exhbit I '!E69</f>
        <v>0</v>
      </c>
      <c r="Q24" s="1124"/>
      <c r="R24" s="1126">
        <f>+' Exhbit I '!AD69</f>
        <v>0</v>
      </c>
      <c r="S24" s="50"/>
      <c r="T24" s="50"/>
      <c r="U24" s="51"/>
      <c r="V24" s="1125">
        <f>ROUND(SUM(D24)+SUM(H24)+SUM(L24)+SUM(P24),1)</f>
        <v>1097.9000000000001</v>
      </c>
      <c r="W24" s="47" t="s">
        <v>16</v>
      </c>
      <c r="X24" s="47">
        <f>ROUND(SUM(F24)+SUM(J24)+SUM(N24)+SUM(R24),1)</f>
        <v>1097.9000000000001</v>
      </c>
      <c r="Y24" s="50"/>
      <c r="Z24" s="52"/>
      <c r="AA24" s="51"/>
      <c r="AB24" s="1125">
        <v>895.9</v>
      </c>
      <c r="AC24" s="47"/>
      <c r="AD24" s="54">
        <f>ROUND(+'Exhibit F'!AF97+'Exhibit G'!AF91+'Exhibit H'!L49+' Exhbit I '!AG69,1)</f>
        <v>895.9</v>
      </c>
      <c r="AE24" s="79"/>
      <c r="AF24" s="80"/>
      <c r="AG24" s="47">
        <f>ROUND(SUM(X24-AD24),1)</f>
        <v>202</v>
      </c>
      <c r="AI24" s="45">
        <f>ROUND(SUM((+X24-AD24)/ABS(AD24)),3)</f>
        <v>0.22500000000000001</v>
      </c>
      <c r="AJ24" s="29"/>
      <c r="AK24" s="1"/>
      <c r="AL24" s="1"/>
    </row>
    <row r="25" spans="1:38" ht="18" customHeight="1">
      <c r="A25" s="1676" t="s">
        <v>27</v>
      </c>
      <c r="B25" s="81"/>
      <c r="C25" s="15"/>
      <c r="D25" s="2610">
        <f>+'Exhibit F'!D98</f>
        <v>0.1</v>
      </c>
      <c r="E25" s="47"/>
      <c r="F25" s="48">
        <f>+'Exhibit F'!AC98</f>
        <v>0.1</v>
      </c>
      <c r="G25" s="47"/>
      <c r="H25" s="2720">
        <f>'Exhibit G'!D92</f>
        <v>0.6</v>
      </c>
      <c r="I25" s="47"/>
      <c r="J25" s="48">
        <f>+'Exhibit G'!AC92</f>
        <v>0.6</v>
      </c>
      <c r="K25" s="47"/>
      <c r="L25" s="2601">
        <v>0</v>
      </c>
      <c r="M25" s="74"/>
      <c r="N25" s="78">
        <v>0</v>
      </c>
      <c r="O25" s="48"/>
      <c r="P25" s="2720">
        <f>' Exhbit I '!E70</f>
        <v>2.7</v>
      </c>
      <c r="Q25" s="1124"/>
      <c r="R25" s="1126">
        <f>+' Exhbit I '!AD70</f>
        <v>2.7</v>
      </c>
      <c r="S25" s="50"/>
      <c r="T25" s="50"/>
      <c r="U25" s="51"/>
      <c r="V25" s="1125">
        <f t="shared" ref="V25:V32" si="4">ROUND(SUM(D25)+SUM(H25)+SUM(L25)+SUM(P25),1)</f>
        <v>3.4</v>
      </c>
      <c r="W25" s="47" t="s">
        <v>16</v>
      </c>
      <c r="X25" s="47">
        <f t="shared" ref="X25:X32" si="5">ROUND(SUM(F25)+SUM(J25)+SUM(N25)+SUM(R25),1)</f>
        <v>3.4</v>
      </c>
      <c r="Y25" s="50"/>
      <c r="Z25" s="52"/>
      <c r="AA25" s="51"/>
      <c r="AB25" s="1190">
        <v>3</v>
      </c>
      <c r="AC25" s="49" t="s">
        <v>16</v>
      </c>
      <c r="AD25" s="54">
        <f>ROUND(+'Exhibit F'!AF98+'Exhibit G'!AF92+'Exhibit H'!N49+' Exhbit I '!AG70,1)</f>
        <v>3</v>
      </c>
      <c r="AE25" s="51"/>
      <c r="AF25" s="55"/>
      <c r="AG25" s="47">
        <f t="shared" ref="AG25:AG33" si="6">ROUND(SUM(X25-AD25),1)</f>
        <v>0.4</v>
      </c>
      <c r="AI25" s="45">
        <f t="shared" ref="AI25:AI32" si="7">ROUND(SUM((+X25-AD25)/ABS(AD25)),3)</f>
        <v>0.13300000000000001</v>
      </c>
      <c r="AJ25" s="29"/>
      <c r="AK25" s="1"/>
      <c r="AL25" s="1"/>
    </row>
    <row r="26" spans="1:38" ht="18" customHeight="1">
      <c r="A26" s="1676" t="s">
        <v>28</v>
      </c>
      <c r="B26" s="82"/>
      <c r="C26" s="15"/>
      <c r="D26" s="2610">
        <f>+'Exhibit F'!D99</f>
        <v>2.1</v>
      </c>
      <c r="E26" s="47"/>
      <c r="F26" s="48">
        <f>+'Exhibit F'!AC99</f>
        <v>2.1</v>
      </c>
      <c r="G26" s="47"/>
      <c r="H26" s="2720">
        <f>'Exhibit G'!D93</f>
        <v>10.5</v>
      </c>
      <c r="I26" s="47"/>
      <c r="J26" s="48">
        <f>+'Exhibit G'!AC93</f>
        <v>10.5</v>
      </c>
      <c r="K26" s="47"/>
      <c r="L26" s="2601">
        <v>0</v>
      </c>
      <c r="M26" s="74"/>
      <c r="N26" s="78">
        <v>0</v>
      </c>
      <c r="O26" s="48"/>
      <c r="P26" s="2720">
        <f>' Exhbit I '!E71</f>
        <v>58.9</v>
      </c>
      <c r="Q26" s="1124"/>
      <c r="R26" s="1126">
        <f>+' Exhbit I '!AD71</f>
        <v>58.9</v>
      </c>
      <c r="S26" s="50"/>
      <c r="T26" s="50"/>
      <c r="U26" s="51"/>
      <c r="V26" s="1125">
        <f t="shared" si="4"/>
        <v>71.5</v>
      </c>
      <c r="W26" s="47" t="s">
        <v>16</v>
      </c>
      <c r="X26" s="47">
        <f t="shared" si="5"/>
        <v>71.5</v>
      </c>
      <c r="Y26" s="50"/>
      <c r="Z26" s="52"/>
      <c r="AA26" s="51"/>
      <c r="AB26" s="1125">
        <v>24.2</v>
      </c>
      <c r="AC26" s="47" t="s">
        <v>16</v>
      </c>
      <c r="AD26" s="54">
        <f>ROUND(+'Exhibit F'!AF99+'Exhibit G'!AF93+'Exhibit H'!J49+' Exhbit I '!AG71,1)</f>
        <v>24.2</v>
      </c>
      <c r="AE26" s="51"/>
      <c r="AF26" s="55"/>
      <c r="AG26" s="47">
        <f t="shared" si="6"/>
        <v>47.3</v>
      </c>
      <c r="AI26" s="45">
        <f t="shared" si="7"/>
        <v>1.9550000000000001</v>
      </c>
      <c r="AJ26" s="29"/>
      <c r="AK26" s="1"/>
      <c r="AL26" s="1"/>
    </row>
    <row r="27" spans="1:38" ht="18" customHeight="1">
      <c r="A27" s="1676" t="s">
        <v>29</v>
      </c>
      <c r="B27" s="36"/>
      <c r="C27" s="15"/>
      <c r="D27" s="1126"/>
      <c r="E27" s="47"/>
      <c r="F27" s="48"/>
      <c r="G27" s="47"/>
      <c r="H27" s="2720"/>
      <c r="I27" s="47"/>
      <c r="J27" s="48" t="s">
        <v>16</v>
      </c>
      <c r="K27" s="47"/>
      <c r="L27" s="2717" t="s">
        <v>16</v>
      </c>
      <c r="M27" s="74"/>
      <c r="N27" s="84" t="s">
        <v>16</v>
      </c>
      <c r="O27" s="48"/>
      <c r="P27" s="2720"/>
      <c r="Q27" s="1124"/>
      <c r="R27" s="1126"/>
      <c r="S27" s="50"/>
      <c r="T27" s="50"/>
      <c r="U27" s="51"/>
      <c r="V27" s="1125" t="s">
        <v>16</v>
      </c>
      <c r="W27" s="47"/>
      <c r="X27" s="1125" t="s">
        <v>16</v>
      </c>
      <c r="Y27" s="50"/>
      <c r="Z27" s="52"/>
      <c r="AA27" s="51"/>
      <c r="AB27" s="1125"/>
      <c r="AC27" s="47"/>
      <c r="AD27" s="47"/>
      <c r="AE27" s="51"/>
      <c r="AF27" s="55"/>
      <c r="AG27" s="47"/>
      <c r="AI27" s="1816" t="s">
        <v>16</v>
      </c>
      <c r="AJ27" s="29"/>
      <c r="AK27" s="1"/>
      <c r="AL27" s="1"/>
    </row>
    <row r="28" spans="1:38" ht="18" customHeight="1">
      <c r="A28" s="1677" t="s">
        <v>30</v>
      </c>
      <c r="B28" s="46"/>
      <c r="C28" s="15"/>
      <c r="D28" s="2610">
        <f>+'Exhibit F'!D101</f>
        <v>990.1</v>
      </c>
      <c r="E28" s="47"/>
      <c r="F28" s="48">
        <f>+'Exhibit F'!AC101</f>
        <v>990.1</v>
      </c>
      <c r="G28" s="47"/>
      <c r="H28" s="2720">
        <f>'Exhibit G'!D95</f>
        <v>2579</v>
      </c>
      <c r="I28" s="47"/>
      <c r="J28" s="48">
        <f>+'Exhibit G'!AC95</f>
        <v>2579</v>
      </c>
      <c r="K28" s="47"/>
      <c r="L28" s="2601">
        <v>0</v>
      </c>
      <c r="M28" s="74"/>
      <c r="N28" s="78">
        <v>0</v>
      </c>
      <c r="O28" s="48"/>
      <c r="P28" s="2720">
        <f>' Exhbit I '!E73</f>
        <v>0</v>
      </c>
      <c r="Q28" s="1124"/>
      <c r="R28" s="1130">
        <f>+' Exhbit I '!AD73</f>
        <v>0</v>
      </c>
      <c r="S28" s="50"/>
      <c r="T28" s="50"/>
      <c r="U28" s="51"/>
      <c r="V28" s="1125">
        <f t="shared" si="4"/>
        <v>3569.1</v>
      </c>
      <c r="W28" s="47" t="s">
        <v>16</v>
      </c>
      <c r="X28" s="47">
        <f t="shared" si="5"/>
        <v>3569.1</v>
      </c>
      <c r="Y28" s="50"/>
      <c r="Z28" s="52"/>
      <c r="AA28" s="51"/>
      <c r="AB28" s="1125">
        <v>3191.8</v>
      </c>
      <c r="AC28" s="47" t="s">
        <v>16</v>
      </c>
      <c r="AD28" s="47">
        <f>ROUND(+'Exhibit F'!AF101+'Exhibit G'!AF95+'Exhibit H'!F49+' Exhbit I '!AG73,1)</f>
        <v>3191.8</v>
      </c>
      <c r="AE28" s="51"/>
      <c r="AF28" s="55"/>
      <c r="AG28" s="47">
        <f t="shared" si="6"/>
        <v>377.3</v>
      </c>
      <c r="AI28" s="45">
        <f t="shared" si="7"/>
        <v>0.11799999999999999</v>
      </c>
      <c r="AJ28" s="29"/>
      <c r="AK28" s="3200"/>
      <c r="AL28" s="1"/>
    </row>
    <row r="29" spans="1:38" ht="18" customHeight="1">
      <c r="A29" s="1676" t="s">
        <v>31</v>
      </c>
      <c r="B29" s="46"/>
      <c r="C29" s="15"/>
      <c r="D29" s="2610">
        <f>+'Exhibit F'!D102</f>
        <v>24.7</v>
      </c>
      <c r="E29" s="47"/>
      <c r="F29" s="48">
        <f>+'Exhibit F'!AC102</f>
        <v>24.7</v>
      </c>
      <c r="G29" s="47"/>
      <c r="H29" s="2720">
        <f>'Exhibit G'!D96</f>
        <v>570</v>
      </c>
      <c r="I29" s="47"/>
      <c r="J29" s="48">
        <f>+'Exhibit G'!AC96</f>
        <v>570</v>
      </c>
      <c r="K29" s="47"/>
      <c r="L29" s="2601">
        <v>0</v>
      </c>
      <c r="M29" s="74"/>
      <c r="N29" s="78">
        <v>0</v>
      </c>
      <c r="O29" s="48"/>
      <c r="P29" s="2720">
        <f>' Exhbit I '!E74</f>
        <v>2.7</v>
      </c>
      <c r="Q29" s="1124"/>
      <c r="R29" s="1126">
        <f>+' Exhbit I '!AD74</f>
        <v>2.7</v>
      </c>
      <c r="S29" s="50"/>
      <c r="T29" s="50"/>
      <c r="U29" s="51"/>
      <c r="V29" s="1125">
        <f t="shared" si="4"/>
        <v>597.4</v>
      </c>
      <c r="W29" s="47" t="s">
        <v>16</v>
      </c>
      <c r="X29" s="47">
        <f t="shared" si="5"/>
        <v>597.4</v>
      </c>
      <c r="Y29" s="50"/>
      <c r="Z29" s="52"/>
      <c r="AA29" s="51"/>
      <c r="AB29" s="1125">
        <v>221</v>
      </c>
      <c r="AC29" s="47" t="s">
        <v>16</v>
      </c>
      <c r="AD29" s="47">
        <f>ROUND(+'Exhibit F'!AF102+'Exhibit G'!AF96+' Exhbit I '!AG74,1)</f>
        <v>221</v>
      </c>
      <c r="AE29" s="51"/>
      <c r="AF29" s="55"/>
      <c r="AG29" s="47">
        <f t="shared" si="6"/>
        <v>376.4</v>
      </c>
      <c r="AI29" s="45">
        <f t="shared" si="7"/>
        <v>1.7030000000000001</v>
      </c>
      <c r="AJ29" s="29"/>
      <c r="AK29" s="1"/>
      <c r="AL29" s="1"/>
    </row>
    <row r="30" spans="1:38" ht="18" customHeight="1">
      <c r="A30" s="1676" t="s">
        <v>32</v>
      </c>
      <c r="B30" s="36"/>
      <c r="C30" s="15"/>
      <c r="D30" s="2610">
        <f>+'Exhibit F'!D103</f>
        <v>7.2</v>
      </c>
      <c r="E30" s="47"/>
      <c r="F30" s="48">
        <f>+'Exhibit F'!AC103</f>
        <v>7.2</v>
      </c>
      <c r="G30" s="47"/>
      <c r="H30" s="2720">
        <f>'Exhibit G'!D97</f>
        <v>85</v>
      </c>
      <c r="I30" s="47"/>
      <c r="J30" s="48">
        <f>+'Exhibit G'!AC97</f>
        <v>85</v>
      </c>
      <c r="K30" s="47"/>
      <c r="L30" s="2601">
        <v>0</v>
      </c>
      <c r="M30" s="74"/>
      <c r="N30" s="78">
        <v>0</v>
      </c>
      <c r="O30" s="48"/>
      <c r="P30" s="2720">
        <f>' Exhbit I '!E75</f>
        <v>-1.3</v>
      </c>
      <c r="Q30" s="1124"/>
      <c r="R30" s="1130">
        <f>+' Exhbit I '!AD75</f>
        <v>-1.3</v>
      </c>
      <c r="S30" s="50"/>
      <c r="T30" s="50"/>
      <c r="U30" s="51"/>
      <c r="V30" s="1125">
        <f t="shared" si="4"/>
        <v>90.9</v>
      </c>
      <c r="W30" s="47" t="s">
        <v>16</v>
      </c>
      <c r="X30" s="47">
        <f t="shared" si="5"/>
        <v>90.9</v>
      </c>
      <c r="Y30" s="50"/>
      <c r="Z30" s="52"/>
      <c r="AA30" s="51"/>
      <c r="AB30" s="1125">
        <v>172.4</v>
      </c>
      <c r="AC30" s="47" t="s">
        <v>16</v>
      </c>
      <c r="AD30" s="47">
        <f>ROUND(+'Exhibit F'!AF103+'Exhibit G'!AF97+' Exhbit I '!AG75,1)</f>
        <v>172.4</v>
      </c>
      <c r="AE30" s="51"/>
      <c r="AF30" s="55"/>
      <c r="AG30" s="47">
        <f t="shared" si="6"/>
        <v>-81.5</v>
      </c>
      <c r="AI30" s="45">
        <f t="shared" si="7"/>
        <v>-0.47299999999999998</v>
      </c>
      <c r="AJ30" s="29"/>
      <c r="AK30" s="1"/>
      <c r="AL30" s="1"/>
    </row>
    <row r="31" spans="1:38" ht="18" customHeight="1">
      <c r="A31" s="1676" t="s">
        <v>33</v>
      </c>
      <c r="B31" s="15"/>
      <c r="C31" s="15"/>
      <c r="D31" s="2610">
        <f>+'Exhibit F'!D104</f>
        <v>122.9</v>
      </c>
      <c r="E31" s="47"/>
      <c r="F31" s="48">
        <f>+'Exhibit F'!AC104</f>
        <v>122.9</v>
      </c>
      <c r="G31" s="47"/>
      <c r="H31" s="2720">
        <f>'Exhibit G'!D98</f>
        <v>247.20000000000002</v>
      </c>
      <c r="I31" s="47"/>
      <c r="J31" s="48">
        <f>+'Exhibit G'!AC98</f>
        <v>247.2</v>
      </c>
      <c r="K31" s="47"/>
      <c r="L31" s="2601">
        <v>0</v>
      </c>
      <c r="M31" s="74"/>
      <c r="N31" s="78">
        <v>0</v>
      </c>
      <c r="O31" s="48"/>
      <c r="P31" s="2720">
        <f>' Exhbit I '!E76</f>
        <v>0</v>
      </c>
      <c r="Q31" s="1124"/>
      <c r="R31" s="1126">
        <f>+' Exhbit I '!AD76</f>
        <v>0</v>
      </c>
      <c r="S31" s="50"/>
      <c r="T31" s="50"/>
      <c r="U31" s="51"/>
      <c r="V31" s="1125">
        <f t="shared" si="4"/>
        <v>370.1</v>
      </c>
      <c r="W31" s="47" t="s">
        <v>16</v>
      </c>
      <c r="X31" s="47">
        <f t="shared" si="5"/>
        <v>370.1</v>
      </c>
      <c r="Y31" s="50"/>
      <c r="Z31" s="52"/>
      <c r="AA31" s="51"/>
      <c r="AB31" s="1125">
        <v>367.3</v>
      </c>
      <c r="AC31" s="47" t="s">
        <v>16</v>
      </c>
      <c r="AD31" s="47">
        <f>ROUND(+'Exhibit F'!AF104+'Exhibit G'!AF98+' Exhbit I '!AG76,1)</f>
        <v>367.3</v>
      </c>
      <c r="AE31" s="51"/>
      <c r="AF31" s="55"/>
      <c r="AG31" s="47">
        <f t="shared" si="6"/>
        <v>2.8</v>
      </c>
      <c r="AI31" s="45">
        <f t="shared" si="7"/>
        <v>8.0000000000000002E-3</v>
      </c>
      <c r="AJ31" s="29"/>
      <c r="AK31" s="1"/>
      <c r="AL31" s="1"/>
    </row>
    <row r="32" spans="1:38" ht="18" customHeight="1">
      <c r="A32" s="1676" t="s">
        <v>34</v>
      </c>
      <c r="B32" s="36"/>
      <c r="C32" s="15"/>
      <c r="D32" s="2610">
        <f>+'Exhibit F'!D105</f>
        <v>2.2000000000000002</v>
      </c>
      <c r="E32" s="47"/>
      <c r="F32" s="48">
        <f>+'Exhibit F'!AC105</f>
        <v>2.2000000000000002</v>
      </c>
      <c r="G32" s="47"/>
      <c r="H32" s="2720">
        <f>'Exhibit G'!D99</f>
        <v>0.1</v>
      </c>
      <c r="I32" s="47"/>
      <c r="J32" s="48">
        <f>+'Exhibit G'!AC99</f>
        <v>0.1</v>
      </c>
      <c r="K32" s="47"/>
      <c r="L32" s="2601">
        <v>0</v>
      </c>
      <c r="M32" s="74" t="s">
        <v>16</v>
      </c>
      <c r="N32" s="78">
        <v>0</v>
      </c>
      <c r="O32" s="48"/>
      <c r="P32" s="2720">
        <f>' Exhbit I '!E77</f>
        <v>2.7</v>
      </c>
      <c r="Q32" s="1124"/>
      <c r="R32" s="1126">
        <f>+' Exhbit I '!AD77</f>
        <v>2.7</v>
      </c>
      <c r="S32" s="50"/>
      <c r="T32" s="50"/>
      <c r="U32" s="51"/>
      <c r="V32" s="1125">
        <f t="shared" si="4"/>
        <v>5</v>
      </c>
      <c r="W32" s="47" t="s">
        <v>16</v>
      </c>
      <c r="X32" s="47">
        <f t="shared" si="5"/>
        <v>5</v>
      </c>
      <c r="Y32" s="50"/>
      <c r="Z32" s="52"/>
      <c r="AA32" s="51"/>
      <c r="AB32" s="1125">
        <v>25.8</v>
      </c>
      <c r="AC32" s="47" t="s">
        <v>16</v>
      </c>
      <c r="AD32" s="47">
        <f>ROUND(+'Exhibit F'!AF105+'Exhibit G'!AF99+' Exhbit I '!AG77,1)</f>
        <v>25.8</v>
      </c>
      <c r="AE32" s="51"/>
      <c r="AF32" s="55"/>
      <c r="AG32" s="47">
        <f t="shared" si="6"/>
        <v>-20.8</v>
      </c>
      <c r="AI32" s="45">
        <f t="shared" si="7"/>
        <v>-0.80600000000000005</v>
      </c>
      <c r="AJ32" s="29"/>
      <c r="AK32" s="1"/>
      <c r="AL32" s="1"/>
    </row>
    <row r="33" spans="1:38" ht="18" customHeight="1">
      <c r="A33" s="1676" t="s">
        <v>35</v>
      </c>
      <c r="B33" s="15"/>
      <c r="C33" s="15"/>
      <c r="D33" s="2610">
        <f>+'Exhibit F'!D106</f>
        <v>0</v>
      </c>
      <c r="E33" s="47"/>
      <c r="F33" s="48">
        <f>+'Exhibit F'!AC106</f>
        <v>0</v>
      </c>
      <c r="G33" s="47"/>
      <c r="H33" s="2720">
        <f>'Exhibit G'!D100</f>
        <v>198.2</v>
      </c>
      <c r="I33" s="47"/>
      <c r="J33" s="48">
        <f>+'Exhibit G'!AC100</f>
        <v>198.2</v>
      </c>
      <c r="K33" s="47"/>
      <c r="L33" s="2601">
        <v>0</v>
      </c>
      <c r="M33" s="74"/>
      <c r="N33" s="78">
        <v>0</v>
      </c>
      <c r="O33" s="48"/>
      <c r="P33" s="2720">
        <f>' Exhbit I '!E78</f>
        <v>27.8</v>
      </c>
      <c r="Q33" s="1124"/>
      <c r="R33" s="1126">
        <f>+' Exhbit I '!AD78</f>
        <v>27.8</v>
      </c>
      <c r="S33" s="50"/>
      <c r="T33" s="50"/>
      <c r="U33" s="51"/>
      <c r="V33" s="1125">
        <f>ROUND(SUM(D33)+SUM(H33)+SUM(L33)+SUM(P33),1)</f>
        <v>226</v>
      </c>
      <c r="W33" s="47" t="s">
        <v>16</v>
      </c>
      <c r="X33" s="47">
        <f>ROUND(SUM(F33)+SUM(J33)+SUM(N33)+SUM(R33),1)</f>
        <v>226</v>
      </c>
      <c r="Y33" s="50"/>
      <c r="Z33" s="52"/>
      <c r="AA33" s="51"/>
      <c r="AB33" s="1125">
        <v>158.5</v>
      </c>
      <c r="AC33" s="47" t="s">
        <v>16</v>
      </c>
      <c r="AD33" s="48">
        <f>ROUND(+'Exhibit F'!AF106+'Exhibit G'!AF100+' Exhbit I '!AG78,1)</f>
        <v>158.5</v>
      </c>
      <c r="AE33" s="51"/>
      <c r="AF33" s="55"/>
      <c r="AG33" s="47">
        <f t="shared" si="6"/>
        <v>67.5</v>
      </c>
      <c r="AI33" s="45">
        <f>ROUND(SUM((+X33-AD33)/ABS(AD33)),3)</f>
        <v>0.42599999999999999</v>
      </c>
      <c r="AJ33" s="29"/>
      <c r="AK33" s="1"/>
      <c r="AL33" s="1"/>
    </row>
    <row r="34" spans="1:38" ht="18" customHeight="1">
      <c r="A34" s="14" t="s">
        <v>36</v>
      </c>
      <c r="B34" s="15"/>
      <c r="C34" s="15"/>
      <c r="D34" s="65">
        <f>ROUND(SUM(D24:D33),1)</f>
        <v>1977.4</v>
      </c>
      <c r="E34" s="67"/>
      <c r="F34" s="65">
        <f>ROUND(SUM(F24:F33),1)</f>
        <v>1977.4</v>
      </c>
      <c r="G34" s="63"/>
      <c r="H34" s="65">
        <f>ROUND(SUM(H24:H33),1)</f>
        <v>3960.4</v>
      </c>
      <c r="I34" s="63"/>
      <c r="J34" s="65">
        <f>ROUND(SUM(J24:J33),1)</f>
        <v>3960.4</v>
      </c>
      <c r="K34" s="63"/>
      <c r="L34" s="2722">
        <f>ROUND(SUM(L24:L33),1)</f>
        <v>0</v>
      </c>
      <c r="M34" s="2603"/>
      <c r="N34" s="2722">
        <f>ROUND(SUM(N24:N33),1)</f>
        <v>0</v>
      </c>
      <c r="O34" s="2603"/>
      <c r="P34" s="62">
        <f>ROUND(SUM(P24:P33),1)</f>
        <v>93.5</v>
      </c>
      <c r="Q34" s="63"/>
      <c r="R34" s="62">
        <f>ROUND(SUM(R24:R33),1)</f>
        <v>93.5</v>
      </c>
      <c r="S34" s="66"/>
      <c r="T34" s="66"/>
      <c r="U34" s="67"/>
      <c r="V34" s="64">
        <f>ROUND(SUM(V24:V33),1)</f>
        <v>6031.3</v>
      </c>
      <c r="W34" s="63"/>
      <c r="X34" s="64">
        <f>ROUND(SUM(X24:X33),1)</f>
        <v>6031.3</v>
      </c>
      <c r="Y34" s="66"/>
      <c r="Z34" s="68"/>
      <c r="AA34" s="67"/>
      <c r="AB34" s="64">
        <f>ROUND(SUM(AB23:AB33),1)</f>
        <v>5059.8999999999996</v>
      </c>
      <c r="AC34" s="63"/>
      <c r="AD34" s="64">
        <f>ROUND(SUM(AD23:AD33),1)</f>
        <v>5059.8999999999996</v>
      </c>
      <c r="AE34" s="69"/>
      <c r="AF34" s="70"/>
      <c r="AG34" s="64">
        <f>ROUND(SUM(AG24:AG33),1)</f>
        <v>971.4</v>
      </c>
      <c r="AH34" s="71"/>
      <c r="AI34" s="72">
        <f>ROUND(SUM((+X34-AD34)/ABS(AD34)),3)</f>
        <v>0.192</v>
      </c>
      <c r="AJ34" s="18"/>
      <c r="AK34" s="1"/>
      <c r="AL34" s="1"/>
    </row>
    <row r="35" spans="1:38" ht="18" customHeight="1">
      <c r="A35" s="15" t="s">
        <v>37</v>
      </c>
      <c r="B35" s="82"/>
      <c r="C35" s="15"/>
      <c r="D35" s="1126"/>
      <c r="E35" s="47"/>
      <c r="F35" s="48"/>
      <c r="G35" s="47"/>
      <c r="H35" s="1126"/>
      <c r="I35" s="47"/>
      <c r="J35" s="48"/>
      <c r="K35" s="47"/>
      <c r="L35" s="1126"/>
      <c r="M35" s="48"/>
      <c r="N35" s="48"/>
      <c r="O35" s="48"/>
      <c r="P35" s="1126"/>
      <c r="Q35" s="1125"/>
      <c r="R35" s="1126"/>
      <c r="S35" s="50"/>
      <c r="T35" s="50"/>
      <c r="U35" s="51"/>
      <c r="V35" s="1125"/>
      <c r="W35" s="47"/>
      <c r="X35" s="47"/>
      <c r="Y35" s="50"/>
      <c r="Z35" s="52"/>
      <c r="AA35" s="51"/>
      <c r="AB35" s="1125"/>
      <c r="AC35" s="47"/>
      <c r="AD35" s="54"/>
      <c r="AE35" s="54"/>
      <c r="AF35" s="55"/>
      <c r="AG35" s="47"/>
      <c r="AI35" s="19"/>
      <c r="AJ35" s="29"/>
      <c r="AK35" s="1"/>
      <c r="AL35" s="1"/>
    </row>
    <row r="36" spans="1:38" ht="18" customHeight="1">
      <c r="A36" s="15" t="s">
        <v>38</v>
      </c>
      <c r="B36" s="81"/>
      <c r="C36" s="15"/>
      <c r="D36" s="1126">
        <f>+'Exhibit F'!D109</f>
        <v>474.9</v>
      </c>
      <c r="E36" s="47"/>
      <c r="F36" s="48">
        <f>+'Exhibit F'!AC109</f>
        <v>474.9</v>
      </c>
      <c r="G36" s="47"/>
      <c r="H36" s="2720">
        <f>'Exhibit G'!D103</f>
        <v>599.9</v>
      </c>
      <c r="I36" s="47"/>
      <c r="J36" s="48">
        <f>+'Exhibit G'!AC103</f>
        <v>599.9</v>
      </c>
      <c r="K36" s="47"/>
      <c r="L36" s="1132">
        <v>0</v>
      </c>
      <c r="M36" s="48"/>
      <c r="N36" s="58">
        <v>0</v>
      </c>
      <c r="O36" s="48"/>
      <c r="P36" s="1132">
        <f>' Exhbit I '!E81</f>
        <v>0</v>
      </c>
      <c r="Q36" s="1125"/>
      <c r="R36" s="1132">
        <f>+' Exhbit I '!AD81</f>
        <v>0</v>
      </c>
      <c r="S36" s="50"/>
      <c r="T36" s="50"/>
      <c r="U36" s="51"/>
      <c r="V36" s="1125">
        <f>ROUND(SUM(D36)+SUM(H36)+SUM(L36)+SUM(P36),1)</f>
        <v>1074.8</v>
      </c>
      <c r="W36" s="47" t="s">
        <v>16</v>
      </c>
      <c r="X36" s="47">
        <f>ROUND(SUM(F36)+SUM(J36)+SUM(N36)+SUM(R36),1)</f>
        <v>1074.8</v>
      </c>
      <c r="Y36" s="50"/>
      <c r="Z36" s="52"/>
      <c r="AA36" s="51"/>
      <c r="AB36" s="1125">
        <v>1237.7</v>
      </c>
      <c r="AC36" s="85"/>
      <c r="AD36" s="47">
        <f>ROUND(+'Exhibit F'!AF109+'Exhibit G'!AF103+' Exhbit I '!AG81,1)</f>
        <v>1237.7</v>
      </c>
      <c r="AE36" s="51"/>
      <c r="AF36" s="55"/>
      <c r="AG36" s="47">
        <f>ROUND(SUM(X36-AD36),1)</f>
        <v>-162.9</v>
      </c>
      <c r="AI36" s="45">
        <f>ROUND(SUM((+X36-AD36)/ABS(AD36)),3)</f>
        <v>-0.13200000000000001</v>
      </c>
      <c r="AJ36" s="29"/>
      <c r="AK36" s="1"/>
      <c r="AL36" s="1"/>
    </row>
    <row r="37" spans="1:38" ht="18" customHeight="1">
      <c r="A37" s="15" t="s">
        <v>39</v>
      </c>
      <c r="B37" s="82"/>
      <c r="C37" s="15"/>
      <c r="D37" s="1126">
        <f>+'Exhibit F'!D110</f>
        <v>102.9</v>
      </c>
      <c r="E37" s="47"/>
      <c r="F37" s="48">
        <f>+'Exhibit F'!AC110</f>
        <v>102.9</v>
      </c>
      <c r="G37" s="47"/>
      <c r="H37" s="2720">
        <f>'Exhibit G'!D104</f>
        <v>260.10000000000002</v>
      </c>
      <c r="I37" s="47"/>
      <c r="J37" s="48">
        <f>+'Exhibit G'!AC104</f>
        <v>260.10000000000002</v>
      </c>
      <c r="K37" s="47"/>
      <c r="L37" s="2720">
        <f>+'Exhibit H'!B51</f>
        <v>0.5</v>
      </c>
      <c r="M37" s="48"/>
      <c r="N37" s="48">
        <f>+'Exhibit H'!AA51</f>
        <v>0.5</v>
      </c>
      <c r="O37" s="48" t="s">
        <v>16</v>
      </c>
      <c r="P37" s="1132">
        <f>' Exhbit I '!E82</f>
        <v>0</v>
      </c>
      <c r="Q37" s="1125"/>
      <c r="R37" s="1132">
        <f>+' Exhbit I '!AD82</f>
        <v>0</v>
      </c>
      <c r="S37" s="50"/>
      <c r="T37" s="50"/>
      <c r="U37" s="51"/>
      <c r="V37" s="1125">
        <f>ROUND(SUM(D37)+SUM(H37)+SUM(L37)+SUM(P37),1)</f>
        <v>363.5</v>
      </c>
      <c r="W37" s="47" t="s">
        <v>16</v>
      </c>
      <c r="X37" s="47">
        <f>ROUND(SUM(F37)+SUM(J37)+SUM(N37)+SUM(R37),1)</f>
        <v>363.5</v>
      </c>
      <c r="Y37" s="50"/>
      <c r="Z37" s="52"/>
      <c r="AA37" s="51"/>
      <c r="AB37" s="1135">
        <v>349.2</v>
      </c>
      <c r="AC37" s="86"/>
      <c r="AD37" s="47">
        <f>ROUND(+'Exhibit F'!AF110+'Exhibit G'!AF104+' Exhbit I '!AG82+'Exhibit H'!AD51,1)</f>
        <v>349.2</v>
      </c>
      <c r="AE37" s="51"/>
      <c r="AF37" s="55"/>
      <c r="AG37" s="47">
        <f>ROUND(SUM(X37-AD37),1)</f>
        <v>14.3</v>
      </c>
      <c r="AI37" s="45">
        <f>ROUND(SUM((+X37-AD37)/ABS(AD37)),3)</f>
        <v>4.1000000000000002E-2</v>
      </c>
      <c r="AJ37" s="29"/>
      <c r="AK37" s="1"/>
      <c r="AL37" s="1"/>
    </row>
    <row r="38" spans="1:38" ht="18" customHeight="1">
      <c r="A38" s="15" t="s">
        <v>40</v>
      </c>
      <c r="B38" s="36"/>
      <c r="C38" s="15"/>
      <c r="D38" s="1126">
        <f>+'Exhibit F'!D111</f>
        <v>2439.6999999999998</v>
      </c>
      <c r="E38" s="47"/>
      <c r="F38" s="48">
        <f>+'Exhibit F'!AC111</f>
        <v>2439.6999999999998</v>
      </c>
      <c r="G38" s="87"/>
      <c r="H38" s="2720">
        <f>'Exhibit G'!D105</f>
        <v>189.5</v>
      </c>
      <c r="I38" s="47"/>
      <c r="J38" s="48">
        <f>+'Exhibit G'!AC105</f>
        <v>189.5</v>
      </c>
      <c r="K38" s="47"/>
      <c r="L38" s="1132">
        <v>0</v>
      </c>
      <c r="M38" s="48"/>
      <c r="N38" s="58">
        <v>0</v>
      </c>
      <c r="O38" s="48"/>
      <c r="P38" s="1132">
        <f>' Exhbit I '!E83</f>
        <v>0</v>
      </c>
      <c r="Q38" s="1125"/>
      <c r="R38" s="1132">
        <f>+' Exhbit I '!AD83</f>
        <v>0</v>
      </c>
      <c r="S38" s="50"/>
      <c r="T38" s="50"/>
      <c r="U38" s="51"/>
      <c r="V38" s="1125">
        <f>ROUND(SUM(D38)+SUM(H38)+SUM(L38)+SUM(P38),1)</f>
        <v>2629.2</v>
      </c>
      <c r="W38" s="47" t="s">
        <v>16</v>
      </c>
      <c r="X38" s="47">
        <f>ROUND(SUM(F38)+SUM(J38)+SUM(N38)+SUM(R38),1)</f>
        <v>2629.2</v>
      </c>
      <c r="Y38" s="50"/>
      <c r="Z38" s="52"/>
      <c r="AA38" s="51"/>
      <c r="AB38" s="1135">
        <v>663.7</v>
      </c>
      <c r="AC38" s="53"/>
      <c r="AD38" s="47">
        <f>ROUND(+'Exhibit F'!AF111+'Exhibit G'!AF105+' Exhbit I '!AG83,1)</f>
        <v>663.7</v>
      </c>
      <c r="AE38" s="51"/>
      <c r="AF38" s="55"/>
      <c r="AG38" s="47">
        <f>ROUND(SUM(X38-AD38),1)</f>
        <v>1965.5</v>
      </c>
      <c r="AI38" s="45">
        <f>ROUND(SUM((+X38-AD38)/ABS(AD38)),3)</f>
        <v>2.9609999999999999</v>
      </c>
      <c r="AJ38" s="29"/>
      <c r="AK38" s="1"/>
      <c r="AL38" s="1"/>
    </row>
    <row r="39" spans="1:38" ht="18" customHeight="1">
      <c r="A39" s="15" t="s">
        <v>41</v>
      </c>
      <c r="B39" s="15"/>
      <c r="C39" s="15"/>
      <c r="D39" s="1126"/>
      <c r="E39" s="47"/>
      <c r="F39" s="48"/>
      <c r="G39" s="47"/>
      <c r="H39" s="1126"/>
      <c r="I39" s="47"/>
      <c r="J39" s="88"/>
      <c r="K39" s="47"/>
      <c r="L39" s="1126"/>
      <c r="M39" s="48"/>
      <c r="N39" s="48"/>
      <c r="O39" s="48"/>
      <c r="P39" s="1132"/>
      <c r="Q39" s="1125"/>
      <c r="R39" s="1126"/>
      <c r="S39" s="50"/>
      <c r="T39" s="50"/>
      <c r="U39" s="51"/>
      <c r="V39" s="1125"/>
      <c r="W39" s="47"/>
      <c r="X39" s="47"/>
      <c r="Y39" s="50"/>
      <c r="Z39" s="52"/>
      <c r="AA39" s="51"/>
      <c r="AB39" s="1135"/>
      <c r="AC39" s="53"/>
      <c r="AD39" s="54"/>
      <c r="AE39" s="51"/>
      <c r="AF39" s="55"/>
      <c r="AG39" s="47"/>
      <c r="AI39" s="45"/>
      <c r="AJ39" s="29"/>
      <c r="AK39" s="1"/>
      <c r="AL39" s="1"/>
    </row>
    <row r="40" spans="1:38" ht="18" customHeight="1">
      <c r="A40" s="15" t="s">
        <v>42</v>
      </c>
      <c r="B40" s="36"/>
      <c r="C40" s="15"/>
      <c r="D40" s="1132">
        <v>0</v>
      </c>
      <c r="E40" s="47"/>
      <c r="F40" s="58">
        <v>0</v>
      </c>
      <c r="G40" s="47"/>
      <c r="H40" s="2720">
        <v>0</v>
      </c>
      <c r="I40" s="47"/>
      <c r="J40" s="58">
        <v>0</v>
      </c>
      <c r="K40" s="47"/>
      <c r="L40" s="1126">
        <f>+'Exhibit H'!B53</f>
        <v>113.3</v>
      </c>
      <c r="M40" s="48"/>
      <c r="N40" s="48">
        <f>+'Exhibit H'!AA53</f>
        <v>113.3</v>
      </c>
      <c r="O40" s="48" t="s">
        <v>16</v>
      </c>
      <c r="P40" s="1132">
        <v>0</v>
      </c>
      <c r="Q40" s="1125"/>
      <c r="R40" s="1132">
        <v>0</v>
      </c>
      <c r="S40" s="50"/>
      <c r="T40" s="50"/>
      <c r="U40" s="51"/>
      <c r="V40" s="1125">
        <f>ROUND(SUM(D40)+SUM(H40)+SUM(L40)+SUM(P40),1)</f>
        <v>113.3</v>
      </c>
      <c r="W40" s="47" t="s">
        <v>16</v>
      </c>
      <c r="X40" s="47">
        <f>ROUND(SUM(F40)+SUM(J40)+SUM(N40)+SUM(R40),1)</f>
        <v>113.3</v>
      </c>
      <c r="Y40" s="50"/>
      <c r="Z40" s="52"/>
      <c r="AA40" s="51"/>
      <c r="AB40" s="1135">
        <v>165.9</v>
      </c>
      <c r="AC40" s="53"/>
      <c r="AD40" s="54">
        <f>ROUND(+'Exhibit H'!AD53,1)</f>
        <v>165.9</v>
      </c>
      <c r="AE40" s="51"/>
      <c r="AF40" s="55"/>
      <c r="AG40" s="47">
        <f>ROUND(SUM(X40-AD40),1)</f>
        <v>-52.6</v>
      </c>
      <c r="AI40" s="45">
        <f>ROUND(SUM((+X40-AD40)/ABS(AD40)),3)</f>
        <v>-0.317</v>
      </c>
      <c r="AJ40" s="23"/>
      <c r="AK40" s="1"/>
      <c r="AL40" s="1"/>
    </row>
    <row r="41" spans="1:38" ht="18" customHeight="1">
      <c r="A41" s="15" t="s">
        <v>43</v>
      </c>
      <c r="B41" s="36" t="s">
        <v>1083</v>
      </c>
      <c r="C41" s="15"/>
      <c r="D41" s="2717">
        <v>0</v>
      </c>
      <c r="E41" s="47"/>
      <c r="F41" s="84">
        <v>0</v>
      </c>
      <c r="G41" s="47"/>
      <c r="H41" s="2720">
        <f>'Exhibit G'!D106</f>
        <v>0.1</v>
      </c>
      <c r="I41" s="47"/>
      <c r="J41" s="48">
        <f>+'Exhibit G'!AC106</f>
        <v>0.1</v>
      </c>
      <c r="K41" s="47"/>
      <c r="L41" s="2717">
        <v>0</v>
      </c>
      <c r="M41" s="48"/>
      <c r="N41" s="84">
        <v>0</v>
      </c>
      <c r="O41" s="48"/>
      <c r="P41" s="2720">
        <f>' Exhbit I '!E84</f>
        <v>313.5</v>
      </c>
      <c r="Q41" s="1125"/>
      <c r="R41" s="1133">
        <f>+' Exhbit I '!AD84</f>
        <v>313.5</v>
      </c>
      <c r="S41" s="50"/>
      <c r="T41" s="50"/>
      <c r="U41" s="51"/>
      <c r="V41" s="1125">
        <f>ROUND(SUM(D41)+SUM(H41)+SUM(L41)+SUM(P41),1)</f>
        <v>313.60000000000002</v>
      </c>
      <c r="W41" s="47" t="s">
        <v>16</v>
      </c>
      <c r="X41" s="47">
        <f>ROUND(SUM(F41)+SUM(J41)+SUM(N41)+SUM(R41),1)</f>
        <v>313.60000000000002</v>
      </c>
      <c r="Y41" s="50"/>
      <c r="Z41" s="52"/>
      <c r="AA41" s="51"/>
      <c r="AB41" s="1134">
        <v>288.89999999999998</v>
      </c>
      <c r="AC41" s="53"/>
      <c r="AD41" s="2724">
        <f>'Exhibit G state'!AH105+' Exhibit I State'!AI83+'Exhibit I Federal'!AI64</f>
        <v>288.89999999999998</v>
      </c>
      <c r="AE41" s="51"/>
      <c r="AF41" s="55"/>
      <c r="AG41" s="47">
        <f>ROUND(SUM(X41-AD41),1)</f>
        <v>24.7</v>
      </c>
      <c r="AI41" s="45">
        <f>ROUND(SUM((+X41-AD41)/ABS(AD41)),3)</f>
        <v>8.5000000000000006E-2</v>
      </c>
      <c r="AJ41" s="23"/>
      <c r="AK41" s="1"/>
      <c r="AL41" s="1"/>
    </row>
    <row r="42" spans="1:38" ht="18" customHeight="1">
      <c r="A42" s="14" t="s">
        <v>44</v>
      </c>
      <c r="B42" s="15"/>
      <c r="C42" s="15"/>
      <c r="D42" s="65">
        <f>ROUND(SUM(D34:D41),1)</f>
        <v>4994.8999999999996</v>
      </c>
      <c r="E42" s="63"/>
      <c r="F42" s="65">
        <f>ROUND(SUM(F34:F41),1)</f>
        <v>4994.8999999999996</v>
      </c>
      <c r="G42" s="63"/>
      <c r="H42" s="65">
        <f>ROUND(SUM(H34:H41),1)</f>
        <v>5010</v>
      </c>
      <c r="I42" s="63"/>
      <c r="J42" s="65">
        <f>ROUND(SUM(J34:J41),1)</f>
        <v>5010</v>
      </c>
      <c r="K42" s="63"/>
      <c r="L42" s="65">
        <f>ROUND(SUM(L34:L41),1)</f>
        <v>113.8</v>
      </c>
      <c r="M42" s="2603"/>
      <c r="N42" s="65">
        <f>ROUND(SUM(N34:N41),1)</f>
        <v>113.8</v>
      </c>
      <c r="O42" s="2603"/>
      <c r="P42" s="65">
        <f>ROUND(SUM(P34:P41),1)</f>
        <v>407</v>
      </c>
      <c r="Q42" s="63"/>
      <c r="R42" s="65">
        <f>ROUND(SUM(R34:R41),1)</f>
        <v>407</v>
      </c>
      <c r="S42" s="66"/>
      <c r="T42" s="66"/>
      <c r="U42" s="67"/>
      <c r="V42" s="64">
        <f>ROUND(SUM(V34:V41),1)</f>
        <v>10525.7</v>
      </c>
      <c r="W42" s="63"/>
      <c r="X42" s="64">
        <f>ROUND(SUM(X34:X41),1)</f>
        <v>10525.7</v>
      </c>
      <c r="Y42" s="66"/>
      <c r="Z42" s="68"/>
      <c r="AA42" s="67"/>
      <c r="AB42" s="64">
        <f>ROUND(SUM(AB34:AB41),1)</f>
        <v>7765.3</v>
      </c>
      <c r="AC42" s="63"/>
      <c r="AD42" s="64">
        <f>ROUND(SUM(AD34:AD41),1)</f>
        <v>7765.3</v>
      </c>
      <c r="AE42" s="69"/>
      <c r="AF42" s="70"/>
      <c r="AG42" s="64">
        <f>ROUND(SUM(AG34:AG41),1)</f>
        <v>2760.4</v>
      </c>
      <c r="AH42" s="71"/>
      <c r="AI42" s="72">
        <f>ROUND(SUM((+X42-AD42)/ABS(AD42)),3)</f>
        <v>0.35499999999999998</v>
      </c>
      <c r="AJ42" s="18"/>
      <c r="AK42" s="1"/>
      <c r="AL42" s="1"/>
    </row>
    <row r="43" spans="1:38" ht="15.9" customHeight="1">
      <c r="A43" s="14"/>
      <c r="B43" s="15"/>
      <c r="C43" s="15"/>
      <c r="D43" s="1128"/>
      <c r="E43" s="47"/>
      <c r="F43" s="74"/>
      <c r="G43" s="47"/>
      <c r="H43" s="1128"/>
      <c r="I43" s="47"/>
      <c r="J43" s="74"/>
      <c r="K43" s="47"/>
      <c r="L43" s="1128"/>
      <c r="M43" s="48"/>
      <c r="N43" s="74"/>
      <c r="O43" s="48"/>
      <c r="P43" s="2723"/>
      <c r="Q43" s="1125"/>
      <c r="R43" s="1128"/>
      <c r="S43" s="50"/>
      <c r="T43" s="50"/>
      <c r="U43" s="51"/>
      <c r="V43" s="1127"/>
      <c r="W43" s="47"/>
      <c r="X43" s="51"/>
      <c r="Y43" s="50"/>
      <c r="Z43" s="52"/>
      <c r="AA43" s="51"/>
      <c r="AB43" s="1127" t="s">
        <v>16</v>
      </c>
      <c r="AC43" s="47"/>
      <c r="AD43" s="54"/>
      <c r="AE43" s="54"/>
      <c r="AF43" s="55"/>
      <c r="AG43" s="51"/>
      <c r="AI43" s="19"/>
      <c r="AJ43" s="29"/>
      <c r="AK43" s="1"/>
      <c r="AL43" s="1"/>
    </row>
    <row r="44" spans="1:38" ht="15.9" customHeight="1">
      <c r="A44" s="14" t="s">
        <v>45</v>
      </c>
      <c r="B44" s="14"/>
      <c r="C44" s="15"/>
      <c r="D44" s="1126"/>
      <c r="E44" s="47"/>
      <c r="F44" s="48"/>
      <c r="G44" s="47"/>
      <c r="H44" s="1126"/>
      <c r="I44" s="47"/>
      <c r="J44" s="48"/>
      <c r="K44" s="47"/>
      <c r="L44" s="1126"/>
      <c r="M44" s="48"/>
      <c r="N44" s="48"/>
      <c r="O44" s="48"/>
      <c r="P44" s="2720"/>
      <c r="Q44" s="1125"/>
      <c r="R44" s="1126"/>
      <c r="S44" s="50"/>
      <c r="T44" s="50"/>
      <c r="U44" s="51"/>
      <c r="V44" s="1125"/>
      <c r="W44" s="47"/>
      <c r="X44" s="47"/>
      <c r="Y44" s="50"/>
      <c r="Z44" s="52"/>
      <c r="AA44" s="51"/>
      <c r="AB44" s="1125"/>
      <c r="AC44" s="47"/>
      <c r="AD44" s="54"/>
      <c r="AE44" s="54"/>
      <c r="AF44" s="55"/>
      <c r="AG44" s="47"/>
      <c r="AI44" s="19"/>
      <c r="AJ44" s="29"/>
      <c r="AK44" s="1"/>
      <c r="AL44" s="1"/>
    </row>
    <row r="45" spans="1:38" ht="15.9" customHeight="1">
      <c r="A45" s="14" t="s">
        <v>46</v>
      </c>
      <c r="B45" s="14"/>
      <c r="C45" s="15"/>
      <c r="D45" s="91">
        <f>ROUND(SUM(D20-D42),1)</f>
        <v>640.5</v>
      </c>
      <c r="E45" s="63"/>
      <c r="F45" s="91">
        <f>ROUND(SUM(F20-F42),1)</f>
        <v>640.5</v>
      </c>
      <c r="G45" s="63"/>
      <c r="H45" s="91">
        <f>ROUND(SUM(H20-H42),1)</f>
        <v>-192.6</v>
      </c>
      <c r="I45" s="63"/>
      <c r="J45" s="91">
        <f>ROUND(SUM(J20-J42),1)</f>
        <v>-192.6</v>
      </c>
      <c r="K45" s="63"/>
      <c r="L45" s="91">
        <f>ROUND(SUM(L20-L42),1)</f>
        <v>2081.4</v>
      </c>
      <c r="M45" s="2603" t="s">
        <v>16</v>
      </c>
      <c r="N45" s="91">
        <f>ROUND(SUM(N20-N42),1)</f>
        <v>2081.4</v>
      </c>
      <c r="O45" s="2603" t="s">
        <v>16</v>
      </c>
      <c r="P45" s="92">
        <f>ROUND(SUM(P20-P42),1)</f>
        <v>-102.9</v>
      </c>
      <c r="Q45" s="63" t="s">
        <v>16</v>
      </c>
      <c r="R45" s="92">
        <f>ROUND(SUM(R20-R42),1)</f>
        <v>-102.9</v>
      </c>
      <c r="S45" s="66"/>
      <c r="T45" s="66"/>
      <c r="U45" s="67"/>
      <c r="V45" s="90">
        <f>ROUND(SUM(V20-V42),1)</f>
        <v>2426.4</v>
      </c>
      <c r="W45" s="63" t="s">
        <v>16</v>
      </c>
      <c r="X45" s="90">
        <f>ROUND(SUM(X20-X42),1)</f>
        <v>2426.4</v>
      </c>
      <c r="Y45" s="66"/>
      <c r="Z45" s="68"/>
      <c r="AA45" s="67"/>
      <c r="AB45" s="90">
        <f>ROUND(SUM(AB20-AB42),1)</f>
        <v>3311</v>
      </c>
      <c r="AC45" s="63"/>
      <c r="AD45" s="93">
        <f>ROUND(SUM(AD20-AD42),1)</f>
        <v>3311</v>
      </c>
      <c r="AE45" s="69"/>
      <c r="AF45" s="70"/>
      <c r="AG45" s="90">
        <f>ROUND(SUM(X45-AD45),1)</f>
        <v>-884.6</v>
      </c>
      <c r="AH45" s="94"/>
      <c r="AI45" s="108">
        <f>ROUND(SUM((+X45-AD45)/ABS(AD45)),3)</f>
        <v>-0.26700000000000002</v>
      </c>
      <c r="AJ45" s="18"/>
      <c r="AK45" s="1"/>
      <c r="AL45" s="1"/>
    </row>
    <row r="46" spans="1:38" ht="15.9" customHeight="1">
      <c r="A46" s="15"/>
      <c r="B46" s="15"/>
      <c r="C46" s="15"/>
      <c r="D46" s="1128"/>
      <c r="E46" s="47"/>
      <c r="F46" s="74"/>
      <c r="G46" s="47"/>
      <c r="H46" s="1128"/>
      <c r="I46" s="47"/>
      <c r="J46" s="74"/>
      <c r="K46" s="47"/>
      <c r="L46" s="1128"/>
      <c r="M46" s="48"/>
      <c r="N46" s="74"/>
      <c r="O46" s="48"/>
      <c r="P46" s="2723"/>
      <c r="Q46" s="1125"/>
      <c r="R46" s="1128"/>
      <c r="S46" s="50"/>
      <c r="T46" s="50"/>
      <c r="U46" s="51"/>
      <c r="V46" s="1127"/>
      <c r="W46" s="47"/>
      <c r="X46" s="51"/>
      <c r="Y46" s="50"/>
      <c r="Z46" s="52"/>
      <c r="AA46" s="51"/>
      <c r="AB46" s="1127"/>
      <c r="AC46" s="47"/>
      <c r="AD46" s="54"/>
      <c r="AE46" s="54"/>
      <c r="AF46" s="55"/>
      <c r="AG46" s="51"/>
      <c r="AI46" s="19"/>
      <c r="AJ46" s="29"/>
      <c r="AK46" s="1"/>
      <c r="AL46" s="1"/>
    </row>
    <row r="47" spans="1:38" ht="15.9" customHeight="1">
      <c r="A47" s="14" t="s">
        <v>47</v>
      </c>
      <c r="B47" s="14"/>
      <c r="C47" s="15"/>
      <c r="D47" s="1126"/>
      <c r="E47" s="47"/>
      <c r="F47" s="48"/>
      <c r="G47" s="47"/>
      <c r="H47" s="1126"/>
      <c r="I47" s="47"/>
      <c r="J47" s="48"/>
      <c r="K47" s="47"/>
      <c r="L47" s="1126"/>
      <c r="M47" s="48"/>
      <c r="N47" s="48"/>
      <c r="O47" s="48"/>
      <c r="P47" s="2720"/>
      <c r="Q47" s="1125"/>
      <c r="R47" s="1128"/>
      <c r="S47" s="50"/>
      <c r="T47" s="50"/>
      <c r="U47" s="51"/>
      <c r="V47" s="1125"/>
      <c r="W47" s="47"/>
      <c r="X47" s="53"/>
      <c r="Y47" s="50"/>
      <c r="Z47" s="52"/>
      <c r="AA47" s="51"/>
      <c r="AB47" s="1125"/>
      <c r="AC47" s="47"/>
      <c r="AD47" s="54"/>
      <c r="AE47" s="54"/>
      <c r="AF47" s="55"/>
      <c r="AG47" s="47"/>
      <c r="AI47" s="19"/>
      <c r="AJ47" s="29"/>
      <c r="AK47" s="1"/>
      <c r="AL47" s="1"/>
    </row>
    <row r="48" spans="1:38" ht="18" customHeight="1">
      <c r="A48" s="96" t="s">
        <v>48</v>
      </c>
      <c r="B48" s="15"/>
      <c r="C48" s="15"/>
      <c r="D48" s="2718">
        <v>0</v>
      </c>
      <c r="E48" s="47"/>
      <c r="F48" s="97">
        <v>0</v>
      </c>
      <c r="G48" s="47"/>
      <c r="H48" s="1132">
        <v>0</v>
      </c>
      <c r="I48" s="47"/>
      <c r="J48" s="58">
        <v>0</v>
      </c>
      <c r="K48" s="47"/>
      <c r="L48" s="1132">
        <v>0</v>
      </c>
      <c r="M48" s="74"/>
      <c r="N48" s="58">
        <v>0</v>
      </c>
      <c r="O48" s="74"/>
      <c r="P48" s="1132">
        <f>+' Exhbit I '!E92</f>
        <v>0</v>
      </c>
      <c r="Q48" s="1127"/>
      <c r="R48" s="1132">
        <f>' Exhbit I '!AD92</f>
        <v>0</v>
      </c>
      <c r="S48" s="50"/>
      <c r="T48" s="50"/>
      <c r="U48" s="51"/>
      <c r="V48" s="1125">
        <f>ROUND(SUM(D48)+SUM(H48)+SUM(L48)+SUM(P48),1)</f>
        <v>0</v>
      </c>
      <c r="W48" s="83"/>
      <c r="X48" s="47">
        <f>ROUND(SUM(F48)+SUM(J48)+SUM(N48)+SUM(R48),1)</f>
        <v>0</v>
      </c>
      <c r="Y48" s="50"/>
      <c r="Z48" s="52"/>
      <c r="AA48" s="51"/>
      <c r="AB48" s="1131">
        <v>0</v>
      </c>
      <c r="AC48" s="57"/>
      <c r="AD48" s="77">
        <f>+' Exhbit I '!AG92</f>
        <v>0</v>
      </c>
      <c r="AE48" s="83"/>
      <c r="AF48" s="98"/>
      <c r="AG48" s="51">
        <f>X48-AD48</f>
        <v>0</v>
      </c>
      <c r="AH48" s="99"/>
      <c r="AI48" s="2726">
        <f>ROUND(IF(AD48=0,0,AG48/ABS(AD48)),3)</f>
        <v>0</v>
      </c>
      <c r="AJ48" s="100"/>
      <c r="AK48" s="1"/>
      <c r="AL48" s="1"/>
    </row>
    <row r="49" spans="1:40" ht="18" customHeight="1">
      <c r="A49" s="96" t="s">
        <v>49</v>
      </c>
      <c r="B49" s="3035" t="s">
        <v>1503</v>
      </c>
      <c r="C49" s="96"/>
      <c r="D49" s="1136">
        <f>+'Exhibit F'!D120+'Exhibit F'!D121+'Exhibit F'!D122+'Exhibit F'!D123</f>
        <v>2116.1</v>
      </c>
      <c r="E49" s="47"/>
      <c r="F49" s="48">
        <f>+'Exhibit F'!AC120+'Exhibit F'!AC121+'Exhibit F'!AC122+'Exhibit F'!AC123</f>
        <v>2116.1</v>
      </c>
      <c r="G49" s="53"/>
      <c r="H49" s="1136">
        <f>'Exhibit G'!D114</f>
        <v>545.9</v>
      </c>
      <c r="I49" s="53"/>
      <c r="J49" s="101">
        <f>+'Exhibit G'!AC114</f>
        <v>545.9</v>
      </c>
      <c r="K49" s="54"/>
      <c r="L49" s="2719">
        <f>+'Exhibit H'!B62</f>
        <v>357.9</v>
      </c>
      <c r="M49" s="2724"/>
      <c r="N49" s="48">
        <f>+'Exhibit H'!AA62</f>
        <v>357.9</v>
      </c>
      <c r="O49" s="2724"/>
      <c r="P49" s="1132">
        <f>' Exhbit I '!E93</f>
        <v>162.19999999999999</v>
      </c>
      <c r="Q49" s="1134"/>
      <c r="R49" s="1128">
        <f>+' Exhbit I '!AD93</f>
        <v>162.19999999999999</v>
      </c>
      <c r="S49" s="102"/>
      <c r="T49" s="102"/>
      <c r="U49" s="54"/>
      <c r="V49" s="1125">
        <f>ROUND(SUM(D49)+SUM(H49)+SUM(L49)+SUM(P49),1)</f>
        <v>3182.1</v>
      </c>
      <c r="W49" s="53" t="s">
        <v>16</v>
      </c>
      <c r="X49" s="47">
        <f>ROUND(SUM(F49)+SUM(J49)+SUM(N49)+SUM(R49),1)</f>
        <v>3182.1</v>
      </c>
      <c r="Y49" s="102"/>
      <c r="Z49" s="103"/>
      <c r="AA49" s="54"/>
      <c r="AB49" s="1135">
        <v>4617.6000000000004</v>
      </c>
      <c r="AC49" s="53"/>
      <c r="AD49" s="54">
        <f>+'Exhibit F'!AF120+'Exhibit F'!AF121+'Exhibit F'!AF122+'Exhibit F'!AF123+'Exhibit G'!AF114+'Exhibit H'!AD62+' Exhbit I '!AG93</f>
        <v>4617.6000000000004</v>
      </c>
      <c r="AE49" s="54"/>
      <c r="AF49" s="55"/>
      <c r="AG49" s="51">
        <f>ROUND(SUM(X49-AD49),1)</f>
        <v>-1435.5</v>
      </c>
      <c r="AH49" s="99"/>
      <c r="AI49" s="2726">
        <f>ROUND(SUM((+X49-AD49)/ABS(AD49)),3)</f>
        <v>-0.311</v>
      </c>
      <c r="AJ49" s="29"/>
      <c r="AK49" s="1"/>
      <c r="AL49" s="1"/>
    </row>
    <row r="50" spans="1:40" ht="18" customHeight="1">
      <c r="A50" s="96" t="s">
        <v>50</v>
      </c>
      <c r="B50" s="3035" t="s">
        <v>1503</v>
      </c>
      <c r="C50" s="96"/>
      <c r="D50" s="2719">
        <f>+'Exhibit F'!D124+'Exhibit F'!D127+'Exhibit F'!D128+'Exhibit F'!D126</f>
        <v>-798</v>
      </c>
      <c r="E50" s="53"/>
      <c r="F50" s="48">
        <f>+'Exhibit F'!AC124+'Exhibit F'!AC127+'Exhibit F'!AC128+'Exhibit F'!AC126</f>
        <v>-798</v>
      </c>
      <c r="G50" s="53"/>
      <c r="H50" s="1136">
        <f>'Exhibit G'!D115</f>
        <v>-89.8</v>
      </c>
      <c r="I50" s="53"/>
      <c r="J50" s="101">
        <f>+'Exhibit G'!AC115</f>
        <v>-89.8</v>
      </c>
      <c r="K50" s="53"/>
      <c r="L50" s="2719">
        <f>+'Exhibit H'!B63</f>
        <v>-2274.1</v>
      </c>
      <c r="M50" s="2724"/>
      <c r="N50" s="48">
        <f>+'Exhibit H'!AA63</f>
        <v>-2274.1</v>
      </c>
      <c r="O50" s="2724"/>
      <c r="P50" s="1132">
        <f>' Exhbit I '!E94</f>
        <v>-25.5</v>
      </c>
      <c r="Q50" s="1135"/>
      <c r="R50" s="1128">
        <f>+' Exhbit I '!AD94</f>
        <v>-25.5</v>
      </c>
      <c r="S50" s="102"/>
      <c r="T50" s="102"/>
      <c r="U50" s="54"/>
      <c r="V50" s="1125">
        <f>ROUND(SUM(D50)+SUM(H50)+SUM(L50)+SUM(P50),1)</f>
        <v>-3187.4</v>
      </c>
      <c r="W50" s="104" t="s">
        <v>16</v>
      </c>
      <c r="X50" s="47">
        <f>ROUND(SUM(F50)+SUM(J50)+SUM(N50)+SUM(R50),1)</f>
        <v>-3187.4</v>
      </c>
      <c r="Y50" s="102"/>
      <c r="Z50" s="103"/>
      <c r="AA50" s="54"/>
      <c r="AB50" s="1134">
        <v>-4620.6000000000004</v>
      </c>
      <c r="AC50" s="53"/>
      <c r="AD50" s="54">
        <f>ROUND(+'Exhibit F'!AF124+'Exhibit F'!AF126+'Exhibit F'!AF127+'Exhibit F'!AF128+'Exhibit G'!AF115+'Exhibit H'!AD63+' Exhbit I '!AG94,1)</f>
        <v>-4620.6000000000004</v>
      </c>
      <c r="AE50" s="54"/>
      <c r="AF50" s="55"/>
      <c r="AG50" s="89">
        <f>ROUND(SUM(X50-AD50),1)*-1</f>
        <v>-1433.2</v>
      </c>
      <c r="AI50" s="2727">
        <f>-ROUND(SUM((+X50-AD50)/ABS(AD50)),3)</f>
        <v>-0.31</v>
      </c>
      <c r="AJ50" s="29"/>
      <c r="AK50" s="1"/>
      <c r="AL50" s="1"/>
    </row>
    <row r="51" spans="1:40" ht="18" customHeight="1">
      <c r="A51" s="14" t="s">
        <v>51</v>
      </c>
      <c r="B51" s="14"/>
      <c r="C51" s="15"/>
      <c r="D51" s="65">
        <f>ROUND(SUM(D48:D50),1)</f>
        <v>1318.1</v>
      </c>
      <c r="E51" s="47"/>
      <c r="F51" s="65">
        <f>ROUND(SUM(F48:F50),1)</f>
        <v>1318.1</v>
      </c>
      <c r="G51" s="63"/>
      <c r="H51" s="65">
        <f>ROUND(SUM(H48:H50),1)</f>
        <v>456.1</v>
      </c>
      <c r="I51" s="63"/>
      <c r="J51" s="65">
        <f>ROUND(SUM(J48:J50),1)</f>
        <v>456.1</v>
      </c>
      <c r="K51" s="63"/>
      <c r="L51" s="65">
        <f>ROUND(SUM(L48:L50),1)</f>
        <v>-1916.2</v>
      </c>
      <c r="M51" s="2603"/>
      <c r="N51" s="65">
        <f>ROUND(SUM(N48:N50),1)</f>
        <v>-1916.2</v>
      </c>
      <c r="O51" s="2603"/>
      <c r="P51" s="62">
        <f>ROUND(SUM(P48:P50),1)</f>
        <v>136.69999999999999</v>
      </c>
      <c r="Q51" s="63"/>
      <c r="R51" s="62">
        <f>ROUND(SUM(R48:R50),1)</f>
        <v>136.69999999999999</v>
      </c>
      <c r="S51" s="66"/>
      <c r="T51" s="66"/>
      <c r="U51" s="67"/>
      <c r="V51" s="2856">
        <f>ROUND(SUM(V48+V49+V50),1)</f>
        <v>-5.3</v>
      </c>
      <c r="W51" s="63"/>
      <c r="X51" s="2856">
        <f>ROUND(SUM(+X48+X49+X50),1)</f>
        <v>-5.3</v>
      </c>
      <c r="Y51" s="66"/>
      <c r="Z51" s="68"/>
      <c r="AA51" s="67"/>
      <c r="AB51" s="106">
        <f>ROUND(SUM(+AB49+AB50),1)</f>
        <v>-3</v>
      </c>
      <c r="AC51" s="63"/>
      <c r="AD51" s="106">
        <f>ROUND(SUM(+AD49+AD50),1)</f>
        <v>-3</v>
      </c>
      <c r="AE51" s="107"/>
      <c r="AF51" s="70"/>
      <c r="AG51" s="62">
        <f>ROUND(SUM(+AG49-AG50+AG48),1)</f>
        <v>-2.2999999999999998</v>
      </c>
      <c r="AH51" s="71"/>
      <c r="AI51" s="2728">
        <f>ROUND(SUM(-AG51/AD51),3)</f>
        <v>-0.76700000000000002</v>
      </c>
      <c r="AJ51" s="18"/>
      <c r="AK51" s="1"/>
      <c r="AL51" s="1"/>
    </row>
    <row r="52" spans="1:40" ht="15.9" customHeight="1">
      <c r="A52" s="15"/>
      <c r="B52" s="15"/>
      <c r="C52" s="15"/>
      <c r="D52" s="1127"/>
      <c r="E52" s="47"/>
      <c r="F52" s="74"/>
      <c r="G52" s="47"/>
      <c r="H52" s="1128"/>
      <c r="I52" s="47"/>
      <c r="J52" s="74"/>
      <c r="K52" s="47"/>
      <c r="L52" s="1128"/>
      <c r="M52" s="48"/>
      <c r="N52" s="74"/>
      <c r="O52" s="48"/>
      <c r="P52" s="1128"/>
      <c r="Q52" s="1125"/>
      <c r="R52" s="1128"/>
      <c r="S52" s="50"/>
      <c r="T52" s="50"/>
      <c r="U52" s="51"/>
      <c r="V52" s="1127"/>
      <c r="W52" s="47"/>
      <c r="X52" s="51"/>
      <c r="Y52" s="50"/>
      <c r="Z52" s="52"/>
      <c r="AA52" s="51"/>
      <c r="AB52" s="1127"/>
      <c r="AC52" s="47"/>
      <c r="AD52" s="54"/>
      <c r="AE52" s="54"/>
      <c r="AF52" s="55"/>
      <c r="AG52" s="51"/>
      <c r="AI52" s="2729"/>
      <c r="AJ52" s="29"/>
      <c r="AK52" s="1"/>
      <c r="AL52" s="1"/>
    </row>
    <row r="53" spans="1:40" ht="18" customHeight="1">
      <c r="A53" s="13" t="s">
        <v>45</v>
      </c>
      <c r="B53" s="14"/>
      <c r="C53" s="15"/>
      <c r="D53" s="1125"/>
      <c r="E53" s="47"/>
      <c r="F53" s="48"/>
      <c r="G53" s="47"/>
      <c r="H53" s="1126"/>
      <c r="I53" s="47"/>
      <c r="J53" s="48"/>
      <c r="K53" s="47"/>
      <c r="L53" s="1126"/>
      <c r="M53" s="48"/>
      <c r="N53" s="48"/>
      <c r="O53" s="48"/>
      <c r="P53" s="1126"/>
      <c r="Q53" s="1125"/>
      <c r="R53" s="1126"/>
      <c r="S53" s="50"/>
      <c r="T53" s="50"/>
      <c r="U53" s="51"/>
      <c r="V53" s="1125"/>
      <c r="W53" s="47"/>
      <c r="X53" s="47"/>
      <c r="Y53" s="50"/>
      <c r="Z53" s="52"/>
      <c r="AA53" s="51"/>
      <c r="AB53" s="1125"/>
      <c r="AC53" s="47"/>
      <c r="AD53" s="54"/>
      <c r="AE53" s="54"/>
      <c r="AF53" s="55"/>
      <c r="AG53" s="47"/>
      <c r="AI53" s="2730"/>
      <c r="AJ53" s="29"/>
      <c r="AK53" s="1"/>
      <c r="AL53" s="1"/>
    </row>
    <row r="54" spans="1:40" ht="18" customHeight="1">
      <c r="A54" s="13" t="s">
        <v>52</v>
      </c>
      <c r="B54" s="13"/>
      <c r="C54" s="96"/>
      <c r="D54" s="1135"/>
      <c r="E54" s="47"/>
      <c r="F54" s="48"/>
      <c r="G54" s="47"/>
      <c r="H54" s="1126"/>
      <c r="I54" s="47"/>
      <c r="J54" s="48"/>
      <c r="K54" s="47"/>
      <c r="L54" s="1126"/>
      <c r="M54" s="48"/>
      <c r="N54" s="48"/>
      <c r="O54" s="48"/>
      <c r="P54" s="1126"/>
      <c r="Q54" s="1125"/>
      <c r="R54" s="1126"/>
      <c r="S54" s="50"/>
      <c r="T54" s="50"/>
      <c r="U54" s="51"/>
      <c r="V54" s="1125" t="s">
        <v>16</v>
      </c>
      <c r="W54" s="47"/>
      <c r="X54" s="47"/>
      <c r="Y54" s="50"/>
      <c r="Z54" s="52"/>
      <c r="AA54" s="51"/>
      <c r="AB54" s="1125"/>
      <c r="AC54" s="47"/>
      <c r="AD54" s="54"/>
      <c r="AE54" s="54"/>
      <c r="AF54" s="55"/>
      <c r="AG54" s="47"/>
      <c r="AI54" s="2729"/>
      <c r="AJ54" s="29"/>
      <c r="AK54" s="1"/>
      <c r="AL54" s="1"/>
    </row>
    <row r="55" spans="1:40" ht="18" customHeight="1">
      <c r="A55" s="13" t="s">
        <v>53</v>
      </c>
      <c r="B55" s="13"/>
      <c r="C55" s="96"/>
      <c r="D55" s="110">
        <f>ROUND(SUM(D45+D51),1)</f>
        <v>1958.6</v>
      </c>
      <c r="E55" s="110"/>
      <c r="F55" s="111">
        <f>ROUND(SUM(F45)+SUM(F51),1)</f>
        <v>1958.6</v>
      </c>
      <c r="G55" s="110"/>
      <c r="H55" s="111">
        <f>ROUND(SUM(H45+H51),1)</f>
        <v>263.5</v>
      </c>
      <c r="I55" s="110"/>
      <c r="J55" s="111">
        <f>ROUND(SUM(J45)+SUM(J51),1)</f>
        <v>263.5</v>
      </c>
      <c r="K55" s="110"/>
      <c r="L55" s="111">
        <f>ROUND(SUM(L45+L51),1)</f>
        <v>165.2</v>
      </c>
      <c r="M55" s="111"/>
      <c r="N55" s="111">
        <f>ROUND(SUM(N45+N51),1)</f>
        <v>165.2</v>
      </c>
      <c r="O55" s="111"/>
      <c r="P55" s="111">
        <f>ROUND(SUM(P45+P51),1)</f>
        <v>33.799999999999997</v>
      </c>
      <c r="Q55" s="110"/>
      <c r="R55" s="111">
        <f>ROUND(SUM(R45+R51),1)</f>
        <v>33.799999999999997</v>
      </c>
      <c r="S55" s="112"/>
      <c r="T55" s="112"/>
      <c r="U55" s="69"/>
      <c r="V55" s="110">
        <f>ROUND(SUM(V45)+SUM(V51),1)</f>
        <v>2421.1</v>
      </c>
      <c r="W55" s="110"/>
      <c r="X55" s="110">
        <f>ROUND(SUM(X45)+SUM(X51),1)</f>
        <v>2421.1</v>
      </c>
      <c r="Y55" s="112"/>
      <c r="Z55" s="113"/>
      <c r="AA55" s="69"/>
      <c r="AB55" s="110">
        <f>ROUND(SUM(AB45)+SUM(AB51),1)</f>
        <v>3308</v>
      </c>
      <c r="AC55" s="110"/>
      <c r="AD55" s="110">
        <f>ROUND(SUM(AD45)+SUM(AD51),1)</f>
        <v>3308</v>
      </c>
      <c r="AE55" s="69"/>
      <c r="AF55" s="70"/>
      <c r="AG55" s="67">
        <f>ROUND(SUM(+AG45+AG51),1)</f>
        <v>-886.9</v>
      </c>
      <c r="AH55" s="71"/>
      <c r="AI55" s="2830">
        <f>ROUND(SUM((+X55-AD55)/ABS(AD55)),3)</f>
        <v>-0.26800000000000002</v>
      </c>
      <c r="AJ55" s="115"/>
      <c r="AK55" s="116"/>
      <c r="AL55" s="1"/>
    </row>
    <row r="56" spans="1:40" ht="15.9" customHeight="1">
      <c r="A56" s="14"/>
      <c r="B56" s="14"/>
      <c r="C56" s="15"/>
      <c r="D56" s="1125"/>
      <c r="E56" s="47"/>
      <c r="F56" s="74"/>
      <c r="G56" s="47"/>
      <c r="H56" s="1126"/>
      <c r="I56" s="47"/>
      <c r="J56" s="48"/>
      <c r="K56" s="47"/>
      <c r="L56" s="1136"/>
      <c r="M56" s="101"/>
      <c r="N56" s="101"/>
      <c r="O56" s="101"/>
      <c r="P56" s="2719"/>
      <c r="Q56" s="1125"/>
      <c r="R56" s="1136"/>
      <c r="S56" s="50"/>
      <c r="T56" s="50"/>
      <c r="U56" s="51"/>
      <c r="V56" s="1125"/>
      <c r="W56" s="47"/>
      <c r="X56" s="47"/>
      <c r="Y56" s="102"/>
      <c r="Z56" s="103"/>
      <c r="AA56" s="54"/>
      <c r="AB56" s="1135"/>
      <c r="AC56" s="53"/>
      <c r="AD56" s="54"/>
      <c r="AE56" s="54"/>
      <c r="AF56" s="55"/>
      <c r="AG56" s="47"/>
      <c r="AI56" s="19"/>
      <c r="AJ56" s="29"/>
      <c r="AK56" s="1"/>
      <c r="AL56" s="1"/>
    </row>
    <row r="57" spans="1:40" ht="18" customHeight="1">
      <c r="A57" s="1680" t="s">
        <v>54</v>
      </c>
      <c r="B57" s="36"/>
      <c r="C57" s="15"/>
      <c r="D57" s="90">
        <v>8934.1</v>
      </c>
      <c r="E57" s="63"/>
      <c r="F57" s="91">
        <f>+'Exhibit F'!AC14</f>
        <v>8934.1</v>
      </c>
      <c r="G57" s="63"/>
      <c r="H57" s="91">
        <v>3607.1</v>
      </c>
      <c r="I57" s="63"/>
      <c r="J57" s="91">
        <f>'Exhibit G'!AC14</f>
        <v>3607.1</v>
      </c>
      <c r="K57" s="63"/>
      <c r="L57" s="91">
        <f>'Exhibit H'!B12</f>
        <v>159.69999999999999</v>
      </c>
      <c r="M57" s="2603"/>
      <c r="N57" s="91">
        <f>+'Exhibit H'!AA12</f>
        <v>159.69999999999999</v>
      </c>
      <c r="O57" s="2602"/>
      <c r="P57" s="92">
        <f>+' Exhbit I '!E15</f>
        <v>-890.8</v>
      </c>
      <c r="Q57" s="67"/>
      <c r="R57" s="91">
        <f>+' Exhbit I '!AD15</f>
        <v>-890.8</v>
      </c>
      <c r="S57" s="66"/>
      <c r="T57" s="66"/>
      <c r="U57" s="67"/>
      <c r="V57" s="90">
        <f>ROUND(SUM(D57+H57+L57+P57),1)</f>
        <v>11810.1</v>
      </c>
      <c r="W57" s="63" t="s">
        <v>16</v>
      </c>
      <c r="X57" s="90">
        <f>ROUND(SUM(F57+J57+N57+R57),1)</f>
        <v>11810.1</v>
      </c>
      <c r="Y57" s="66"/>
      <c r="Z57" s="68"/>
      <c r="AA57" s="67"/>
      <c r="AB57" s="90">
        <v>9355.6</v>
      </c>
      <c r="AC57" s="63"/>
      <c r="AD57" s="93">
        <v>9355.6</v>
      </c>
      <c r="AE57" s="69"/>
      <c r="AF57" s="70"/>
      <c r="AG57" s="90">
        <f>ROUND(SUM(X57-AD57),1)</f>
        <v>2454.5</v>
      </c>
      <c r="AH57" s="71"/>
      <c r="AI57" s="95">
        <f>ROUND(SUM((+X57-AD57)/ABS(AD57)),3)</f>
        <v>0.26200000000000001</v>
      </c>
      <c r="AJ57" s="18"/>
      <c r="AK57" s="1"/>
      <c r="AL57" s="1"/>
    </row>
    <row r="58" spans="1:40" ht="15.9" customHeight="1">
      <c r="A58" s="96"/>
      <c r="B58" s="15"/>
      <c r="C58" s="15"/>
      <c r="D58" s="1134"/>
      <c r="E58" s="47"/>
      <c r="F58" s="74"/>
      <c r="G58" s="47"/>
      <c r="H58" s="1127"/>
      <c r="I58" s="47"/>
      <c r="J58" s="74"/>
      <c r="K58" s="47"/>
      <c r="L58" s="1134"/>
      <c r="M58" s="47"/>
      <c r="N58" s="74"/>
      <c r="O58" s="47"/>
      <c r="P58" s="1127"/>
      <c r="Q58" s="1125"/>
      <c r="R58" s="1128"/>
      <c r="S58" s="50"/>
      <c r="T58" s="50"/>
      <c r="U58" s="51"/>
      <c r="V58" s="1127"/>
      <c r="W58" s="47"/>
      <c r="X58" s="51"/>
      <c r="Y58" s="50"/>
      <c r="Z58" s="52"/>
      <c r="AA58" s="51"/>
      <c r="AB58" s="1127"/>
      <c r="AC58" s="47"/>
      <c r="AD58" s="54"/>
      <c r="AE58" s="54"/>
      <c r="AF58" s="55"/>
      <c r="AG58" s="51"/>
      <c r="AI58" s="19"/>
      <c r="AJ58" s="29"/>
      <c r="AK58" s="1"/>
      <c r="AL58" s="1"/>
    </row>
    <row r="59" spans="1:40" ht="18" customHeight="1" thickBot="1">
      <c r="A59" s="1681" t="s">
        <v>55</v>
      </c>
      <c r="B59" s="117"/>
      <c r="C59" s="118"/>
      <c r="D59" s="119">
        <f>ROUND(SUM(D55+D57),1)</f>
        <v>10892.7</v>
      </c>
      <c r="E59" s="120"/>
      <c r="F59" s="121">
        <f>ROUND(SUM(F55+F57),1)</f>
        <v>10892.7</v>
      </c>
      <c r="G59" s="120"/>
      <c r="H59" s="119">
        <f>ROUND(SUM(H55+H57),1)</f>
        <v>3870.6</v>
      </c>
      <c r="I59" s="120"/>
      <c r="J59" s="121">
        <f>ROUND(SUM(J55)+SUM(J57),1)</f>
        <v>3870.6</v>
      </c>
      <c r="K59" s="120"/>
      <c r="L59" s="119">
        <f>ROUND(SUM(L55+L57),1)</f>
        <v>324.89999999999998</v>
      </c>
      <c r="M59" s="120"/>
      <c r="N59" s="121">
        <f>ROUND(SUM(N55+N57),1)</f>
        <v>324.89999999999998</v>
      </c>
      <c r="O59" s="120"/>
      <c r="P59" s="119">
        <f>ROUND(SUM(P55+P57),1)</f>
        <v>-857</v>
      </c>
      <c r="Q59" s="120"/>
      <c r="R59" s="121">
        <f>ROUND(SUM(R55+R57),1)</f>
        <v>-857</v>
      </c>
      <c r="S59" s="122"/>
      <c r="T59" s="122"/>
      <c r="U59" s="123"/>
      <c r="V59" s="119">
        <f>ROUND(SUM(V55+V57),1)</f>
        <v>14231.2</v>
      </c>
      <c r="W59" s="120"/>
      <c r="X59" s="119">
        <f>ROUND(SUM(X55+X57),1)</f>
        <v>14231.2</v>
      </c>
      <c r="Y59" s="122"/>
      <c r="Z59" s="124"/>
      <c r="AA59" s="123"/>
      <c r="AB59" s="119">
        <f>ROUND(SUM(AB55+AB57),1)</f>
        <v>12663.6</v>
      </c>
      <c r="AC59" s="120"/>
      <c r="AD59" s="119">
        <f>ROUND(SUM(AD55+AD57),1)</f>
        <v>12663.6</v>
      </c>
      <c r="AE59" s="123"/>
      <c r="AF59" s="125"/>
      <c r="AG59" s="126">
        <f>ROUND(SUM(AG55+AG57),1)</f>
        <v>1567.6</v>
      </c>
      <c r="AH59" s="71"/>
      <c r="AI59" s="127">
        <f>ROUND(SUM((+X59-AD59)/ABS(AD59)),3)</f>
        <v>0.124</v>
      </c>
      <c r="AJ59" s="128"/>
      <c r="AK59" s="116"/>
      <c r="AL59" s="116"/>
      <c r="AM59" s="129"/>
      <c r="AN59" s="71"/>
    </row>
    <row r="60" spans="1:40" ht="15.6" thickTop="1">
      <c r="A60" s="130"/>
      <c r="B60" s="130"/>
      <c r="C60" s="130"/>
      <c r="D60" s="1166"/>
      <c r="E60" s="131"/>
      <c r="F60" s="131"/>
      <c r="G60" s="131"/>
      <c r="H60" s="1166"/>
      <c r="I60" s="131"/>
      <c r="J60" s="131"/>
      <c r="K60" s="131"/>
      <c r="L60" s="1166"/>
      <c r="M60" s="131"/>
      <c r="N60" s="131"/>
      <c r="O60" s="131"/>
      <c r="P60" s="131"/>
      <c r="Q60" s="131"/>
      <c r="R60" s="131"/>
      <c r="S60" s="131"/>
      <c r="T60" s="131"/>
      <c r="U60" s="131"/>
      <c r="V60" s="1166"/>
      <c r="W60" s="131"/>
      <c r="X60" s="131"/>
      <c r="Y60" s="131"/>
      <c r="Z60" s="131"/>
      <c r="AA60" s="131"/>
      <c r="AB60" s="1166"/>
      <c r="AC60" s="132"/>
      <c r="AD60" s="133"/>
      <c r="AE60" s="133"/>
      <c r="AF60" s="131"/>
      <c r="AG60" s="131"/>
      <c r="AI60" s="134"/>
      <c r="AJ60" s="19"/>
      <c r="AK60" s="1"/>
      <c r="AL60" s="1"/>
    </row>
    <row r="61" spans="1:40" ht="15.6">
      <c r="A61" s="135"/>
      <c r="B61" s="94"/>
      <c r="C61" s="94"/>
      <c r="D61" s="1167"/>
      <c r="E61" s="99"/>
      <c r="F61" s="99"/>
      <c r="G61" s="99"/>
      <c r="H61" s="1167"/>
      <c r="I61" s="99"/>
      <c r="J61" s="99"/>
      <c r="K61" s="99"/>
      <c r="L61" s="1167"/>
      <c r="M61" s="99"/>
      <c r="N61" s="99"/>
      <c r="O61" s="99"/>
      <c r="P61" s="135" t="s">
        <v>16</v>
      </c>
      <c r="Q61" s="99"/>
      <c r="R61" s="99"/>
      <c r="S61" s="99"/>
      <c r="T61" s="99"/>
      <c r="U61" s="99"/>
      <c r="V61" s="1167"/>
      <c r="W61" s="99"/>
      <c r="X61" s="99"/>
      <c r="Y61" s="99"/>
      <c r="Z61" s="99"/>
      <c r="AA61" s="99"/>
      <c r="AB61" s="1167"/>
      <c r="AC61" s="99"/>
      <c r="AI61" s="134"/>
      <c r="AJ61" s="19"/>
      <c r="AK61" s="1"/>
      <c r="AL61" s="1"/>
    </row>
    <row r="62" spans="1:40" ht="15">
      <c r="A62" s="99"/>
      <c r="B62" s="99"/>
      <c r="C62" s="99"/>
      <c r="D62" s="1167"/>
      <c r="E62" s="99"/>
      <c r="F62" s="99"/>
      <c r="G62" s="99"/>
      <c r="H62" s="1167"/>
      <c r="I62" s="99"/>
      <c r="J62" s="99"/>
      <c r="K62" s="99"/>
      <c r="L62" s="1167"/>
      <c r="M62" s="99"/>
      <c r="N62" s="99"/>
      <c r="O62" s="99"/>
      <c r="P62" s="99" t="s">
        <v>16</v>
      </c>
      <c r="Q62" s="99"/>
      <c r="R62" s="99"/>
      <c r="S62" s="99"/>
      <c r="T62" s="99"/>
      <c r="U62" s="99"/>
      <c r="V62" s="1167"/>
      <c r="W62" s="99"/>
      <c r="X62" s="99"/>
      <c r="Y62" s="99"/>
      <c r="Z62" s="99"/>
      <c r="AA62" s="99"/>
      <c r="AB62" s="1167"/>
      <c r="AC62" s="99"/>
      <c r="AD62" s="2855"/>
      <c r="AI62" s="134"/>
      <c r="AJ62" s="19"/>
      <c r="AK62" s="1"/>
      <c r="AL62" s="1"/>
    </row>
    <row r="63" spans="1:40" ht="15">
      <c r="A63" s="99"/>
      <c r="B63" s="99"/>
      <c r="C63" s="99"/>
      <c r="D63" s="1167"/>
      <c r="E63" s="99"/>
      <c r="F63" s="99"/>
      <c r="G63" s="99"/>
      <c r="H63" s="1167"/>
      <c r="I63" s="99"/>
      <c r="J63" s="99"/>
      <c r="K63" s="99"/>
      <c r="L63" s="1167"/>
      <c r="M63" s="99"/>
      <c r="N63" s="99"/>
      <c r="O63" s="99"/>
      <c r="P63" s="99" t="s">
        <v>16</v>
      </c>
      <c r="Q63" s="99"/>
      <c r="R63" s="99"/>
      <c r="S63" s="99"/>
      <c r="T63" s="99"/>
      <c r="U63" s="99"/>
      <c r="V63" s="1167"/>
      <c r="W63" s="99"/>
      <c r="X63" s="99"/>
      <c r="Y63" s="99"/>
      <c r="Z63" s="99"/>
      <c r="AA63" s="99"/>
      <c r="AB63" s="1167"/>
      <c r="AC63" s="99"/>
      <c r="AI63" s="137"/>
      <c r="AJ63" s="19"/>
      <c r="AK63" s="1"/>
      <c r="AL63" s="1"/>
    </row>
    <row r="64" spans="1:40" ht="15.6">
      <c r="A64" s="138"/>
      <c r="B64" s="99"/>
      <c r="C64" s="99"/>
      <c r="D64" s="1167"/>
      <c r="E64" s="99"/>
      <c r="F64" s="99"/>
      <c r="G64" s="99"/>
      <c r="H64" s="1167"/>
      <c r="I64" s="99"/>
      <c r="J64" s="99"/>
      <c r="K64" s="99"/>
      <c r="L64" s="1167"/>
      <c r="M64" s="99"/>
      <c r="N64" s="99"/>
      <c r="O64" s="99"/>
      <c r="P64" s="99"/>
      <c r="Q64" s="99"/>
      <c r="R64" s="99"/>
      <c r="S64" s="99"/>
      <c r="T64" s="99"/>
      <c r="U64" s="99"/>
      <c r="V64" s="1167"/>
      <c r="W64" s="99"/>
      <c r="X64" s="99"/>
      <c r="Y64" s="99"/>
      <c r="Z64" s="99"/>
      <c r="AA64" s="99"/>
      <c r="AB64" s="1167"/>
      <c r="AC64" s="99"/>
      <c r="AI64" s="137"/>
      <c r="AJ64" s="1"/>
      <c r="AK64" s="1"/>
      <c r="AL64" s="1"/>
    </row>
    <row r="65" spans="1:38" ht="15.6">
      <c r="A65" s="138"/>
      <c r="B65" s="99"/>
      <c r="C65" s="99"/>
      <c r="D65" s="1167"/>
      <c r="E65" s="99"/>
      <c r="F65" s="99"/>
      <c r="G65" s="99"/>
      <c r="H65" s="1167"/>
      <c r="I65" s="99"/>
      <c r="J65" s="99"/>
      <c r="K65" s="99"/>
      <c r="L65" s="1167"/>
      <c r="M65" s="99"/>
      <c r="N65" s="99"/>
      <c r="O65" s="99"/>
      <c r="P65" s="99"/>
      <c r="Q65" s="99"/>
      <c r="R65" s="99"/>
      <c r="S65" s="99"/>
      <c r="T65" s="99"/>
      <c r="U65" s="99"/>
      <c r="V65" s="1167"/>
      <c r="W65" s="99"/>
      <c r="X65" s="99"/>
      <c r="Y65" s="99"/>
      <c r="Z65" s="99"/>
      <c r="AA65" s="99"/>
      <c r="AB65" s="1167"/>
      <c r="AC65" s="99"/>
      <c r="AI65" s="137"/>
      <c r="AJ65" s="1" t="s">
        <v>16</v>
      </c>
      <c r="AK65" s="1"/>
      <c r="AL65" s="1"/>
    </row>
    <row r="66" spans="1:38" ht="15.6">
      <c r="A66" s="139"/>
      <c r="B66" s="140"/>
      <c r="C66" s="135"/>
      <c r="D66" s="1170"/>
      <c r="E66" s="35"/>
      <c r="F66" s="35"/>
      <c r="G66" s="35"/>
      <c r="H66" s="1170"/>
      <c r="I66" s="35"/>
      <c r="J66" s="35"/>
      <c r="K66" s="35"/>
      <c r="L66" s="1170"/>
      <c r="M66" s="99"/>
      <c r="N66" s="99"/>
      <c r="O66" s="99"/>
      <c r="P66" s="99"/>
      <c r="Q66" s="99"/>
      <c r="R66" s="99"/>
      <c r="S66" s="99"/>
      <c r="T66" s="99"/>
      <c r="U66" s="99"/>
      <c r="V66" s="1167"/>
      <c r="W66" s="99"/>
      <c r="X66" s="99"/>
      <c r="Y66" s="99"/>
      <c r="Z66" s="99"/>
      <c r="AA66" s="99"/>
      <c r="AB66" s="1167"/>
      <c r="AC66" s="99"/>
      <c r="AI66" s="137"/>
      <c r="AJ66" s="1"/>
      <c r="AK66" s="1"/>
      <c r="AL66" s="1"/>
    </row>
    <row r="67" spans="1:38" ht="15">
      <c r="A67" s="19"/>
      <c r="B67" s="19"/>
      <c r="C67" s="19"/>
      <c r="D67" s="1171"/>
      <c r="E67" s="19"/>
      <c r="F67" s="19"/>
      <c r="G67" s="19"/>
      <c r="H67" s="1171"/>
      <c r="I67" s="19"/>
      <c r="J67" s="19"/>
      <c r="K67" s="19"/>
      <c r="L67" s="1171"/>
      <c r="M67" s="99"/>
      <c r="N67" s="99"/>
      <c r="O67" s="99"/>
      <c r="P67" s="99"/>
      <c r="Q67" s="99"/>
      <c r="R67" s="99"/>
      <c r="S67" s="99"/>
      <c r="T67" s="99"/>
      <c r="U67" s="99"/>
      <c r="V67" s="1167"/>
      <c r="W67" s="99"/>
      <c r="X67" s="99"/>
      <c r="Y67" s="99"/>
      <c r="Z67" s="99"/>
      <c r="AA67" s="99"/>
      <c r="AB67" s="1167"/>
      <c r="AC67" s="99"/>
      <c r="AI67" s="137"/>
      <c r="AJ67" s="1"/>
      <c r="AK67" s="1"/>
      <c r="AL67" s="1"/>
    </row>
    <row r="68" spans="1:38" ht="15">
      <c r="A68" s="19"/>
      <c r="B68" s="19"/>
      <c r="C68" s="19"/>
      <c r="D68" s="1171"/>
      <c r="E68" s="19"/>
      <c r="F68" s="19"/>
      <c r="G68" s="19"/>
      <c r="H68" s="1171"/>
      <c r="I68" s="19"/>
      <c r="J68" s="19"/>
      <c r="K68" s="19"/>
      <c r="L68" s="1171"/>
      <c r="M68" s="99"/>
      <c r="N68" s="99"/>
      <c r="O68" s="99"/>
      <c r="P68" s="99"/>
      <c r="Q68" s="99"/>
      <c r="R68" s="99"/>
      <c r="S68" s="99"/>
      <c r="T68" s="99"/>
      <c r="U68" s="99"/>
      <c r="V68" s="1167"/>
      <c r="W68" s="99"/>
      <c r="X68" s="99"/>
      <c r="Y68" s="99"/>
      <c r="Z68" s="99"/>
      <c r="AA68" s="99"/>
      <c r="AB68" s="1167"/>
      <c r="AC68" s="99"/>
      <c r="AI68" s="137"/>
      <c r="AJ68" s="1"/>
      <c r="AK68" s="1"/>
      <c r="AL68" s="1"/>
    </row>
    <row r="69" spans="1:38" ht="15">
      <c r="A69" s="19"/>
      <c r="B69" s="19"/>
      <c r="C69" s="19"/>
      <c r="D69" s="1171"/>
      <c r="E69" s="19"/>
      <c r="F69" s="19"/>
      <c r="G69" s="19"/>
      <c r="H69" s="1171"/>
      <c r="I69" s="19"/>
      <c r="J69" s="19"/>
      <c r="K69" s="19"/>
      <c r="L69" s="1171"/>
      <c r="M69" s="99"/>
      <c r="N69" s="99"/>
      <c r="O69" s="99"/>
      <c r="P69" s="99"/>
      <c r="Q69" s="99"/>
      <c r="R69" s="99"/>
      <c r="S69" s="99"/>
      <c r="T69" s="99"/>
      <c r="U69" s="99"/>
      <c r="V69" s="1167"/>
      <c r="W69" s="99"/>
      <c r="X69" s="99"/>
      <c r="Y69" s="99"/>
      <c r="Z69" s="99"/>
      <c r="AA69" s="99"/>
      <c r="AB69" s="1167"/>
      <c r="AI69" s="137"/>
      <c r="AJ69" s="1"/>
      <c r="AK69" s="1"/>
      <c r="AL69" s="1"/>
    </row>
    <row r="70" spans="1:38" ht="15">
      <c r="AI70" s="137"/>
      <c r="AJ70" s="1"/>
      <c r="AK70" s="1"/>
      <c r="AL70" s="1"/>
    </row>
    <row r="71" spans="1:38" ht="15">
      <c r="AI71" s="137"/>
      <c r="AJ71" s="1"/>
      <c r="AK71" s="1"/>
      <c r="AL71" s="1"/>
    </row>
    <row r="72" spans="1:38" ht="15">
      <c r="AI72" s="137"/>
      <c r="AJ72" s="1"/>
      <c r="AK72" s="1"/>
      <c r="AL72" s="1"/>
    </row>
    <row r="73" spans="1:38" ht="15">
      <c r="AI73" s="137"/>
      <c r="AJ73" s="1"/>
      <c r="AK73" s="1"/>
      <c r="AL73" s="1"/>
    </row>
    <row r="74" spans="1:38" ht="15">
      <c r="AI74" s="137"/>
      <c r="AJ74" s="1"/>
      <c r="AK74" s="1"/>
      <c r="AL74" s="1"/>
    </row>
    <row r="75" spans="1:38" ht="15">
      <c r="AI75" s="137"/>
      <c r="AJ75" s="1"/>
      <c r="AK75" s="1"/>
      <c r="AL75" s="1"/>
    </row>
    <row r="76" spans="1:38" ht="15">
      <c r="AI76" s="137"/>
      <c r="AJ76" s="1"/>
      <c r="AK76" s="1"/>
      <c r="AL76" s="1"/>
    </row>
    <row r="77" spans="1:38" ht="15">
      <c r="AI77" s="137"/>
      <c r="AJ77" s="1"/>
      <c r="AK77" s="1"/>
      <c r="AL77" s="1"/>
    </row>
    <row r="78" spans="1:38" ht="15">
      <c r="AI78" s="137"/>
      <c r="AJ78" s="1"/>
      <c r="AK78" s="1"/>
      <c r="AL78" s="1"/>
    </row>
    <row r="79" spans="1:38" ht="15">
      <c r="AI79" s="137"/>
      <c r="AJ79" s="1"/>
      <c r="AK79" s="1"/>
      <c r="AL79" s="1"/>
    </row>
    <row r="80" spans="1:38" ht="15">
      <c r="AI80" s="137"/>
      <c r="AJ80" s="1"/>
      <c r="AK80" s="1"/>
      <c r="AL80" s="1"/>
    </row>
    <row r="81" spans="35:38" ht="15">
      <c r="AI81" s="137"/>
      <c r="AJ81" s="1"/>
      <c r="AK81" s="1"/>
      <c r="AL81" s="1"/>
    </row>
    <row r="82" spans="35:38" ht="15">
      <c r="AI82" s="137"/>
      <c r="AJ82" s="1"/>
      <c r="AK82" s="1"/>
      <c r="AL82" s="1"/>
    </row>
    <row r="83" spans="35:38" ht="15">
      <c r="AI83" s="137"/>
      <c r="AJ83" s="1"/>
      <c r="AK83" s="1"/>
      <c r="AL83" s="1"/>
    </row>
    <row r="84" spans="35:38" ht="15">
      <c r="AI84" s="137"/>
      <c r="AJ84" s="1"/>
      <c r="AK84" s="1"/>
      <c r="AL84" s="1"/>
    </row>
    <row r="85" spans="35:38" ht="15">
      <c r="AI85" s="137"/>
      <c r="AJ85" s="1"/>
      <c r="AK85" s="1"/>
      <c r="AL85" s="1"/>
    </row>
    <row r="86" spans="35:38" ht="15">
      <c r="AI86" s="137"/>
      <c r="AJ86" s="1"/>
      <c r="AK86" s="1"/>
      <c r="AL86" s="1"/>
    </row>
    <row r="87" spans="35:38" ht="15">
      <c r="AI87" s="137"/>
      <c r="AJ87" s="1"/>
      <c r="AK87" s="1"/>
      <c r="AL87" s="1"/>
    </row>
    <row r="88" spans="35:38" ht="15">
      <c r="AI88" s="137"/>
      <c r="AJ88" s="1"/>
      <c r="AK88" s="1"/>
      <c r="AL88" s="1"/>
    </row>
    <row r="89" spans="35:38" ht="15">
      <c r="AI89" s="137"/>
      <c r="AJ89" s="1"/>
      <c r="AK89" s="1"/>
      <c r="AL89" s="1"/>
    </row>
    <row r="90" spans="35:38" ht="15">
      <c r="AI90" s="137"/>
      <c r="AJ90" s="1"/>
      <c r="AK90" s="1"/>
      <c r="AL90" s="1"/>
    </row>
    <row r="91" spans="35:38" ht="15">
      <c r="AI91" s="137"/>
      <c r="AJ91" s="1"/>
      <c r="AK91" s="1"/>
      <c r="AL91" s="1"/>
    </row>
    <row r="92" spans="35:38" ht="15">
      <c r="AI92" s="137"/>
      <c r="AJ92" s="1"/>
      <c r="AK92" s="1"/>
      <c r="AL92" s="1"/>
    </row>
    <row r="93" spans="35:38" ht="15">
      <c r="AI93" s="137"/>
      <c r="AJ93" s="1"/>
      <c r="AK93" s="1"/>
      <c r="AL93" s="1"/>
    </row>
    <row r="94" spans="35:38" ht="15">
      <c r="AI94" s="137"/>
      <c r="AJ94" s="1"/>
      <c r="AK94" s="1"/>
      <c r="AL94" s="1"/>
    </row>
    <row r="95" spans="35:38" ht="15">
      <c r="AI95" s="137"/>
      <c r="AJ95" s="1"/>
      <c r="AK95" s="1"/>
      <c r="AL95" s="1"/>
    </row>
    <row r="96" spans="35:38" ht="15">
      <c r="AI96" s="137"/>
      <c r="AJ96" s="1"/>
      <c r="AK96" s="1"/>
      <c r="AL96" s="1"/>
    </row>
    <row r="97" spans="35:38" ht="15">
      <c r="AI97" s="137"/>
      <c r="AJ97" s="1"/>
      <c r="AK97" s="1"/>
      <c r="AL97" s="1"/>
    </row>
    <row r="98" spans="35:38" ht="15">
      <c r="AI98" s="137"/>
      <c r="AJ98" s="1"/>
      <c r="AK98" s="1"/>
      <c r="AL98" s="1"/>
    </row>
    <row r="99" spans="35:38" ht="15">
      <c r="AI99" s="137"/>
      <c r="AJ99" s="1"/>
      <c r="AK99" s="1"/>
      <c r="AL99" s="1"/>
    </row>
    <row r="100" spans="35:38" ht="15">
      <c r="AI100" s="137"/>
      <c r="AJ100" s="1"/>
      <c r="AK100" s="1"/>
      <c r="AL100" s="1"/>
    </row>
    <row r="101" spans="35:38" ht="15">
      <c r="AI101" s="137"/>
      <c r="AJ101" s="1"/>
      <c r="AK101" s="1"/>
      <c r="AL101" s="1"/>
    </row>
    <row r="102" spans="35:38" ht="15">
      <c r="AI102" s="137"/>
      <c r="AJ102" s="1"/>
      <c r="AK102" s="1"/>
      <c r="AL102" s="1"/>
    </row>
    <row r="103" spans="35:38" ht="15">
      <c r="AI103" s="137"/>
      <c r="AJ103" s="1"/>
      <c r="AK103" s="1"/>
      <c r="AL103" s="1"/>
    </row>
    <row r="104" spans="35:38" ht="15">
      <c r="AI104" s="137"/>
      <c r="AJ104" s="1"/>
      <c r="AK104" s="1"/>
      <c r="AL104" s="1"/>
    </row>
    <row r="105" spans="35:38" ht="15">
      <c r="AI105" s="137"/>
      <c r="AJ105" s="1"/>
      <c r="AK105" s="1"/>
      <c r="AL105" s="1"/>
    </row>
    <row r="106" spans="35:38" ht="15">
      <c r="AI106" s="137"/>
      <c r="AJ106" s="1"/>
      <c r="AK106" s="1"/>
      <c r="AL106" s="1"/>
    </row>
  </sheetData>
  <customSheetViews>
    <customSheetView guid="{8EE6466D-211E-4E05-9F84-CC0A1C6F79F4}" scale="60" showGridLines="0" outlineSymbols="0" fitToPage="1" topLeftCell="A23">
      <selection activeCell="AE66" sqref="AE66"/>
      <pageMargins left="0.55000000000000004" right="0.45" top="1" bottom="0.5" header="0" footer="0.25"/>
      <pageSetup scale="41" orientation="landscape" r:id="rId1"/>
      <headerFooter scaleWithDoc="0" alignWithMargins="0">
        <oddFooter>&amp;C&amp;8 2</oddFooter>
      </headerFooter>
    </customSheetView>
  </customSheetViews>
  <mergeCells count="4">
    <mergeCell ref="A4:AI4"/>
    <mergeCell ref="A5:AI5"/>
    <mergeCell ref="A6:AI6"/>
    <mergeCell ref="V10:AI10"/>
  </mergeCells>
  <pageMargins left="0.55000000000000004" right="0.45" top="1" bottom="0.5" header="0" footer="0.25"/>
  <pageSetup scale="41" firstPageNumber="2" orientation="landscape" useFirstPageNumber="1" r:id="rId2"/>
  <headerFooter scaleWithDoc="0" alignWithMargins="0">
    <oddFooter>&amp;C&amp;8&amp;P</oddFooter>
  </headerFooter>
  <ignoredErrors>
    <ignoredError sqref="X11 AD11 L12 H12 E12 I12:K12 M12:X12 AG20:AH20 S59:AH59 S55:AH55 S51:U51 S45:AG45 S42:AD42 S34:AH34 S20:AF20 S56:AI56 S52:AI54 S46:AI47 S43:AI44 S21:AI23 S35:AI35 G12 AE14:AG14 AC14 AC15 AC16 AC17 AC18:AD18 AC19:AH19 AC24:AH24 AC25:AH25 AC26:AH26 AC28:AH28 AC29:AH29 AC30:AH30 AC31:AH31 AC32:AH32 S39:AA39 AC36:AH36 AC37:AH37 AC38:AH38 AC40:AH40 AC33 AC41 AC50:AD50 W14:AA14 S58:AI58 AC57 AD49:AH49 S14:U14 S40:AA40 S15:AA15 S16:AA16 S18:AA18 S19:AA19 S24:AA24 S25:AA25 S26:AA26 S29:AA29 S31:AA31 S32:AA32 S33:AA33 S41:AA41 S49:AA49 S50:AA50 S57:AA57 S27:AA27 S28:AA28 S30:AA30 S36:AA36 S38:AA38 S37:AA37 S48:AH48 R17:AA17 F49 E17:G17 E16:G16 E15:G15 E27:G27 E34 E14:G14 E19:G19 E18 E28:G28 I19:K19 I14 O45 M45 O42 M42 O34 M34 O20 M20 K45 I45 H46:P47 E45 D46:F48 K42 I42 H43:P44 K34 I34 K20 I20 I21:P23 E42 D43:F44 E35:F35 I27:P27 I24:O24 I25:O25 I35:P35 D20:G20 E25:G25 E26:G26 E24:G24 D42 G35:G41 F34:G34 D45 G43:G44 F42:H42 D21:G23 J20 L20 J34 L34 J42 L42 G46:G49 F45:H45 J45 L45 N20 N34 P34 N42 N45 P45 I50:K50 H48:O48 I15 I16 I17 I18:K18 I26:O26 I33:O33 I28:O28 I29:O29 I30:O30 I31:O31 I32:O32 I39:K39 I36:O36 I37:K37 I38:K38 I41:O41 I40:K40 I49:K49 D39:F41 E36:F36 E37:F37 E38:F38 E50 E49 M14 M15 M17 M18:O18 M19:O19 M37:O37 M40:P40 M49:O49 M50:O50 Q17 Q48:R48 Q37:R37 Q38:R38 Q36:R36 Q30:R30 Q28:R28 Q27:R27 Q57:R57 Q50:R50 Q49:R49 Q41:R41 Q33:R33 Q32:R32 Q31:R31 Q29:R29 Q26:R26 Q25:R25 Q24:R24 Q19:R19 Q18:R18 Q16 Q15 M57:O57 Q40:R40 Q14:R14 E57:F57 D58:F58 I57 H58:R58 Q39:R39 R59 R55 R51 R45 R42 R34 P59 N59 P55 N55 N51 L59 J59 L55 J55 L51 J51 G59:H59 F55:H55 G56:G58 D59 F51:H51 G52:G54 D55 Q35:R35 D52:F54 E51 D56:F56 E55 E59 Q21:R23 Q43:R44 Q46:R47 H52:R54 I51 K51 H56:R56 I55 K55 I59 K59 M51 O51 M55 O55 M59 O59 Q20 Q34 Q42 Q45 Q51 Q55 Q59 E30:G30 E32:G33 F59 E29:G29 E31:G31 G50 G18 AE18:AH18 H39 H34 H20 H27 H35 H21:H23 D34 D27 D35 C26 C38 C35 C32 C27 C34 C33 M39:P39 M38:O38 L38 L39 M16:O16 AE50:AH50 K14 K15 K16 K17 AE15:AI17 O14:P14 O15 O17 J17 R15:R16 AD15:AD17 AC49 C24 C25 C28 C29 C30 C31 C36 C37 AC27:AH27 AC39:AI39 AE33:AH33 AE41:AH41 W51 Y51:AF51 AH51 AE57:AH57 AH45:AI45 K57 AE42:AH42 AI14 AI18:AI20 AI24:AI34 AI36:AI38 AI40:AI42 AI57 AI59" unlockedFormula="1"/>
    <ignoredError sqref="B23 B41:B48 B51:B5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A171"/>
  <sheetViews>
    <sheetView zoomScale="80" zoomScaleNormal="80" workbookViewId="0"/>
  </sheetViews>
  <sheetFormatPr defaultColWidth="8.90625" defaultRowHeight="13.2"/>
  <cols>
    <col min="1" max="1" width="1.6328125" style="456" customWidth="1"/>
    <col min="2" max="2" width="40.90625" style="456" customWidth="1"/>
    <col min="3" max="3" width="1.6328125" style="456" customWidth="1"/>
    <col min="4" max="4" width="12.36328125" style="456" customWidth="1"/>
    <col min="5" max="5" width="1.6328125" style="456" customWidth="1"/>
    <col min="6" max="6" width="12" style="456" customWidth="1"/>
    <col min="7" max="7" width="1.6328125" style="456" customWidth="1"/>
    <col min="8" max="8" width="13.1796875" style="456" customWidth="1"/>
    <col min="9" max="9" width="1.6328125" style="456" customWidth="1"/>
    <col min="10" max="10" width="13.1796875" style="456" customWidth="1"/>
    <col min="11" max="11" width="1.6328125" style="456" customWidth="1"/>
    <col min="12" max="12" width="13.1796875" style="456" customWidth="1"/>
    <col min="13" max="13" width="1.6328125" style="456" customWidth="1"/>
    <col min="14" max="14" width="14" style="456" customWidth="1"/>
    <col min="15" max="15" width="1.6328125" style="456" customWidth="1"/>
    <col min="16" max="16" width="11.90625" style="456" customWidth="1"/>
    <col min="17" max="17" width="1.6328125" style="456" customWidth="1"/>
    <col min="18" max="18" width="11.54296875" style="456" customWidth="1"/>
    <col min="19" max="19" width="1.6328125" style="456" customWidth="1"/>
    <col min="20" max="20" width="12.08984375" style="456" customWidth="1"/>
    <col min="21" max="21" width="1.6328125" style="456" customWidth="1"/>
    <col min="22" max="22" width="13" style="456" customWidth="1"/>
    <col min="23" max="23" width="1.6328125" style="456" customWidth="1"/>
    <col min="24" max="24" width="11.1796875" style="456" customWidth="1"/>
    <col min="25" max="25" width="1.6328125" style="456" customWidth="1"/>
    <col min="26" max="26" width="9.08984375" style="456" customWidth="1"/>
    <col min="27" max="27" width="1.36328125" style="456" customWidth="1"/>
    <col min="28" max="28" width="13.1796875" style="456" customWidth="1"/>
    <col min="29" max="30" width="1.6328125" style="456" customWidth="1"/>
    <col min="31" max="31" width="11.81640625" style="456" customWidth="1"/>
    <col min="32" max="33" width="1.453125" style="456" customWidth="1"/>
    <col min="34" max="34" width="12.6328125" style="456" bestFit="1" customWidth="1"/>
    <col min="35" max="35" width="1.54296875" style="456" customWidth="1"/>
    <col min="36" max="36" width="0.90625" style="456" customWidth="1"/>
    <col min="37" max="37" width="14.90625" style="456" customWidth="1"/>
    <col min="38" max="38" width="0.6328125" style="456" customWidth="1"/>
    <col min="39" max="39" width="12.08984375" style="456" customWidth="1"/>
    <col min="40" max="16384" width="8.90625" style="456"/>
  </cols>
  <sheetData>
    <row r="1" spans="1:41" ht="15">
      <c r="B1" s="1172" t="s">
        <v>1103</v>
      </c>
    </row>
    <row r="2" spans="1:41" ht="15.6">
      <c r="A2" s="455"/>
      <c r="M2" s="221"/>
      <c r="N2" s="221"/>
      <c r="O2" s="500"/>
    </row>
    <row r="3" spans="1:41" ht="20.25" customHeight="1">
      <c r="A3" s="455"/>
      <c r="B3" s="460" t="s">
        <v>0</v>
      </c>
      <c r="M3" s="221"/>
      <c r="N3" s="221"/>
      <c r="O3" s="500"/>
      <c r="AG3" s="533"/>
      <c r="AH3" s="533"/>
      <c r="AI3" s="533"/>
      <c r="AJ3" s="533"/>
      <c r="AK3" s="533"/>
      <c r="AL3" s="533"/>
      <c r="AM3" s="739" t="s">
        <v>175</v>
      </c>
    </row>
    <row r="4" spans="1:41" ht="17.399999999999999">
      <c r="A4" s="455"/>
      <c r="B4" s="460" t="s">
        <v>182</v>
      </c>
      <c r="L4" s="221"/>
      <c r="M4" s="221"/>
      <c r="O4" s="500"/>
    </row>
    <row r="5" spans="1:41" ht="17.399999999999999">
      <c r="A5" s="455"/>
      <c r="B5" s="640" t="s">
        <v>1123</v>
      </c>
      <c r="L5" s="500"/>
      <c r="M5" s="500"/>
      <c r="O5" s="500"/>
      <c r="X5" s="534"/>
    </row>
    <row r="6" spans="1:41" ht="21">
      <c r="A6" s="455"/>
      <c r="B6" s="2996" t="s">
        <v>1472</v>
      </c>
      <c r="L6" s="500"/>
      <c r="M6" s="500"/>
      <c r="O6" s="500"/>
      <c r="AM6" s="506"/>
    </row>
    <row r="7" spans="1:41" ht="17.399999999999999">
      <c r="A7" s="455"/>
      <c r="B7" s="460" t="s">
        <v>991</v>
      </c>
      <c r="AJ7" s="352"/>
      <c r="AK7" s="352"/>
      <c r="AL7" s="352"/>
      <c r="AM7" s="352"/>
    </row>
    <row r="8" spans="1:41" ht="13.5" customHeight="1">
      <c r="A8" s="455"/>
      <c r="L8" s="500"/>
      <c r="M8" s="500"/>
      <c r="N8" s="500"/>
      <c r="O8" s="500"/>
      <c r="AD8" s="352"/>
      <c r="AE8" s="500"/>
      <c r="AF8" s="500"/>
      <c r="AG8" s="352"/>
      <c r="AH8" s="352"/>
      <c r="AI8" s="352"/>
      <c r="AJ8" s="500"/>
      <c r="AK8" s="500"/>
      <c r="AL8" s="500"/>
      <c r="AM8" s="500"/>
    </row>
    <row r="9" spans="1:41" ht="20.25" customHeight="1">
      <c r="A9" s="455"/>
      <c r="L9" s="500"/>
      <c r="M9" s="500"/>
      <c r="N9" s="500"/>
      <c r="O9" s="500"/>
      <c r="AD9" s="535"/>
      <c r="AE9" s="536"/>
      <c r="AF9" s="536"/>
      <c r="AG9" s="3406" t="str">
        <f>+'Exhibit G'!AF10</f>
        <v>1 Month Ended April 30</v>
      </c>
      <c r="AH9" s="3407"/>
      <c r="AI9" s="3407"/>
      <c r="AJ9" s="3407"/>
      <c r="AK9" s="3407"/>
      <c r="AL9" s="535"/>
      <c r="AM9" s="535"/>
    </row>
    <row r="10" spans="1:41" ht="21">
      <c r="A10" s="455"/>
      <c r="B10" s="537"/>
      <c r="D10" s="1488"/>
      <c r="E10" s="1488"/>
      <c r="F10" s="1488"/>
      <c r="G10" s="1488"/>
      <c r="H10" s="1488"/>
      <c r="I10" s="1488"/>
      <c r="J10" s="1488"/>
      <c r="K10" s="1488"/>
      <c r="L10" s="1489"/>
      <c r="M10" s="1489"/>
      <c r="N10" s="1489"/>
      <c r="O10" s="1489"/>
      <c r="P10" s="1488"/>
      <c r="Q10" s="1488"/>
      <c r="R10" s="1488"/>
      <c r="S10" s="1488"/>
      <c r="T10" s="1488"/>
      <c r="U10" s="1488"/>
      <c r="V10" s="1488"/>
      <c r="W10" s="1488"/>
      <c r="X10" s="1488"/>
      <c r="Y10" s="1488"/>
      <c r="Z10" s="1488"/>
      <c r="AA10" s="1488"/>
      <c r="AB10" s="1483" t="s">
        <v>1331</v>
      </c>
      <c r="AC10" s="1488"/>
      <c r="AD10" s="1488"/>
      <c r="AE10" s="1488"/>
      <c r="AF10" s="1488"/>
      <c r="AG10" s="1488"/>
      <c r="AH10" s="1488"/>
      <c r="AI10" s="1488"/>
      <c r="AJ10" s="1488"/>
      <c r="AK10" s="1488"/>
      <c r="AL10" s="1488"/>
      <c r="AM10" s="1488"/>
      <c r="AN10" s="1488"/>
      <c r="AO10" s="1488"/>
    </row>
    <row r="11" spans="1:41" ht="13.5" customHeight="1">
      <c r="A11" s="455"/>
      <c r="B11" s="222"/>
      <c r="C11" s="222"/>
      <c r="D11" s="1476">
        <v>2016</v>
      </c>
      <c r="E11" s="221"/>
      <c r="F11" s="221"/>
      <c r="G11" s="221"/>
      <c r="H11" s="221"/>
      <c r="I11" s="221"/>
      <c r="J11" s="221"/>
      <c r="K11" s="221"/>
      <c r="L11" s="221"/>
      <c r="M11" s="221"/>
      <c r="N11" s="221"/>
      <c r="O11" s="221"/>
      <c r="P11" s="221"/>
      <c r="Q11" s="221"/>
      <c r="R11" s="221"/>
      <c r="S11" s="221"/>
      <c r="T11" s="221"/>
      <c r="U11" s="221"/>
      <c r="V11" s="1476">
        <v>2017</v>
      </c>
      <c r="W11" s="221"/>
      <c r="X11" s="221"/>
      <c r="Y11" s="221"/>
      <c r="Z11" s="221"/>
      <c r="AA11" s="221"/>
      <c r="AB11" s="1483" t="s">
        <v>1332</v>
      </c>
      <c r="AC11" s="221"/>
      <c r="AD11" s="221"/>
      <c r="AE11" s="413"/>
      <c r="AF11" s="413"/>
      <c r="AG11" s="413"/>
      <c r="AH11" s="413"/>
      <c r="AI11" s="413"/>
      <c r="AJ11" s="412"/>
      <c r="AK11" s="1483" t="s">
        <v>8</v>
      </c>
      <c r="AL11" s="1483"/>
      <c r="AM11" s="1483" t="s">
        <v>9</v>
      </c>
      <c r="AN11" s="1488"/>
      <c r="AO11" s="1488"/>
    </row>
    <row r="12" spans="1:41" ht="15.6">
      <c r="A12" s="455"/>
      <c r="B12" s="222"/>
      <c r="C12" s="222"/>
      <c r="D12" s="2037" t="s">
        <v>129</v>
      </c>
      <c r="E12" s="221"/>
      <c r="F12" s="2037" t="s">
        <v>130</v>
      </c>
      <c r="G12" s="221"/>
      <c r="H12" s="2037" t="s">
        <v>131</v>
      </c>
      <c r="I12" s="221"/>
      <c r="J12" s="2037" t="s">
        <v>132</v>
      </c>
      <c r="K12" s="221"/>
      <c r="L12" s="2037" t="s">
        <v>133</v>
      </c>
      <c r="M12" s="221"/>
      <c r="N12" s="2037" t="s">
        <v>134</v>
      </c>
      <c r="O12" s="221"/>
      <c r="P12" s="2037" t="s">
        <v>135</v>
      </c>
      <c r="Q12" s="221"/>
      <c r="R12" s="2037" t="s">
        <v>136</v>
      </c>
      <c r="S12" s="221"/>
      <c r="T12" s="2037" t="s">
        <v>137</v>
      </c>
      <c r="U12" s="221"/>
      <c r="V12" s="2037" t="s">
        <v>154</v>
      </c>
      <c r="W12" s="221"/>
      <c r="X12" s="2037" t="s">
        <v>139</v>
      </c>
      <c r="Y12" s="221"/>
      <c r="Z12" s="2037" t="s">
        <v>140</v>
      </c>
      <c r="AA12" s="1490"/>
      <c r="AB12" s="2044" t="s">
        <v>1333</v>
      </c>
      <c r="AC12" s="221"/>
      <c r="AD12" s="221"/>
      <c r="AE12" s="2043">
        <v>2016</v>
      </c>
      <c r="AF12" s="1476"/>
      <c r="AG12" s="1462" t="s">
        <v>16</v>
      </c>
      <c r="AH12" s="2043">
        <v>2015</v>
      </c>
      <c r="AI12" s="1461"/>
      <c r="AJ12" s="412"/>
      <c r="AK12" s="2044" t="s">
        <v>13</v>
      </c>
      <c r="AL12" s="1481"/>
      <c r="AM12" s="2044" t="s">
        <v>14</v>
      </c>
      <c r="AN12" s="1488"/>
      <c r="AO12" s="1488"/>
    </row>
    <row r="13" spans="1:41" s="2042" customFormat="1" ht="15.6">
      <c r="A13" s="2040"/>
      <c r="B13" s="229"/>
      <c r="C13" s="229"/>
      <c r="D13" s="1490"/>
      <c r="E13" s="477"/>
      <c r="F13" s="1490"/>
      <c r="G13" s="477"/>
      <c r="H13" s="1490"/>
      <c r="I13" s="477"/>
      <c r="J13" s="1490"/>
      <c r="K13" s="477"/>
      <c r="L13" s="1490"/>
      <c r="M13" s="477"/>
      <c r="N13" s="1490"/>
      <c r="O13" s="477"/>
      <c r="P13" s="1490"/>
      <c r="Q13" s="477"/>
      <c r="R13" s="1490"/>
      <c r="S13" s="477"/>
      <c r="T13" s="1490"/>
      <c r="U13" s="477"/>
      <c r="V13" s="1490"/>
      <c r="W13" s="477"/>
      <c r="X13" s="1490"/>
      <c r="Y13" s="477"/>
      <c r="Z13" s="1490"/>
      <c r="AA13" s="1490"/>
      <c r="AB13" s="1490"/>
      <c r="AC13" s="477"/>
      <c r="AD13" s="477"/>
      <c r="AE13" s="1461"/>
      <c r="AF13" s="1461"/>
      <c r="AG13" s="1490"/>
      <c r="AH13" s="1461"/>
      <c r="AI13" s="1461"/>
      <c r="AJ13" s="413"/>
      <c r="AK13" s="1481"/>
      <c r="AL13" s="1481"/>
      <c r="AM13" s="1481"/>
      <c r="AN13" s="2041"/>
      <c r="AO13" s="2041"/>
    </row>
    <row r="14" spans="1:41" ht="15" customHeight="1">
      <c r="A14" s="352"/>
      <c r="B14" s="221" t="s">
        <v>15</v>
      </c>
      <c r="C14" s="223"/>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039"/>
      <c r="AE14" s="229"/>
      <c r="AF14" s="222"/>
      <c r="AG14" s="538"/>
      <c r="AH14" s="222"/>
      <c r="AI14" s="229"/>
      <c r="AJ14" s="509"/>
      <c r="AK14" s="222"/>
      <c r="AL14" s="222"/>
      <c r="AM14" s="222"/>
    </row>
    <row r="15" spans="1:41" ht="15" customHeight="1">
      <c r="A15" s="352"/>
      <c r="B15" s="489" t="s">
        <v>1238</v>
      </c>
      <c r="C15" s="223"/>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538"/>
      <c r="AE15" s="229"/>
      <c r="AF15" s="222"/>
      <c r="AG15" s="538"/>
      <c r="AH15" s="222"/>
      <c r="AI15" s="513"/>
      <c r="AJ15" s="229"/>
      <c r="AK15" s="222"/>
      <c r="AL15" s="222"/>
      <c r="AM15" s="222"/>
    </row>
    <row r="16" spans="1:41" s="1488" customFormat="1" ht="15" customHeight="1">
      <c r="A16" s="2051"/>
      <c r="B16" s="2334" t="s">
        <v>1243</v>
      </c>
      <c r="C16" s="221"/>
      <c r="D16" s="2350">
        <v>1.3</v>
      </c>
      <c r="E16" s="1238"/>
      <c r="F16" s="2350"/>
      <c r="G16" s="1238"/>
      <c r="H16" s="2350"/>
      <c r="I16" s="1238"/>
      <c r="J16" s="2350"/>
      <c r="K16" s="1238"/>
      <c r="L16" s="2350"/>
      <c r="M16" s="1238"/>
      <c r="N16" s="2350"/>
      <c r="O16" s="1238"/>
      <c r="P16" s="2350"/>
      <c r="Q16" s="1238"/>
      <c r="R16" s="2350"/>
      <c r="S16" s="1238"/>
      <c r="T16" s="1240"/>
      <c r="U16" s="1238"/>
      <c r="V16" s="1240"/>
      <c r="W16" s="1238"/>
      <c r="X16" s="1240"/>
      <c r="Y16" s="1238"/>
      <c r="Z16" s="1240"/>
      <c r="AA16" s="1240"/>
      <c r="AB16" s="2350">
        <v>0</v>
      </c>
      <c r="AC16" s="1238"/>
      <c r="AD16" s="2710"/>
      <c r="AE16" s="1926">
        <f>ROUND(SUM(D16:AB16),1)</f>
        <v>1.3</v>
      </c>
      <c r="AF16" s="1240"/>
      <c r="AG16" s="2351"/>
      <c r="AH16" s="1238">
        <v>3.1</v>
      </c>
      <c r="AI16" s="2352"/>
      <c r="AJ16" s="1926"/>
      <c r="AK16" s="1238">
        <f>ROUND(SUM(+AE16-AH16),1)</f>
        <v>-1.8</v>
      </c>
      <c r="AL16" s="1159"/>
      <c r="AM16" s="2732">
        <f>ROUND(IF(AH16=0,1,AK16/ABS(AH16)),3)</f>
        <v>-0.58099999999999996</v>
      </c>
    </row>
    <row r="17" spans="1:39" s="1488" customFormat="1" ht="15" customHeight="1">
      <c r="A17" s="2051"/>
      <c r="B17" s="2334"/>
      <c r="C17" s="221"/>
      <c r="D17" s="2349"/>
      <c r="E17" s="294"/>
      <c r="F17" s="2349"/>
      <c r="G17" s="294"/>
      <c r="H17" s="2350"/>
      <c r="I17" s="294"/>
      <c r="J17" s="2349"/>
      <c r="K17" s="294"/>
      <c r="L17" s="2349"/>
      <c r="M17" s="294"/>
      <c r="N17" s="2349"/>
      <c r="O17" s="294"/>
      <c r="P17" s="294"/>
      <c r="Q17" s="294"/>
      <c r="R17" s="294"/>
      <c r="S17" s="294"/>
      <c r="T17" s="383"/>
      <c r="U17" s="294"/>
      <c r="V17" s="383"/>
      <c r="W17" s="294"/>
      <c r="X17" s="383"/>
      <c r="Y17" s="294"/>
      <c r="Z17" s="383"/>
      <c r="AA17" s="383"/>
      <c r="AB17" s="2349"/>
      <c r="AC17" s="294"/>
      <c r="AD17" s="545"/>
      <c r="AE17" s="423"/>
      <c r="AF17" s="1240"/>
      <c r="AG17" s="2637"/>
      <c r="AH17" s="294"/>
      <c r="AI17" s="2352"/>
      <c r="AJ17" s="1926"/>
      <c r="AK17" s="294"/>
      <c r="AL17" s="1838"/>
      <c r="AM17" s="2634"/>
    </row>
    <row r="18" spans="1:39" s="1488" customFormat="1" ht="6" customHeight="1">
      <c r="A18" s="2051"/>
      <c r="B18" s="2334"/>
      <c r="C18" s="221"/>
      <c r="D18" s="2349"/>
      <c r="E18" s="294"/>
      <c r="F18" s="2349"/>
      <c r="G18" s="294"/>
      <c r="H18" s="2350"/>
      <c r="I18" s="294"/>
      <c r="J18" s="2349"/>
      <c r="K18" s="294"/>
      <c r="L18" s="2349"/>
      <c r="M18" s="294"/>
      <c r="N18" s="2349"/>
      <c r="O18" s="294"/>
      <c r="P18" s="294"/>
      <c r="Q18" s="294"/>
      <c r="R18" s="294"/>
      <c r="S18" s="294"/>
      <c r="T18" s="383"/>
      <c r="U18" s="294"/>
      <c r="V18" s="383"/>
      <c r="W18" s="294"/>
      <c r="X18" s="383"/>
      <c r="Y18" s="294"/>
      <c r="Z18" s="383"/>
      <c r="AA18" s="383"/>
      <c r="AB18" s="2349"/>
      <c r="AC18" s="294"/>
      <c r="AD18" s="545"/>
      <c r="AE18" s="423"/>
      <c r="AF18" s="1240"/>
      <c r="AG18" s="2637"/>
      <c r="AH18" s="294"/>
      <c r="AI18" s="2352"/>
      <c r="AJ18" s="1926"/>
      <c r="AK18" s="294"/>
      <c r="AL18" s="1838"/>
      <c r="AM18" s="2634"/>
    </row>
    <row r="19" spans="1:39" ht="15" customHeight="1">
      <c r="A19" s="352"/>
      <c r="B19" s="2334" t="s">
        <v>1309</v>
      </c>
      <c r="C19" s="223"/>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1190"/>
      <c r="AC19" s="261"/>
      <c r="AD19" s="252"/>
      <c r="AE19" s="249"/>
      <c r="AF19" s="261"/>
      <c r="AG19" s="1592"/>
      <c r="AH19" s="261"/>
      <c r="AI19" s="514"/>
      <c r="AJ19" s="249"/>
      <c r="AK19" s="1159"/>
      <c r="AL19" s="1834"/>
      <c r="AM19" s="2688"/>
    </row>
    <row r="20" spans="1:39" ht="15" customHeight="1">
      <c r="A20" s="352"/>
      <c r="B20" s="2069" t="s">
        <v>1258</v>
      </c>
      <c r="C20" s="223"/>
      <c r="D20" s="2072">
        <v>90.9</v>
      </c>
      <c r="E20" s="2073"/>
      <c r="F20" s="2072"/>
      <c r="G20" s="2073"/>
      <c r="H20" s="2072"/>
      <c r="I20" s="2073"/>
      <c r="J20" s="2073"/>
      <c r="K20" s="2073"/>
      <c r="L20" s="1124"/>
      <c r="M20" s="2073"/>
      <c r="N20" s="1190"/>
      <c r="O20" s="2073"/>
      <c r="P20" s="1190"/>
      <c r="Q20" s="2073"/>
      <c r="R20" s="2073"/>
      <c r="S20" s="2073"/>
      <c r="T20" s="2073"/>
      <c r="U20" s="2073"/>
      <c r="V20" s="2073"/>
      <c r="W20" s="2073"/>
      <c r="X20" s="2073"/>
      <c r="Y20" s="2073"/>
      <c r="Z20" s="2073"/>
      <c r="AA20" s="2073"/>
      <c r="AB20" s="1190">
        <v>0</v>
      </c>
      <c r="AC20" s="2073"/>
      <c r="AD20" s="2074"/>
      <c r="AE20" s="2075">
        <f>ROUND(SUM(D20:AB20),1)</f>
        <v>90.9</v>
      </c>
      <c r="AF20" s="2076"/>
      <c r="AG20" s="2077"/>
      <c r="AH20" s="2576">
        <v>91</v>
      </c>
      <c r="AI20" s="514"/>
      <c r="AJ20" s="249"/>
      <c r="AK20" s="1159">
        <f t="shared" ref="AK20:AK27" si="0">ROUND(SUM(+AE20-AH20),1)</f>
        <v>-0.1</v>
      </c>
      <c r="AL20" s="1834"/>
      <c r="AM20" s="2654">
        <f t="shared" ref="AM20:AM28" si="1">ROUND(IF(AH20=0,0,AK20/ABS(AH20)),3)</f>
        <v>-1E-3</v>
      </c>
    </row>
    <row r="21" spans="1:39" ht="15" customHeight="1">
      <c r="A21" s="352"/>
      <c r="B21" s="2069" t="s">
        <v>1259</v>
      </c>
      <c r="C21" s="223"/>
      <c r="D21" s="2072">
        <v>0.7</v>
      </c>
      <c r="E21" s="2073"/>
      <c r="F21" s="2072"/>
      <c r="G21" s="2073"/>
      <c r="H21" s="2072"/>
      <c r="I21" s="2073"/>
      <c r="J21" s="2073"/>
      <c r="K21" s="2073"/>
      <c r="L21" s="2992"/>
      <c r="M21" s="2073"/>
      <c r="N21" s="3008"/>
      <c r="O21" s="2073"/>
      <c r="P21" s="3008"/>
      <c r="Q21" s="2073"/>
      <c r="R21" s="2073"/>
      <c r="S21" s="2073"/>
      <c r="T21" s="2073"/>
      <c r="U21" s="2073"/>
      <c r="V21" s="2073"/>
      <c r="W21" s="2073"/>
      <c r="X21" s="2073"/>
      <c r="Y21" s="2073"/>
      <c r="Z21" s="2073"/>
      <c r="AA21" s="2073"/>
      <c r="AB21" s="1190">
        <v>0</v>
      </c>
      <c r="AC21" s="2073"/>
      <c r="AD21" s="2074"/>
      <c r="AE21" s="2075">
        <f t="shared" ref="AE21:AE27" si="2">ROUND(SUM(D21:AB21),1)</f>
        <v>0.7</v>
      </c>
      <c r="AF21" s="2076"/>
      <c r="AG21" s="2077"/>
      <c r="AH21" s="2571">
        <v>1.5</v>
      </c>
      <c r="AI21" s="514"/>
      <c r="AJ21" s="249"/>
      <c r="AK21" s="1159">
        <f t="shared" si="0"/>
        <v>-0.8</v>
      </c>
      <c r="AL21" s="1834"/>
      <c r="AM21" s="2654">
        <f t="shared" si="1"/>
        <v>-0.53300000000000003</v>
      </c>
    </row>
    <row r="22" spans="1:39" ht="15" customHeight="1">
      <c r="A22" s="352"/>
      <c r="B22" s="2069" t="s">
        <v>1260</v>
      </c>
      <c r="C22" s="223"/>
      <c r="D22" s="2072">
        <v>69.900000000000006</v>
      </c>
      <c r="E22" s="2073"/>
      <c r="F22" s="2072"/>
      <c r="G22" s="2073"/>
      <c r="H22" s="2072"/>
      <c r="I22" s="2073"/>
      <c r="J22" s="2073"/>
      <c r="K22" s="2073"/>
      <c r="L22" s="2992"/>
      <c r="M22" s="2073"/>
      <c r="N22" s="3008"/>
      <c r="O22" s="2073"/>
      <c r="P22" s="3008"/>
      <c r="Q22" s="2073"/>
      <c r="R22" s="2073"/>
      <c r="S22" s="2073"/>
      <c r="T22" s="2073"/>
      <c r="U22" s="2073"/>
      <c r="V22" s="2073"/>
      <c r="W22" s="2073"/>
      <c r="X22" s="2073"/>
      <c r="Y22" s="2073"/>
      <c r="Z22" s="2073"/>
      <c r="AA22" s="2073"/>
      <c r="AB22" s="1190">
        <v>0</v>
      </c>
      <c r="AC22" s="2073"/>
      <c r="AD22" s="2074"/>
      <c r="AE22" s="2075">
        <f t="shared" si="2"/>
        <v>69.900000000000006</v>
      </c>
      <c r="AF22" s="2076"/>
      <c r="AG22" s="2077"/>
      <c r="AH22" s="2571">
        <v>83.2</v>
      </c>
      <c r="AI22" s="514"/>
      <c r="AJ22" s="249"/>
      <c r="AK22" s="1159">
        <f t="shared" si="0"/>
        <v>-13.3</v>
      </c>
      <c r="AL22" s="1834"/>
      <c r="AM22" s="2654">
        <f t="shared" si="1"/>
        <v>-0.16</v>
      </c>
    </row>
    <row r="23" spans="1:39" ht="15" customHeight="1">
      <c r="A23" s="352"/>
      <c r="B23" s="1256" t="s">
        <v>1454</v>
      </c>
      <c r="C23" s="223"/>
      <c r="D23" s="2072">
        <v>0</v>
      </c>
      <c r="E23" s="2073"/>
      <c r="F23" s="2072"/>
      <c r="G23" s="2073"/>
      <c r="H23" s="2072"/>
      <c r="I23" s="2073"/>
      <c r="J23" s="2073"/>
      <c r="K23" s="2073"/>
      <c r="L23" s="2992"/>
      <c r="M23" s="2073"/>
      <c r="N23" s="3008"/>
      <c r="O23" s="2073"/>
      <c r="P23" s="3008"/>
      <c r="Q23" s="2073"/>
      <c r="R23" s="2073"/>
      <c r="S23" s="2073"/>
      <c r="T23" s="2073"/>
      <c r="U23" s="2073"/>
      <c r="V23" s="2073"/>
      <c r="W23" s="2073"/>
      <c r="X23" s="2073"/>
      <c r="Y23" s="2073"/>
      <c r="Z23" s="2073"/>
      <c r="AA23" s="2073"/>
      <c r="AB23" s="3008">
        <v>0</v>
      </c>
      <c r="AC23" s="2073"/>
      <c r="AD23" s="2074"/>
      <c r="AE23" s="2075">
        <f t="shared" si="2"/>
        <v>0</v>
      </c>
      <c r="AF23" s="2076"/>
      <c r="AG23" s="2077"/>
      <c r="AH23" s="2571">
        <v>0</v>
      </c>
      <c r="AI23" s="514"/>
      <c r="AJ23" s="249"/>
      <c r="AK23" s="2993">
        <f t="shared" ref="AK23" si="3">ROUND(SUM(+AE23-AH23),1)</f>
        <v>0</v>
      </c>
      <c r="AL23" s="1834"/>
      <c r="AM23" s="2654">
        <f t="shared" ref="AM23" si="4">ROUND(IF(AH23=0,0,AK23/ABS(AH23)),3)</f>
        <v>0</v>
      </c>
    </row>
    <row r="24" spans="1:39" ht="15" customHeight="1">
      <c r="A24" s="352"/>
      <c r="B24" s="2069" t="s">
        <v>1261</v>
      </c>
      <c r="C24" s="223"/>
      <c r="D24" s="2072">
        <v>8.1999999999999993</v>
      </c>
      <c r="E24" s="2073"/>
      <c r="F24" s="2072"/>
      <c r="G24" s="2073"/>
      <c r="H24" s="2072"/>
      <c r="I24" s="2073"/>
      <c r="J24" s="2073"/>
      <c r="K24" s="2073"/>
      <c r="L24" s="2992"/>
      <c r="M24" s="2073"/>
      <c r="N24" s="3008"/>
      <c r="O24" s="2073"/>
      <c r="P24" s="3008"/>
      <c r="Q24" s="2073"/>
      <c r="R24" s="2073"/>
      <c r="S24" s="2073"/>
      <c r="T24" s="2073"/>
      <c r="U24" s="2073"/>
      <c r="V24" s="2073"/>
      <c r="W24" s="2073"/>
      <c r="X24" s="2073"/>
      <c r="Y24" s="2073"/>
      <c r="Z24" s="2073"/>
      <c r="AA24" s="2073"/>
      <c r="AB24" s="1190">
        <v>0</v>
      </c>
      <c r="AC24" s="2073"/>
      <c r="AD24" s="2074"/>
      <c r="AE24" s="2075">
        <f t="shared" si="2"/>
        <v>8.1999999999999993</v>
      </c>
      <c r="AF24" s="2076"/>
      <c r="AG24" s="2077"/>
      <c r="AH24" s="2576">
        <v>8.6999999999999993</v>
      </c>
      <c r="AI24" s="514"/>
      <c r="AJ24" s="249"/>
      <c r="AK24" s="1159">
        <f t="shared" si="0"/>
        <v>-0.5</v>
      </c>
      <c r="AL24" s="1834"/>
      <c r="AM24" s="2654">
        <f t="shared" si="1"/>
        <v>-5.7000000000000002E-2</v>
      </c>
    </row>
    <row r="25" spans="1:39" ht="15" customHeight="1">
      <c r="A25" s="352"/>
      <c r="B25" s="2069" t="s">
        <v>1262</v>
      </c>
      <c r="C25" s="223"/>
      <c r="D25" s="2072">
        <v>0</v>
      </c>
      <c r="E25" s="2073"/>
      <c r="F25" s="2072"/>
      <c r="G25" s="2073"/>
      <c r="H25" s="2072"/>
      <c r="I25" s="2073"/>
      <c r="J25" s="2073"/>
      <c r="K25" s="2073"/>
      <c r="L25" s="2992"/>
      <c r="M25" s="2073"/>
      <c r="N25" s="3008"/>
      <c r="O25" s="2073"/>
      <c r="P25" s="3008"/>
      <c r="Q25" s="2073"/>
      <c r="R25" s="2073"/>
      <c r="S25" s="2073"/>
      <c r="T25" s="2073"/>
      <c r="U25" s="2073"/>
      <c r="V25" s="2073"/>
      <c r="W25" s="2073"/>
      <c r="X25" s="2073"/>
      <c r="Y25" s="2073"/>
      <c r="Z25" s="2073"/>
      <c r="AA25" s="2073"/>
      <c r="AB25" s="1190">
        <v>0</v>
      </c>
      <c r="AC25" s="2073"/>
      <c r="AD25" s="2074"/>
      <c r="AE25" s="2075">
        <f t="shared" si="2"/>
        <v>0</v>
      </c>
      <c r="AF25" s="2076"/>
      <c r="AG25" s="2077"/>
      <c r="AH25" s="2573">
        <v>0</v>
      </c>
      <c r="AI25" s="514"/>
      <c r="AJ25" s="249"/>
      <c r="AK25" s="1159">
        <f t="shared" si="0"/>
        <v>0</v>
      </c>
      <c r="AL25" s="1834"/>
      <c r="AM25" s="2654">
        <f t="shared" si="1"/>
        <v>0</v>
      </c>
    </row>
    <row r="26" spans="1:39" ht="15" customHeight="1">
      <c r="A26" s="352"/>
      <c r="B26" s="2069" t="s">
        <v>1263</v>
      </c>
      <c r="C26" s="223"/>
      <c r="D26" s="2072">
        <v>0</v>
      </c>
      <c r="E26" s="2073"/>
      <c r="F26" s="2072"/>
      <c r="G26" s="2073"/>
      <c r="H26" s="2072"/>
      <c r="I26" s="2073"/>
      <c r="J26" s="2073"/>
      <c r="K26" s="2073"/>
      <c r="L26" s="2992"/>
      <c r="M26" s="2073"/>
      <c r="N26" s="3008"/>
      <c r="O26" s="2073"/>
      <c r="P26" s="3008"/>
      <c r="Q26" s="2073"/>
      <c r="R26" s="2073"/>
      <c r="S26" s="2073"/>
      <c r="T26" s="2073"/>
      <c r="U26" s="2073"/>
      <c r="V26" s="2073"/>
      <c r="W26" s="2073"/>
      <c r="X26" s="2073"/>
      <c r="Y26" s="2073"/>
      <c r="Z26" s="2073"/>
      <c r="AA26" s="2073"/>
      <c r="AB26" s="1190">
        <v>0</v>
      </c>
      <c r="AC26" s="2073"/>
      <c r="AD26" s="2074"/>
      <c r="AE26" s="2075">
        <f t="shared" si="2"/>
        <v>0</v>
      </c>
      <c r="AF26" s="2076"/>
      <c r="AG26" s="2077"/>
      <c r="AH26" s="2573">
        <v>0</v>
      </c>
      <c r="AI26" s="514"/>
      <c r="AJ26" s="249"/>
      <c r="AK26" s="1159">
        <f t="shared" si="0"/>
        <v>0</v>
      </c>
      <c r="AL26" s="1834"/>
      <c r="AM26" s="2654">
        <f t="shared" si="1"/>
        <v>0</v>
      </c>
    </row>
    <row r="27" spans="1:39" ht="15" customHeight="1">
      <c r="A27" s="352"/>
      <c r="B27" s="2071" t="s">
        <v>1264</v>
      </c>
      <c r="C27" s="223"/>
      <c r="D27" s="2072">
        <v>15.7</v>
      </c>
      <c r="E27" s="2073"/>
      <c r="F27" s="2072"/>
      <c r="G27" s="2073"/>
      <c r="H27" s="2072"/>
      <c r="I27" s="2073"/>
      <c r="J27" s="2073"/>
      <c r="K27" s="2073"/>
      <c r="L27" s="2992"/>
      <c r="M27" s="2073"/>
      <c r="N27" s="1190"/>
      <c r="O27" s="2073"/>
      <c r="P27" s="3008"/>
      <c r="Q27" s="2073"/>
      <c r="R27" s="2073"/>
      <c r="S27" s="2073"/>
      <c r="T27" s="2073"/>
      <c r="U27" s="2073"/>
      <c r="V27" s="2073"/>
      <c r="W27" s="2073"/>
      <c r="X27" s="2073"/>
      <c r="Y27" s="2073"/>
      <c r="Z27" s="2073"/>
      <c r="AA27" s="2073"/>
      <c r="AB27" s="1190">
        <v>0</v>
      </c>
      <c r="AC27" s="2073"/>
      <c r="AD27" s="2074"/>
      <c r="AE27" s="2075">
        <f t="shared" si="2"/>
        <v>15.7</v>
      </c>
      <c r="AF27" s="2076"/>
      <c r="AG27" s="2077"/>
      <c r="AH27" s="2571">
        <v>19.2</v>
      </c>
      <c r="AI27" s="514"/>
      <c r="AJ27" s="249"/>
      <c r="AK27" s="1159">
        <f t="shared" si="0"/>
        <v>-3.5</v>
      </c>
      <c r="AL27" s="1834"/>
      <c r="AM27" s="2654">
        <f t="shared" si="1"/>
        <v>-0.182</v>
      </c>
    </row>
    <row r="28" spans="1:39" s="1488" customFormat="1" ht="15" customHeight="1">
      <c r="A28" s="2051"/>
      <c r="B28" s="2070" t="s">
        <v>1412</v>
      </c>
      <c r="C28" s="221"/>
      <c r="D28" s="256">
        <f>ROUND(SUM(D20:D27),1)</f>
        <v>185.4</v>
      </c>
      <c r="E28" s="1838"/>
      <c r="F28" s="256">
        <f>ROUND(SUM(F20:F27),1)</f>
        <v>0</v>
      </c>
      <c r="G28" s="1838"/>
      <c r="H28" s="256">
        <f>ROUND(SUM(H20:H27),1)</f>
        <v>0</v>
      </c>
      <c r="I28" s="1838"/>
      <c r="J28" s="256">
        <f>ROUND(SUM(J20:J27),1)</f>
        <v>0</v>
      </c>
      <c r="K28" s="1838"/>
      <c r="L28" s="256">
        <f>ROUND(SUM(L20:L27),1)</f>
        <v>0</v>
      </c>
      <c r="M28" s="1838"/>
      <c r="N28" s="256">
        <f>ROUND(SUM(N20:N27),1)</f>
        <v>0</v>
      </c>
      <c r="O28" s="1838"/>
      <c r="P28" s="256">
        <f>ROUND(SUM(P20:P27),1)</f>
        <v>0</v>
      </c>
      <c r="Q28" s="1838"/>
      <c r="R28" s="256">
        <f>ROUND(SUM(R20:R27),1)</f>
        <v>0</v>
      </c>
      <c r="S28" s="1838"/>
      <c r="T28" s="256">
        <f>ROUND(SUM(T20:T27),1)</f>
        <v>0</v>
      </c>
      <c r="U28" s="1838"/>
      <c r="V28" s="256">
        <f>ROUND(SUM(V20:V27),1)</f>
        <v>0</v>
      </c>
      <c r="W28" s="1838"/>
      <c r="X28" s="256">
        <f>ROUND(SUM(X20:X27),1)</f>
        <v>0</v>
      </c>
      <c r="Y28" s="1838"/>
      <c r="Z28" s="256">
        <f>ROUND(SUM(Z20:Z27),1)</f>
        <v>0</v>
      </c>
      <c r="AA28" s="273"/>
      <c r="AB28" s="256">
        <f>ROUND(SUM(AB20:AB27),1)</f>
        <v>0</v>
      </c>
      <c r="AC28" s="1838"/>
      <c r="AD28" s="743"/>
      <c r="AE28" s="256">
        <f>ROUND(SUM(AE20:AE27),1)</f>
        <v>185.4</v>
      </c>
      <c r="AF28" s="1838"/>
      <c r="AG28" s="1876"/>
      <c r="AH28" s="256">
        <f>ROUND(SUM(AH20:AH27),1)</f>
        <v>203.6</v>
      </c>
      <c r="AI28" s="521"/>
      <c r="AJ28" s="273"/>
      <c r="AK28" s="256">
        <f>ROUND(SUM(AK20:AK27),1)</f>
        <v>-18.2</v>
      </c>
      <c r="AL28" s="412"/>
      <c r="AM28" s="2024">
        <f t="shared" si="1"/>
        <v>-8.8999999999999996E-2</v>
      </c>
    </row>
    <row r="29" spans="1:39" ht="15" customHeight="1">
      <c r="A29" s="352"/>
      <c r="B29" s="2334" t="s">
        <v>1244</v>
      </c>
      <c r="C29" s="223"/>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52"/>
      <c r="AE29" s="249"/>
      <c r="AF29" s="261"/>
      <c r="AG29" s="1592"/>
      <c r="AH29" s="261"/>
      <c r="AI29" s="514"/>
      <c r="AJ29" s="249"/>
      <c r="AK29" s="1159"/>
      <c r="AL29" s="1834"/>
      <c r="AM29" s="1834"/>
    </row>
    <row r="30" spans="1:39" ht="15" customHeight="1">
      <c r="A30" s="352"/>
      <c r="B30" s="2069" t="s">
        <v>1266</v>
      </c>
      <c r="C30" s="223"/>
      <c r="D30" s="2072">
        <v>31.9</v>
      </c>
      <c r="E30" s="2073"/>
      <c r="F30" s="2072"/>
      <c r="G30" s="2073"/>
      <c r="H30" s="2072"/>
      <c r="I30" s="261"/>
      <c r="J30" s="261"/>
      <c r="K30" s="261"/>
      <c r="L30" s="1124"/>
      <c r="M30" s="261"/>
      <c r="N30" s="1190"/>
      <c r="O30" s="261"/>
      <c r="P30" s="1190"/>
      <c r="Q30" s="261"/>
      <c r="R30" s="2073"/>
      <c r="S30" s="261"/>
      <c r="T30" s="261"/>
      <c r="U30" s="261"/>
      <c r="V30" s="261"/>
      <c r="W30" s="261"/>
      <c r="X30" s="261"/>
      <c r="Y30" s="261"/>
      <c r="Z30" s="1159"/>
      <c r="AA30" s="261"/>
      <c r="AB30" s="1190">
        <v>0</v>
      </c>
      <c r="AC30" s="261"/>
      <c r="AD30" s="252"/>
      <c r="AE30" s="2075">
        <f>ROUND(SUM(D30:AB30),1)</f>
        <v>31.9</v>
      </c>
      <c r="AF30" s="261"/>
      <c r="AG30" s="1592"/>
      <c r="AH30" s="85">
        <v>11.5</v>
      </c>
      <c r="AI30" s="514"/>
      <c r="AJ30" s="249"/>
      <c r="AK30" s="1159">
        <f>ROUND(SUM(+AE30-AH30),1)</f>
        <v>20.399999999999999</v>
      </c>
      <c r="AL30" s="1834"/>
      <c r="AM30" s="2654">
        <f t="shared" ref="AM30:AM35" si="5">ROUND(IF(AH30=0,0,AK30/ABS(AH30)),3)</f>
        <v>1.774</v>
      </c>
    </row>
    <row r="31" spans="1:39" ht="15" customHeight="1">
      <c r="A31" s="352"/>
      <c r="B31" s="2069" t="s">
        <v>1267</v>
      </c>
      <c r="C31" s="223"/>
      <c r="D31" s="2072">
        <v>2.2999999999999998</v>
      </c>
      <c r="E31" s="2073"/>
      <c r="F31" s="2072"/>
      <c r="G31" s="2073"/>
      <c r="H31" s="2072"/>
      <c r="I31" s="261"/>
      <c r="J31" s="261"/>
      <c r="K31" s="261"/>
      <c r="L31" s="2992"/>
      <c r="M31" s="261"/>
      <c r="N31" s="3008"/>
      <c r="O31" s="261"/>
      <c r="P31" s="3008"/>
      <c r="Q31" s="261"/>
      <c r="R31" s="2073"/>
      <c r="S31" s="261"/>
      <c r="T31" s="261"/>
      <c r="U31" s="261"/>
      <c r="V31" s="261"/>
      <c r="W31" s="261"/>
      <c r="X31" s="261"/>
      <c r="Y31" s="261"/>
      <c r="Z31" s="261"/>
      <c r="AA31" s="261"/>
      <c r="AB31" s="1190">
        <v>0</v>
      </c>
      <c r="AC31" s="261"/>
      <c r="AD31" s="252"/>
      <c r="AE31" s="2075">
        <f>ROUND(SUM(D31:AB31),1)</f>
        <v>2.2999999999999998</v>
      </c>
      <c r="AF31" s="261"/>
      <c r="AG31" s="1592"/>
      <c r="AH31" s="85">
        <v>1.7</v>
      </c>
      <c r="AI31" s="514"/>
      <c r="AJ31" s="249"/>
      <c r="AK31" s="1159">
        <f>ROUND(SUM(+AE31-AH31),1)</f>
        <v>0.6</v>
      </c>
      <c r="AL31" s="1834"/>
      <c r="AM31" s="2654">
        <f t="shared" si="5"/>
        <v>0.35299999999999998</v>
      </c>
    </row>
    <row r="32" spans="1:39" ht="15" customHeight="1">
      <c r="A32" s="352"/>
      <c r="B32" s="2069" t="s">
        <v>1268</v>
      </c>
      <c r="C32" s="223"/>
      <c r="D32" s="2072">
        <v>1.5</v>
      </c>
      <c r="E32" s="2073"/>
      <c r="F32" s="2072"/>
      <c r="G32" s="2073"/>
      <c r="H32" s="2072"/>
      <c r="I32" s="261"/>
      <c r="J32" s="261"/>
      <c r="K32" s="261"/>
      <c r="L32" s="2992"/>
      <c r="M32" s="261"/>
      <c r="N32" s="3008"/>
      <c r="O32" s="261"/>
      <c r="P32" s="3008"/>
      <c r="Q32" s="261"/>
      <c r="R32" s="2073"/>
      <c r="S32" s="261"/>
      <c r="T32" s="261"/>
      <c r="U32" s="261"/>
      <c r="V32" s="261"/>
      <c r="W32" s="261"/>
      <c r="X32" s="261"/>
      <c r="Y32" s="261"/>
      <c r="Z32" s="261"/>
      <c r="AA32" s="261"/>
      <c r="AB32" s="1190">
        <v>0</v>
      </c>
      <c r="AC32" s="261"/>
      <c r="AD32" s="252"/>
      <c r="AE32" s="2075">
        <f>ROUND(SUM(D32:AB32),1)</f>
        <v>1.5</v>
      </c>
      <c r="AF32" s="261"/>
      <c r="AG32" s="1592"/>
      <c r="AH32" s="2571">
        <v>-0.1</v>
      </c>
      <c r="AI32" s="514"/>
      <c r="AJ32" s="249"/>
      <c r="AK32" s="1159">
        <f>ROUND(SUM(+AE32-AH32),1)</f>
        <v>1.6</v>
      </c>
      <c r="AL32" s="1834"/>
      <c r="AM32" s="3374">
        <f t="shared" si="5"/>
        <v>16</v>
      </c>
    </row>
    <row r="33" spans="1:40" ht="15" customHeight="1">
      <c r="A33" s="352"/>
      <c r="B33" s="2069" t="s">
        <v>1269</v>
      </c>
      <c r="C33" s="223"/>
      <c r="D33" s="2072">
        <v>-1.7</v>
      </c>
      <c r="E33" s="2073"/>
      <c r="F33" s="2072"/>
      <c r="G33" s="2073"/>
      <c r="H33" s="2072"/>
      <c r="I33" s="261"/>
      <c r="J33" s="261"/>
      <c r="K33" s="261"/>
      <c r="L33" s="2992"/>
      <c r="M33" s="261"/>
      <c r="N33" s="3008"/>
      <c r="O33" s="261"/>
      <c r="P33" s="3008"/>
      <c r="Q33" s="261"/>
      <c r="R33" s="2073"/>
      <c r="S33" s="261"/>
      <c r="T33" s="261"/>
      <c r="U33" s="261"/>
      <c r="V33" s="261"/>
      <c r="W33" s="261"/>
      <c r="X33" s="261"/>
      <c r="Y33" s="261"/>
      <c r="Z33" s="261"/>
      <c r="AA33" s="261"/>
      <c r="AB33" s="1190">
        <v>0</v>
      </c>
      <c r="AC33" s="261"/>
      <c r="AD33" s="252"/>
      <c r="AE33" s="2075">
        <f>ROUND(SUM(D33:AB33),1)</f>
        <v>-1.7</v>
      </c>
      <c r="AF33" s="261"/>
      <c r="AG33" s="1592"/>
      <c r="AH33" s="85">
        <v>6.6</v>
      </c>
      <c r="AI33" s="514"/>
      <c r="AJ33" s="249"/>
      <c r="AK33" s="1159">
        <f>ROUND(SUM(+AE33-AH33),1)</f>
        <v>-8.3000000000000007</v>
      </c>
      <c r="AL33" s="1834"/>
      <c r="AM33" s="2654">
        <f t="shared" si="5"/>
        <v>-1.258</v>
      </c>
    </row>
    <row r="34" spans="1:40" ht="15" customHeight="1">
      <c r="A34" s="352"/>
      <c r="B34" s="2069" t="s">
        <v>1270</v>
      </c>
      <c r="C34" s="223"/>
      <c r="D34" s="2072">
        <v>39.299999999999997</v>
      </c>
      <c r="E34" s="2073"/>
      <c r="F34" s="2072"/>
      <c r="G34" s="2073"/>
      <c r="H34" s="2072"/>
      <c r="I34" s="261"/>
      <c r="J34" s="261"/>
      <c r="K34" s="261"/>
      <c r="L34" s="2992"/>
      <c r="M34" s="261"/>
      <c r="N34" s="3008"/>
      <c r="O34" s="261"/>
      <c r="P34" s="3008"/>
      <c r="Q34" s="261"/>
      <c r="R34" s="2073"/>
      <c r="S34" s="261"/>
      <c r="T34" s="261"/>
      <c r="U34" s="261"/>
      <c r="V34" s="261"/>
      <c r="W34" s="261"/>
      <c r="X34" s="261"/>
      <c r="Y34" s="261"/>
      <c r="Z34" s="1159"/>
      <c r="AA34" s="261"/>
      <c r="AB34" s="1190">
        <v>0</v>
      </c>
      <c r="AC34" s="261"/>
      <c r="AD34" s="252"/>
      <c r="AE34" s="2075">
        <f>ROUND(SUM(D34:AB34),1)</f>
        <v>39.299999999999997</v>
      </c>
      <c r="AF34" s="261"/>
      <c r="AG34" s="1592"/>
      <c r="AH34" s="85">
        <v>40.6</v>
      </c>
      <c r="AI34" s="514"/>
      <c r="AJ34" s="249"/>
      <c r="AK34" s="1159">
        <f>ROUND(SUM(+AE34-AH34),1)</f>
        <v>-1.3</v>
      </c>
      <c r="AL34" s="1834"/>
      <c r="AM34" s="2654">
        <f t="shared" si="5"/>
        <v>-3.2000000000000001E-2</v>
      </c>
    </row>
    <row r="35" spans="1:40" s="1488" customFormat="1" ht="15" customHeight="1">
      <c r="A35" s="2051"/>
      <c r="B35" s="2070" t="s">
        <v>1416</v>
      </c>
      <c r="C35" s="221"/>
      <c r="D35" s="256">
        <f>ROUND(SUM(D30:D34),1)</f>
        <v>73.3</v>
      </c>
      <c r="E35" s="1838"/>
      <c r="F35" s="256">
        <f>ROUND(SUM(F30:F34),1)</f>
        <v>0</v>
      </c>
      <c r="G35" s="1838"/>
      <c r="H35" s="256">
        <f>ROUND(SUM(H30:H34),1)</f>
        <v>0</v>
      </c>
      <c r="I35" s="1838"/>
      <c r="J35" s="256">
        <f>ROUND(SUM(J30:J34),1)</f>
        <v>0</v>
      </c>
      <c r="K35" s="1838"/>
      <c r="L35" s="256">
        <f>ROUND(SUM(L30:L34),1)</f>
        <v>0</v>
      </c>
      <c r="M35" s="1838"/>
      <c r="N35" s="256">
        <f>ROUND(SUM(N30:N34),1)</f>
        <v>0</v>
      </c>
      <c r="O35" s="1838"/>
      <c r="P35" s="256">
        <f>ROUND(SUM(P30:P34),1)</f>
        <v>0</v>
      </c>
      <c r="Q35" s="1838"/>
      <c r="R35" s="256">
        <f>ROUND(SUM(R30:R34),1)</f>
        <v>0</v>
      </c>
      <c r="S35" s="1838"/>
      <c r="T35" s="256">
        <f>ROUND(SUM(T30:T34),1)</f>
        <v>0</v>
      </c>
      <c r="U35" s="1838"/>
      <c r="V35" s="256">
        <f>ROUND(SUM(V30:V34),1)</f>
        <v>0</v>
      </c>
      <c r="W35" s="1838"/>
      <c r="X35" s="256">
        <f>ROUND(SUM(X30:X34),1)</f>
        <v>0</v>
      </c>
      <c r="Y35" s="1838"/>
      <c r="Z35" s="256">
        <f>ROUND(SUM(Z30:Z34),1)</f>
        <v>0</v>
      </c>
      <c r="AA35" s="273"/>
      <c r="AB35" s="256">
        <f>ROUND(SUM(AB30:AB34),1)</f>
        <v>0</v>
      </c>
      <c r="AC35" s="1838"/>
      <c r="AD35" s="743"/>
      <c r="AE35" s="256">
        <f>ROUND(SUM(AE30:AE34),1)</f>
        <v>73.3</v>
      </c>
      <c r="AF35" s="1838"/>
      <c r="AG35" s="1876"/>
      <c r="AH35" s="256">
        <f>ROUND(SUM(AH30:AH34),1)</f>
        <v>60.3</v>
      </c>
      <c r="AI35" s="521"/>
      <c r="AJ35" s="273"/>
      <c r="AK35" s="256">
        <f>ROUND(SUM(AK30:AK34),1)</f>
        <v>13</v>
      </c>
      <c r="AL35" s="412"/>
      <c r="AM35" s="2689">
        <f t="shared" si="5"/>
        <v>0.216</v>
      </c>
    </row>
    <row r="36" spans="1:40" ht="15" customHeight="1">
      <c r="A36" s="352"/>
      <c r="B36" s="2334" t="s">
        <v>1245</v>
      </c>
      <c r="C36" s="223"/>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52"/>
      <c r="AE36" s="249"/>
      <c r="AF36" s="261"/>
      <c r="AG36" s="1592"/>
      <c r="AH36" s="261"/>
      <c r="AI36" s="514"/>
      <c r="AJ36" s="249"/>
      <c r="AK36" s="1159"/>
      <c r="AL36" s="1834"/>
      <c r="AM36" s="1834"/>
    </row>
    <row r="37" spans="1:40" ht="15" customHeight="1">
      <c r="A37" s="352"/>
      <c r="B37" s="2071" t="s">
        <v>1278</v>
      </c>
      <c r="C37" s="223"/>
      <c r="D37" s="2072">
        <v>116.6</v>
      </c>
      <c r="E37" s="2073"/>
      <c r="F37" s="2072"/>
      <c r="G37" s="2073"/>
      <c r="H37" s="2072"/>
      <c r="I37" s="261"/>
      <c r="J37" s="261"/>
      <c r="K37" s="261"/>
      <c r="L37" s="1190"/>
      <c r="M37" s="261"/>
      <c r="N37" s="1190"/>
      <c r="O37" s="261"/>
      <c r="P37" s="1190"/>
      <c r="Q37" s="261"/>
      <c r="R37" s="2073"/>
      <c r="S37" s="261"/>
      <c r="T37" s="261"/>
      <c r="U37" s="261"/>
      <c r="V37" s="261"/>
      <c r="W37" s="261"/>
      <c r="X37" s="261"/>
      <c r="Y37" s="261"/>
      <c r="Z37" s="261"/>
      <c r="AA37" s="261"/>
      <c r="AB37" s="1190">
        <v>0</v>
      </c>
      <c r="AC37" s="261"/>
      <c r="AD37" s="252"/>
      <c r="AE37" s="2075">
        <f>ROUND(SUM(D37:AB37),1)</f>
        <v>116.6</v>
      </c>
      <c r="AF37" s="2080"/>
      <c r="AG37" s="2081"/>
      <c r="AH37" s="2571">
        <v>132.6</v>
      </c>
      <c r="AI37" s="514"/>
      <c r="AJ37" s="249"/>
      <c r="AK37" s="1159">
        <f>ROUND(SUM(+AE37-AH37),1)</f>
        <v>-16</v>
      </c>
      <c r="AL37" s="1834"/>
      <c r="AM37" s="2741">
        <f>ROUND(IF(AH37=0,0,AK37/ABS(AH37)),3)</f>
        <v>-0.121</v>
      </c>
    </row>
    <row r="38" spans="1:40" s="1488" customFormat="1" ht="15" customHeight="1">
      <c r="A38" s="2051"/>
      <c r="B38" s="2070" t="s">
        <v>1417</v>
      </c>
      <c r="C38" s="221"/>
      <c r="D38" s="256">
        <f>ROUND(SUM(D37:D37),1)</f>
        <v>116.6</v>
      </c>
      <c r="E38" s="1838"/>
      <c r="F38" s="256">
        <f>ROUND(SUM(F37:F37),1)</f>
        <v>0</v>
      </c>
      <c r="G38" s="1838"/>
      <c r="H38" s="256">
        <f>ROUND(SUM(H37:H37),1)</f>
        <v>0</v>
      </c>
      <c r="I38" s="1838"/>
      <c r="J38" s="256">
        <f>ROUND(SUM(J37:J37),1)</f>
        <v>0</v>
      </c>
      <c r="K38" s="1838"/>
      <c r="L38" s="256">
        <f>ROUND(SUM(L37:L37),1)</f>
        <v>0</v>
      </c>
      <c r="M38" s="1838"/>
      <c r="N38" s="256">
        <f>ROUND(SUM(N37:N37),1)</f>
        <v>0</v>
      </c>
      <c r="O38" s="1838"/>
      <c r="P38" s="256">
        <f>ROUND(SUM(P37:P37),1)</f>
        <v>0</v>
      </c>
      <c r="Q38" s="1838"/>
      <c r="R38" s="256">
        <f>ROUND(SUM(R37:R37),1)</f>
        <v>0</v>
      </c>
      <c r="S38" s="1838"/>
      <c r="T38" s="256">
        <f>ROUND(SUM(T37:T37),1)</f>
        <v>0</v>
      </c>
      <c r="U38" s="1838"/>
      <c r="V38" s="256">
        <f>ROUND(SUM(V37:V37),1)</f>
        <v>0</v>
      </c>
      <c r="W38" s="1838"/>
      <c r="X38" s="256">
        <f>ROUND(SUM(X37:X37),1)</f>
        <v>0</v>
      </c>
      <c r="Y38" s="1838"/>
      <c r="Z38" s="256">
        <f>ROUND(SUM(Z37:Z37),1)</f>
        <v>0</v>
      </c>
      <c r="AA38" s="273"/>
      <c r="AB38" s="256">
        <f>ROUND(SUM(AB37:AB37),1)</f>
        <v>0</v>
      </c>
      <c r="AC38" s="1838"/>
      <c r="AD38" s="743"/>
      <c r="AE38" s="256">
        <f>ROUND(SUM(AE37:AE37),1)</f>
        <v>116.6</v>
      </c>
      <c r="AF38" s="1838"/>
      <c r="AG38" s="1876"/>
      <c r="AH38" s="256">
        <f>ROUND(SUM(AH37:AH37),1)</f>
        <v>132.6</v>
      </c>
      <c r="AI38" s="521"/>
      <c r="AJ38" s="273"/>
      <c r="AK38" s="256">
        <f>ROUND(SUM(AK37:AK37),1)</f>
        <v>-16</v>
      </c>
      <c r="AL38" s="412"/>
      <c r="AM38" s="2735">
        <f>ROUND(IF(AH38=0,0,AK38/ABS(AH38)),3)</f>
        <v>-0.121</v>
      </c>
    </row>
    <row r="39" spans="1:40" ht="15" customHeight="1">
      <c r="A39" s="352"/>
      <c r="B39" s="2070"/>
      <c r="C39" s="223"/>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1592"/>
      <c r="AE39" s="249"/>
      <c r="AF39" s="261"/>
      <c r="AG39" s="1592"/>
      <c r="AH39" s="249"/>
      <c r="AI39" s="514"/>
      <c r="AJ39" s="249"/>
      <c r="AK39" s="1159"/>
      <c r="AL39" s="1834"/>
      <c r="AM39" s="2734"/>
    </row>
    <row r="40" spans="1:40" ht="15" customHeight="1">
      <c r="A40" s="352"/>
      <c r="B40" s="588" t="s">
        <v>1239</v>
      </c>
      <c r="C40" s="223"/>
      <c r="D40" s="2031">
        <f>ROUND(SUM(D16+D28+D35+D38),1)</f>
        <v>376.6</v>
      </c>
      <c r="E40" s="261"/>
      <c r="F40" s="2031">
        <f>ROUND(SUM(F16+F28+F35+F38),1)</f>
        <v>0</v>
      </c>
      <c r="G40" s="261"/>
      <c r="H40" s="2031">
        <f>ROUND(SUM(H16+H28+H35+H38),1)</f>
        <v>0</v>
      </c>
      <c r="I40" s="261"/>
      <c r="J40" s="2031">
        <f>ROUND(SUM(J16+J28+J35+J38),1)</f>
        <v>0</v>
      </c>
      <c r="K40" s="261"/>
      <c r="L40" s="2031">
        <f>ROUND(SUM(L16+L28+L35+L38),1)</f>
        <v>0</v>
      </c>
      <c r="M40" s="261"/>
      <c r="N40" s="2031">
        <f>ROUND(SUM(N16+N28+N35+N38),1)</f>
        <v>0</v>
      </c>
      <c r="O40" s="261"/>
      <c r="P40" s="2031">
        <f>ROUND(SUM(P16+P28+P35+P38),1)</f>
        <v>0</v>
      </c>
      <c r="Q40" s="261"/>
      <c r="R40" s="2031">
        <f>ROUND(SUM(R16+R28+R35+R38),1)</f>
        <v>0</v>
      </c>
      <c r="S40" s="261"/>
      <c r="T40" s="2031">
        <f>ROUND(SUM(T16+T28+T35+T38),1)</f>
        <v>0</v>
      </c>
      <c r="U40" s="261"/>
      <c r="V40" s="2031">
        <f>ROUND(SUM(V16+V28+V35+V38),1)</f>
        <v>0</v>
      </c>
      <c r="W40" s="261"/>
      <c r="X40" s="2031">
        <f>ROUND(SUM(X16+X28+X35+X38),1)</f>
        <v>0</v>
      </c>
      <c r="Y40" s="261"/>
      <c r="Z40" s="2031">
        <f>ROUND(SUM(Z16+Z28+Z35+Z38),1)</f>
        <v>0</v>
      </c>
      <c r="AA40" s="2034"/>
      <c r="AB40" s="2031">
        <f>ROUND(SUM(AB16+AB28+AB35+AB38),1)</f>
        <v>0</v>
      </c>
      <c r="AC40" s="261"/>
      <c r="AD40" s="250"/>
      <c r="AE40" s="2031">
        <f>ROUND(SUM(AE16+AE28+AE35+AE38),1)</f>
        <v>376.6</v>
      </c>
      <c r="AF40" s="261"/>
      <c r="AG40" s="250"/>
      <c r="AH40" s="2639">
        <f>ROUND(SUM(AH16+AH28+AH35+AH38),1)</f>
        <v>399.6</v>
      </c>
      <c r="AI40" s="518"/>
      <c r="AJ40" s="249"/>
      <c r="AK40" s="2031">
        <f>ROUND(SUM(AK16+AK28+AK35+AK38),1)</f>
        <v>-23</v>
      </c>
      <c r="AL40" s="1159"/>
      <c r="AM40" s="2748">
        <f>ROUND(IF(AH40=0,0,AK40/ABS(AH40)),3)</f>
        <v>-5.8000000000000003E-2</v>
      </c>
      <c r="AN40" s="1561"/>
    </row>
    <row r="41" spans="1:40" ht="15" customHeight="1">
      <c r="A41" s="352"/>
      <c r="B41" s="223"/>
      <c r="C41" s="223"/>
      <c r="D41" s="274"/>
      <c r="E41" s="261"/>
      <c r="F41" s="274"/>
      <c r="G41" s="261"/>
      <c r="H41" s="261"/>
      <c r="I41" s="261"/>
      <c r="J41" s="274"/>
      <c r="K41" s="261"/>
      <c r="L41" s="274"/>
      <c r="M41" s="261"/>
      <c r="N41" s="274"/>
      <c r="O41" s="261"/>
      <c r="P41" s="274"/>
      <c r="Q41" s="261"/>
      <c r="R41" s="274"/>
      <c r="S41" s="261"/>
      <c r="T41" s="274"/>
      <c r="U41" s="261"/>
      <c r="V41" s="274"/>
      <c r="W41" s="261"/>
      <c r="X41" s="274"/>
      <c r="Y41" s="261"/>
      <c r="Z41" s="274"/>
      <c r="AA41" s="274"/>
      <c r="AB41" s="274"/>
      <c r="AC41" s="261"/>
      <c r="AD41" s="250"/>
      <c r="AE41" s="261"/>
      <c r="AF41" s="266"/>
      <c r="AG41" s="252"/>
      <c r="AH41" s="515"/>
      <c r="AI41" s="518"/>
      <c r="AJ41" s="249"/>
      <c r="AK41" s="1159"/>
      <c r="AL41" s="1159"/>
      <c r="AM41" s="2732"/>
      <c r="AN41" s="1561"/>
    </row>
    <row r="42" spans="1:40" ht="15" customHeight="1">
      <c r="A42" s="352"/>
      <c r="B42" s="489" t="s">
        <v>1173</v>
      </c>
      <c r="C42" s="223"/>
      <c r="D42" s="274"/>
      <c r="E42" s="261"/>
      <c r="F42" s="274"/>
      <c r="G42" s="261"/>
      <c r="H42" s="261"/>
      <c r="I42" s="261"/>
      <c r="J42" s="274"/>
      <c r="K42" s="261"/>
      <c r="L42" s="274"/>
      <c r="M42" s="261"/>
      <c r="N42" s="274"/>
      <c r="O42" s="261"/>
      <c r="P42" s="274"/>
      <c r="Q42" s="261"/>
      <c r="R42" s="274"/>
      <c r="S42" s="261"/>
      <c r="T42" s="274"/>
      <c r="U42" s="261"/>
      <c r="V42" s="274"/>
      <c r="W42" s="261"/>
      <c r="X42" s="274"/>
      <c r="Y42" s="261"/>
      <c r="Z42" s="274"/>
      <c r="AA42" s="274"/>
      <c r="AB42" s="274"/>
      <c r="AC42" s="261"/>
      <c r="AD42" s="250"/>
      <c r="AE42" s="261"/>
      <c r="AF42" s="261"/>
      <c r="AG42" s="252"/>
      <c r="AH42" s="261"/>
      <c r="AI42" s="514"/>
      <c r="AJ42" s="249"/>
      <c r="AK42" s="1159"/>
      <c r="AL42" s="1159"/>
      <c r="AM42" s="2732"/>
      <c r="AN42" s="1561"/>
    </row>
    <row r="43" spans="1:40" ht="15" customHeight="1">
      <c r="A43" s="352"/>
      <c r="B43" s="1784" t="s">
        <v>1301</v>
      </c>
      <c r="C43" s="223"/>
      <c r="D43" s="274"/>
      <c r="E43" s="261"/>
      <c r="F43" s="274"/>
      <c r="G43" s="261"/>
      <c r="H43" s="261"/>
      <c r="I43" s="261"/>
      <c r="J43" s="274"/>
      <c r="K43" s="261"/>
      <c r="L43" s="274"/>
      <c r="M43" s="261"/>
      <c r="N43" s="274"/>
      <c r="O43" s="261"/>
      <c r="P43" s="274"/>
      <c r="Q43" s="261"/>
      <c r="R43" s="274"/>
      <c r="S43" s="261"/>
      <c r="T43" s="274"/>
      <c r="U43" s="261"/>
      <c r="V43" s="274"/>
      <c r="W43" s="261"/>
      <c r="X43" s="274"/>
      <c r="Y43" s="261"/>
      <c r="Z43" s="274"/>
      <c r="AA43" s="274"/>
      <c r="AB43" s="274"/>
      <c r="AC43" s="261"/>
      <c r="AD43" s="250"/>
      <c r="AE43" s="261"/>
      <c r="AF43" s="261"/>
      <c r="AG43" s="252"/>
      <c r="AH43" s="261"/>
      <c r="AI43" s="514"/>
      <c r="AJ43" s="249"/>
      <c r="AK43" s="1159"/>
      <c r="AL43" s="1159"/>
      <c r="AM43" s="2732"/>
      <c r="AN43" s="1561"/>
    </row>
    <row r="44" spans="1:40" ht="15" customHeight="1">
      <c r="A44" s="352"/>
      <c r="B44" s="1784" t="s">
        <v>1206</v>
      </c>
      <c r="C44" s="223"/>
      <c r="D44" s="318">
        <v>0.9</v>
      </c>
      <c r="E44" s="318"/>
      <c r="F44" s="318"/>
      <c r="G44" s="318"/>
      <c r="H44" s="318"/>
      <c r="I44" s="318"/>
      <c r="J44" s="318"/>
      <c r="K44" s="261"/>
      <c r="L44" s="274"/>
      <c r="M44" s="261"/>
      <c r="N44" s="1190"/>
      <c r="O44" s="261"/>
      <c r="P44" s="1190"/>
      <c r="Q44" s="261"/>
      <c r="R44" s="2073"/>
      <c r="S44" s="261"/>
      <c r="T44" s="274"/>
      <c r="U44" s="261"/>
      <c r="V44" s="274"/>
      <c r="W44" s="261"/>
      <c r="X44" s="274"/>
      <c r="Y44" s="261"/>
      <c r="Z44" s="274"/>
      <c r="AA44" s="274"/>
      <c r="AB44" s="1190">
        <v>0</v>
      </c>
      <c r="AC44" s="261"/>
      <c r="AD44" s="250"/>
      <c r="AE44" s="318">
        <f>ROUND(SUM(D44:AB44),1)</f>
        <v>0.9</v>
      </c>
      <c r="AF44" s="261"/>
      <c r="AG44" s="252"/>
      <c r="AH44" s="261">
        <v>0.8</v>
      </c>
      <c r="AI44" s="514"/>
      <c r="AJ44" s="249"/>
      <c r="AK44" s="1159">
        <f t="shared" ref="AK44:AK81" si="6">ROUND(SUM(+AE44-AH44),1)</f>
        <v>0.1</v>
      </c>
      <c r="AL44" s="1159"/>
      <c r="AM44" s="2732">
        <f>ROUND(IF(AH44=0,0,AK44/ABS(AH44)),3)</f>
        <v>0.125</v>
      </c>
      <c r="AN44" s="1561"/>
    </row>
    <row r="45" spans="1:40" ht="15" customHeight="1">
      <c r="A45" s="352"/>
      <c r="B45" s="1784" t="s">
        <v>1302</v>
      </c>
      <c r="C45" s="223"/>
      <c r="D45" s="274"/>
      <c r="E45" s="261"/>
      <c r="F45" s="274"/>
      <c r="G45" s="261"/>
      <c r="H45" s="261"/>
      <c r="I45" s="261"/>
      <c r="J45" s="274"/>
      <c r="K45" s="261"/>
      <c r="L45" s="274"/>
      <c r="M45" s="261"/>
      <c r="N45" s="274"/>
      <c r="O45" s="261"/>
      <c r="P45" s="274"/>
      <c r="Q45" s="261"/>
      <c r="R45" s="274"/>
      <c r="S45" s="261"/>
      <c r="T45" s="274"/>
      <c r="U45" s="261"/>
      <c r="V45" s="274"/>
      <c r="W45" s="261"/>
      <c r="X45" s="274"/>
      <c r="Y45" s="261"/>
      <c r="Z45" s="274"/>
      <c r="AA45" s="274"/>
      <c r="AB45" s="274"/>
      <c r="AC45" s="261"/>
      <c r="AD45" s="250"/>
      <c r="AE45" s="261"/>
      <c r="AF45" s="261"/>
      <c r="AG45" s="252"/>
      <c r="AH45" s="261"/>
      <c r="AI45" s="514"/>
      <c r="AJ45" s="249"/>
      <c r="AK45" s="1159"/>
      <c r="AL45" s="1159"/>
      <c r="AM45" s="2732"/>
      <c r="AN45" s="1561"/>
    </row>
    <row r="46" spans="1:40" ht="15" customHeight="1">
      <c r="A46" s="352"/>
      <c r="B46" s="1784" t="s">
        <v>1208</v>
      </c>
      <c r="C46" s="223"/>
      <c r="D46" s="274">
        <v>28.5</v>
      </c>
      <c r="E46" s="261"/>
      <c r="F46" s="274"/>
      <c r="G46" s="261"/>
      <c r="H46" s="261"/>
      <c r="I46" s="261"/>
      <c r="J46" s="274"/>
      <c r="K46" s="261"/>
      <c r="L46" s="274"/>
      <c r="M46" s="261"/>
      <c r="N46" s="1190"/>
      <c r="O46" s="261"/>
      <c r="P46" s="1190"/>
      <c r="Q46" s="261"/>
      <c r="R46" s="2794"/>
      <c r="S46" s="261"/>
      <c r="T46" s="274"/>
      <c r="U46" s="261"/>
      <c r="V46" s="274"/>
      <c r="W46" s="261"/>
      <c r="X46" s="274"/>
      <c r="Y46" s="261"/>
      <c r="Z46" s="274"/>
      <c r="AA46" s="274"/>
      <c r="AB46" s="1190">
        <v>0</v>
      </c>
      <c r="AC46" s="261"/>
      <c r="AD46" s="250"/>
      <c r="AE46" s="261">
        <f>ROUND(SUM(D46:AB46),1)</f>
        <v>28.5</v>
      </c>
      <c r="AF46" s="261"/>
      <c r="AG46" s="252"/>
      <c r="AH46" s="261">
        <v>75.7</v>
      </c>
      <c r="AI46" s="514"/>
      <c r="AJ46" s="249"/>
      <c r="AK46" s="1159">
        <f t="shared" si="6"/>
        <v>-47.2</v>
      </c>
      <c r="AL46" s="1159"/>
      <c r="AM46" s="2732">
        <f>ROUND(IF(AH46=0,0,AK46/ABS(AH46)),3)</f>
        <v>-0.624</v>
      </c>
      <c r="AN46" s="1561"/>
    </row>
    <row r="47" spans="1:40" ht="15" customHeight="1">
      <c r="A47" s="352"/>
      <c r="B47" s="1784" t="s">
        <v>1209</v>
      </c>
      <c r="C47" s="223"/>
      <c r="D47" s="274">
        <v>416.5</v>
      </c>
      <c r="E47" s="261"/>
      <c r="F47" s="274"/>
      <c r="G47" s="261"/>
      <c r="H47" s="261"/>
      <c r="I47" s="261"/>
      <c r="J47" s="274"/>
      <c r="K47" s="261"/>
      <c r="L47" s="274"/>
      <c r="M47" s="261"/>
      <c r="N47" s="1190"/>
      <c r="O47" s="261"/>
      <c r="P47" s="1190"/>
      <c r="Q47" s="261"/>
      <c r="R47" s="2073"/>
      <c r="S47" s="261"/>
      <c r="T47" s="274"/>
      <c r="U47" s="261"/>
      <c r="V47" s="1313"/>
      <c r="W47" s="261"/>
      <c r="X47" s="274"/>
      <c r="Y47" s="261"/>
      <c r="Z47" s="274"/>
      <c r="AA47" s="274"/>
      <c r="AB47" s="1190">
        <v>0</v>
      </c>
      <c r="AC47" s="261"/>
      <c r="AD47" s="250"/>
      <c r="AE47" s="261">
        <f>ROUND(SUM(D47:AB47),1)</f>
        <v>416.5</v>
      </c>
      <c r="AF47" s="261"/>
      <c r="AG47" s="252"/>
      <c r="AH47" s="2993">
        <v>371.1</v>
      </c>
      <c r="AI47" s="514"/>
      <c r="AJ47" s="249"/>
      <c r="AK47" s="1159">
        <f t="shared" si="6"/>
        <v>45.4</v>
      </c>
      <c r="AL47" s="1159"/>
      <c r="AM47" s="2732">
        <f>ROUND(IF(AH47=0,0,AK47/ABS(AH47)),3)</f>
        <v>0.122</v>
      </c>
      <c r="AN47" s="1561"/>
    </row>
    <row r="48" spans="1:40" ht="15" customHeight="1">
      <c r="A48" s="352"/>
      <c r="B48" s="1784" t="s">
        <v>1210</v>
      </c>
      <c r="C48" s="223"/>
      <c r="D48" s="274">
        <v>5.7</v>
      </c>
      <c r="E48" s="261"/>
      <c r="F48" s="274"/>
      <c r="G48" s="261"/>
      <c r="H48" s="261"/>
      <c r="I48" s="261"/>
      <c r="J48" s="274"/>
      <c r="K48" s="261"/>
      <c r="L48" s="274"/>
      <c r="M48" s="261"/>
      <c r="N48" s="1190"/>
      <c r="O48" s="261"/>
      <c r="P48" s="1190"/>
      <c r="Q48" s="261"/>
      <c r="R48" s="2073"/>
      <c r="S48" s="261"/>
      <c r="T48" s="274"/>
      <c r="U48" s="261"/>
      <c r="V48" s="274"/>
      <c r="W48" s="261"/>
      <c r="X48" s="274"/>
      <c r="Y48" s="261"/>
      <c r="Z48" s="274"/>
      <c r="AA48" s="274"/>
      <c r="AB48" s="1190">
        <v>0</v>
      </c>
      <c r="AC48" s="261"/>
      <c r="AD48" s="250"/>
      <c r="AE48" s="261">
        <f>ROUND(SUM(D48:AB48),1)</f>
        <v>5.7</v>
      </c>
      <c r="AF48" s="261"/>
      <c r="AG48" s="252"/>
      <c r="AH48" s="261">
        <v>0.7</v>
      </c>
      <c r="AI48" s="514"/>
      <c r="AJ48" s="249"/>
      <c r="AK48" s="1159">
        <f t="shared" si="6"/>
        <v>5</v>
      </c>
      <c r="AL48" s="1159"/>
      <c r="AM48" s="2732">
        <f>ROUND(IF(AH48=0,0,AK48/ABS(AH48)),3)</f>
        <v>7.1429999999999998</v>
      </c>
      <c r="AN48" s="1561"/>
    </row>
    <row r="49" spans="1:40" ht="15" customHeight="1">
      <c r="A49" s="352"/>
      <c r="B49" s="1784" t="s">
        <v>1211</v>
      </c>
      <c r="C49" s="223"/>
      <c r="D49" s="274">
        <v>20.399999999999999</v>
      </c>
      <c r="E49" s="261"/>
      <c r="F49" s="274"/>
      <c r="G49" s="261"/>
      <c r="H49" s="261"/>
      <c r="I49" s="261"/>
      <c r="J49" s="274"/>
      <c r="K49" s="261"/>
      <c r="L49" s="274"/>
      <c r="M49" s="261"/>
      <c r="N49" s="1190"/>
      <c r="O49" s="261"/>
      <c r="P49" s="1190"/>
      <c r="Q49" s="261"/>
      <c r="R49" s="2073"/>
      <c r="S49" s="261"/>
      <c r="T49" s="274"/>
      <c r="U49" s="261"/>
      <c r="V49" s="274"/>
      <c r="W49" s="261"/>
      <c r="X49" s="274"/>
      <c r="Y49" s="261"/>
      <c r="Z49" s="274"/>
      <c r="AA49" s="274"/>
      <c r="AB49" s="1190">
        <v>0</v>
      </c>
      <c r="AC49" s="261"/>
      <c r="AD49" s="250"/>
      <c r="AE49" s="261">
        <f>ROUND(SUM(D49:AB49),1)</f>
        <v>20.399999999999999</v>
      </c>
      <c r="AF49" s="261"/>
      <c r="AG49" s="252"/>
      <c r="AH49" s="261">
        <v>18.2</v>
      </c>
      <c r="AI49" s="514"/>
      <c r="AJ49" s="249"/>
      <c r="AK49" s="1159">
        <f t="shared" si="6"/>
        <v>2.2000000000000002</v>
      </c>
      <c r="AL49" s="1159"/>
      <c r="AM49" s="2732">
        <f>ROUND(IF(AH49=0,0,AK49/ABS(AH49)),3)</f>
        <v>0.121</v>
      </c>
      <c r="AN49" s="1561"/>
    </row>
    <row r="50" spans="1:40" ht="15" customHeight="1">
      <c r="A50" s="352"/>
      <c r="B50" s="1784" t="s">
        <v>1307</v>
      </c>
      <c r="C50" s="223"/>
      <c r="D50" s="274"/>
      <c r="E50" s="261"/>
      <c r="F50" s="274"/>
      <c r="G50" s="261"/>
      <c r="H50" s="261"/>
      <c r="I50" s="261"/>
      <c r="J50" s="274"/>
      <c r="K50" s="261"/>
      <c r="L50" s="274"/>
      <c r="M50" s="261"/>
      <c r="N50" s="274"/>
      <c r="O50" s="261"/>
      <c r="P50" s="274"/>
      <c r="Q50" s="261"/>
      <c r="R50" s="274"/>
      <c r="S50" s="261"/>
      <c r="T50" s="274"/>
      <c r="U50" s="261"/>
      <c r="V50" s="274"/>
      <c r="W50" s="261"/>
      <c r="X50" s="274"/>
      <c r="Y50" s="261"/>
      <c r="Z50" s="274"/>
      <c r="AA50" s="274"/>
      <c r="AB50" s="274"/>
      <c r="AC50" s="261"/>
      <c r="AD50" s="250"/>
      <c r="AE50" s="261"/>
      <c r="AF50" s="261"/>
      <c r="AG50" s="252"/>
      <c r="AH50" s="3235"/>
      <c r="AI50" s="514"/>
      <c r="AJ50" s="249"/>
      <c r="AK50" s="1159"/>
      <c r="AL50" s="1159"/>
      <c r="AM50" s="2732"/>
      <c r="AN50" s="1561"/>
    </row>
    <row r="51" spans="1:40" ht="15" customHeight="1">
      <c r="A51" s="352"/>
      <c r="B51" s="1784" t="s">
        <v>1440</v>
      </c>
      <c r="C51" s="223"/>
      <c r="D51" s="274">
        <v>0</v>
      </c>
      <c r="E51" s="261"/>
      <c r="F51" s="274"/>
      <c r="G51" s="261"/>
      <c r="H51" s="261"/>
      <c r="I51" s="261"/>
      <c r="J51" s="274"/>
      <c r="K51" s="261"/>
      <c r="L51" s="274"/>
      <c r="M51" s="261"/>
      <c r="N51" s="274"/>
      <c r="O51" s="261"/>
      <c r="P51" s="274"/>
      <c r="Q51" s="261"/>
      <c r="R51" s="274"/>
      <c r="S51" s="261"/>
      <c r="T51" s="274"/>
      <c r="U51" s="261"/>
      <c r="V51" s="274"/>
      <c r="W51" s="261"/>
      <c r="X51" s="274"/>
      <c r="Y51" s="261"/>
      <c r="Z51" s="274"/>
      <c r="AA51" s="274"/>
      <c r="AB51" s="274">
        <v>0</v>
      </c>
      <c r="AC51" s="261"/>
      <c r="AD51" s="250"/>
      <c r="AE51" s="261">
        <f>ROUND(SUM(D51:AB51),1)</f>
        <v>0</v>
      </c>
      <c r="AF51" s="261"/>
      <c r="AG51" s="252"/>
      <c r="AH51" s="3235">
        <v>0</v>
      </c>
      <c r="AI51" s="514"/>
      <c r="AJ51" s="249"/>
      <c r="AK51" s="2993">
        <f>ROUND(SUM(+AE51-AH51),1)</f>
        <v>0</v>
      </c>
      <c r="AL51" s="2993"/>
      <c r="AM51" s="2732">
        <f t="shared" ref="AM51:AM57" si="7">ROUND(IF(AH51=0,0,AK51/ABS(AH51)),3)</f>
        <v>0</v>
      </c>
      <c r="AN51" s="1561"/>
    </row>
    <row r="52" spans="1:40" ht="15" customHeight="1">
      <c r="A52" s="352"/>
      <c r="B52" s="1784" t="s">
        <v>1212</v>
      </c>
      <c r="C52" s="223"/>
      <c r="D52" s="274">
        <v>47.7</v>
      </c>
      <c r="E52" s="261"/>
      <c r="F52" s="274"/>
      <c r="G52" s="261"/>
      <c r="H52" s="261"/>
      <c r="I52" s="261"/>
      <c r="J52" s="274"/>
      <c r="K52" s="261"/>
      <c r="L52" s="274"/>
      <c r="M52" s="261"/>
      <c r="N52" s="1190"/>
      <c r="O52" s="261"/>
      <c r="P52" s="1190"/>
      <c r="Q52" s="261"/>
      <c r="R52" s="2073"/>
      <c r="S52" s="261"/>
      <c r="T52" s="274"/>
      <c r="U52" s="261"/>
      <c r="V52" s="274"/>
      <c r="W52" s="261"/>
      <c r="X52" s="274"/>
      <c r="Y52" s="261"/>
      <c r="Z52" s="274"/>
      <c r="AA52" s="274"/>
      <c r="AB52" s="1190">
        <v>0</v>
      </c>
      <c r="AC52" s="261"/>
      <c r="AD52" s="250"/>
      <c r="AE52" s="318">
        <f t="shared" ref="AE52:AE57" si="8">ROUND(SUM(D52:AB52),1)</f>
        <v>47.7</v>
      </c>
      <c r="AF52" s="261"/>
      <c r="AG52" s="252"/>
      <c r="AH52" s="261">
        <v>70.5</v>
      </c>
      <c r="AI52" s="514"/>
      <c r="AJ52" s="249"/>
      <c r="AK52" s="1159">
        <f t="shared" si="6"/>
        <v>-22.8</v>
      </c>
      <c r="AL52" s="1159"/>
      <c r="AM52" s="2732">
        <f t="shared" si="7"/>
        <v>-0.32300000000000001</v>
      </c>
      <c r="AN52" s="1561"/>
    </row>
    <row r="53" spans="1:40" ht="15" customHeight="1">
      <c r="A53" s="352"/>
      <c r="B53" s="1784" t="s">
        <v>1213</v>
      </c>
      <c r="C53" s="223"/>
      <c r="D53" s="274">
        <v>5.4</v>
      </c>
      <c r="E53" s="261"/>
      <c r="F53" s="274"/>
      <c r="G53" s="261"/>
      <c r="H53" s="261"/>
      <c r="I53" s="261"/>
      <c r="J53" s="274"/>
      <c r="K53" s="261"/>
      <c r="L53" s="274"/>
      <c r="M53" s="261"/>
      <c r="N53" s="1190"/>
      <c r="O53" s="261"/>
      <c r="P53" s="1190"/>
      <c r="Q53" s="261"/>
      <c r="R53" s="2073"/>
      <c r="S53" s="261"/>
      <c r="T53" s="274"/>
      <c r="U53" s="261"/>
      <c r="V53" s="274"/>
      <c r="W53" s="261"/>
      <c r="X53" s="274"/>
      <c r="Y53" s="261"/>
      <c r="Z53" s="274"/>
      <c r="AA53" s="274"/>
      <c r="AB53" s="1190">
        <v>0</v>
      </c>
      <c r="AC53" s="261"/>
      <c r="AD53" s="250"/>
      <c r="AE53" s="261">
        <f t="shared" si="8"/>
        <v>5.4</v>
      </c>
      <c r="AF53" s="261"/>
      <c r="AG53" s="252"/>
      <c r="AH53" s="261">
        <v>4.4000000000000004</v>
      </c>
      <c r="AI53" s="514"/>
      <c r="AJ53" s="249"/>
      <c r="AK53" s="1159">
        <f t="shared" si="6"/>
        <v>1</v>
      </c>
      <c r="AL53" s="1159"/>
      <c r="AM53" s="2732">
        <f t="shared" si="7"/>
        <v>0.22700000000000001</v>
      </c>
      <c r="AN53" s="1561"/>
    </row>
    <row r="54" spans="1:40" ht="15" customHeight="1">
      <c r="A54" s="352"/>
      <c r="B54" s="1784" t="s">
        <v>1214</v>
      </c>
      <c r="C54" s="223"/>
      <c r="D54" s="274">
        <v>0</v>
      </c>
      <c r="E54" s="261"/>
      <c r="F54" s="274"/>
      <c r="G54" s="261"/>
      <c r="H54" s="261"/>
      <c r="I54" s="261"/>
      <c r="J54" s="274"/>
      <c r="K54" s="261"/>
      <c r="L54" s="274"/>
      <c r="M54" s="261"/>
      <c r="N54" s="1190"/>
      <c r="O54" s="261"/>
      <c r="P54" s="1190"/>
      <c r="Q54" s="261"/>
      <c r="R54" s="2073"/>
      <c r="S54" s="261"/>
      <c r="T54" s="274"/>
      <c r="U54" s="261"/>
      <c r="V54" s="274"/>
      <c r="W54" s="261"/>
      <c r="X54" s="274"/>
      <c r="Y54" s="261"/>
      <c r="Z54" s="274"/>
      <c r="AA54" s="274"/>
      <c r="AB54" s="1190">
        <v>0</v>
      </c>
      <c r="AC54" s="261"/>
      <c r="AD54" s="250"/>
      <c r="AE54" s="261">
        <f t="shared" si="8"/>
        <v>0</v>
      </c>
      <c r="AF54" s="261"/>
      <c r="AG54" s="252"/>
      <c r="AH54" s="261">
        <v>0</v>
      </c>
      <c r="AI54" s="514"/>
      <c r="AJ54" s="249"/>
      <c r="AK54" s="1159">
        <f t="shared" si="6"/>
        <v>0</v>
      </c>
      <c r="AL54" s="1159"/>
      <c r="AM54" s="2732">
        <f t="shared" si="7"/>
        <v>0</v>
      </c>
      <c r="AN54" s="1561"/>
    </row>
    <row r="55" spans="1:40" ht="15" customHeight="1">
      <c r="A55" s="352"/>
      <c r="B55" s="1784" t="s">
        <v>1215</v>
      </c>
      <c r="C55" s="223"/>
      <c r="D55" s="274">
        <v>39.9</v>
      </c>
      <c r="E55" s="261"/>
      <c r="F55" s="274"/>
      <c r="G55" s="261"/>
      <c r="H55" s="261"/>
      <c r="I55" s="261"/>
      <c r="J55" s="274"/>
      <c r="K55" s="261"/>
      <c r="L55" s="274"/>
      <c r="M55" s="261"/>
      <c r="N55" s="1190"/>
      <c r="O55" s="261"/>
      <c r="P55" s="1190"/>
      <c r="Q55" s="261"/>
      <c r="R55" s="2073"/>
      <c r="S55" s="261"/>
      <c r="T55" s="274"/>
      <c r="U55" s="261"/>
      <c r="V55" s="274"/>
      <c r="W55" s="261"/>
      <c r="X55" s="274"/>
      <c r="Y55" s="261"/>
      <c r="Z55" s="274"/>
      <c r="AA55" s="274"/>
      <c r="AB55" s="1190">
        <v>0</v>
      </c>
      <c r="AC55" s="261"/>
      <c r="AD55" s="250"/>
      <c r="AE55" s="261">
        <f t="shared" si="8"/>
        <v>39.9</v>
      </c>
      <c r="AF55" s="261"/>
      <c r="AG55" s="252"/>
      <c r="AH55" s="261">
        <v>33.5</v>
      </c>
      <c r="AI55" s="514"/>
      <c r="AJ55" s="249"/>
      <c r="AK55" s="1159">
        <f t="shared" si="6"/>
        <v>6.4</v>
      </c>
      <c r="AL55" s="1159"/>
      <c r="AM55" s="2732">
        <f t="shared" si="7"/>
        <v>0.191</v>
      </c>
      <c r="AN55" s="1561"/>
    </row>
    <row r="56" spans="1:40" ht="15" customHeight="1">
      <c r="A56" s="352"/>
      <c r="B56" s="1784" t="s">
        <v>1216</v>
      </c>
      <c r="C56" s="223"/>
      <c r="D56" s="274">
        <v>39.200000000000003</v>
      </c>
      <c r="E56" s="261"/>
      <c r="F56" s="274"/>
      <c r="G56" s="261"/>
      <c r="H56" s="261"/>
      <c r="I56" s="261"/>
      <c r="J56" s="274"/>
      <c r="K56" s="261"/>
      <c r="L56" s="274"/>
      <c r="M56" s="261"/>
      <c r="N56" s="1190"/>
      <c r="O56" s="261"/>
      <c r="P56" s="1190"/>
      <c r="Q56" s="261"/>
      <c r="R56" s="2073"/>
      <c r="S56" s="261"/>
      <c r="T56" s="274"/>
      <c r="U56" s="261"/>
      <c r="V56" s="274"/>
      <c r="W56" s="261"/>
      <c r="X56" s="274"/>
      <c r="Y56" s="261"/>
      <c r="Z56" s="274"/>
      <c r="AA56" s="274"/>
      <c r="AB56" s="1190">
        <v>0</v>
      </c>
      <c r="AC56" s="261"/>
      <c r="AD56" s="250"/>
      <c r="AE56" s="261">
        <f t="shared" si="8"/>
        <v>39.200000000000003</v>
      </c>
      <c r="AF56" s="261"/>
      <c r="AG56" s="252"/>
      <c r="AH56" s="261">
        <v>15.4</v>
      </c>
      <c r="AI56" s="514"/>
      <c r="AJ56" s="249"/>
      <c r="AK56" s="1159">
        <f t="shared" si="6"/>
        <v>23.8</v>
      </c>
      <c r="AL56" s="1159"/>
      <c r="AM56" s="2732">
        <f t="shared" si="7"/>
        <v>1.5449999999999999</v>
      </c>
      <c r="AN56" s="1561"/>
    </row>
    <row r="57" spans="1:40" ht="15" customHeight="1">
      <c r="A57" s="352"/>
      <c r="B57" s="1784" t="s">
        <v>1174</v>
      </c>
      <c r="C57" s="223"/>
      <c r="D57" s="274">
        <v>4.2</v>
      </c>
      <c r="E57" s="261"/>
      <c r="F57" s="274"/>
      <c r="G57" s="261"/>
      <c r="H57" s="261"/>
      <c r="I57" s="261"/>
      <c r="J57" s="274"/>
      <c r="K57" s="261"/>
      <c r="L57" s="274"/>
      <c r="M57" s="261"/>
      <c r="N57" s="1190"/>
      <c r="O57" s="261"/>
      <c r="P57" s="1190"/>
      <c r="Q57" s="261"/>
      <c r="R57" s="2073"/>
      <c r="S57" s="261"/>
      <c r="T57" s="274"/>
      <c r="U57" s="261"/>
      <c r="V57" s="274"/>
      <c r="W57" s="261"/>
      <c r="X57" s="274"/>
      <c r="Y57" s="261"/>
      <c r="Z57" s="274"/>
      <c r="AA57" s="274"/>
      <c r="AB57" s="1190">
        <v>0</v>
      </c>
      <c r="AC57" s="261"/>
      <c r="AD57" s="250"/>
      <c r="AE57" s="261">
        <f t="shared" si="8"/>
        <v>4.2</v>
      </c>
      <c r="AF57" s="261"/>
      <c r="AG57" s="252"/>
      <c r="AH57" s="261">
        <v>9.1</v>
      </c>
      <c r="AI57" s="514"/>
      <c r="AJ57" s="249"/>
      <c r="AK57" s="1159">
        <f t="shared" si="6"/>
        <v>-4.9000000000000004</v>
      </c>
      <c r="AL57" s="1159"/>
      <c r="AM57" s="2799">
        <f t="shared" si="7"/>
        <v>-0.53800000000000003</v>
      </c>
      <c r="AN57" s="1561"/>
    </row>
    <row r="58" spans="1:40" ht="15" customHeight="1">
      <c r="A58" s="352"/>
      <c r="B58" s="1784" t="s">
        <v>1304</v>
      </c>
      <c r="C58" s="223"/>
      <c r="D58" s="274"/>
      <c r="E58" s="261"/>
      <c r="F58" s="274"/>
      <c r="G58" s="261"/>
      <c r="H58" s="261"/>
      <c r="I58" s="261"/>
      <c r="J58" s="274"/>
      <c r="K58" s="261"/>
      <c r="L58" s="274"/>
      <c r="M58" s="261"/>
      <c r="N58" s="274"/>
      <c r="O58" s="261"/>
      <c r="P58" s="274"/>
      <c r="Q58" s="261"/>
      <c r="R58" s="274"/>
      <c r="S58" s="261"/>
      <c r="T58" s="274"/>
      <c r="U58" s="261"/>
      <c r="V58" s="274"/>
      <c r="W58" s="261"/>
      <c r="X58" s="274"/>
      <c r="Y58" s="261"/>
      <c r="Z58" s="274"/>
      <c r="AA58" s="274"/>
      <c r="AB58" s="274"/>
      <c r="AC58" s="261"/>
      <c r="AD58" s="250"/>
      <c r="AE58" s="261"/>
      <c r="AF58" s="261"/>
      <c r="AG58" s="252"/>
      <c r="AH58" s="261"/>
      <c r="AI58" s="514"/>
      <c r="AJ58" s="249"/>
      <c r="AK58" s="1159"/>
      <c r="AL58" s="1159"/>
      <c r="AM58" s="2732"/>
      <c r="AN58" s="1561"/>
    </row>
    <row r="59" spans="1:40" ht="15" customHeight="1">
      <c r="A59" s="352"/>
      <c r="B59" s="1784" t="s">
        <v>1217</v>
      </c>
      <c r="C59" s="223"/>
      <c r="D59" s="274">
        <v>15.3</v>
      </c>
      <c r="E59" s="261"/>
      <c r="F59" s="274"/>
      <c r="G59" s="261"/>
      <c r="H59" s="261"/>
      <c r="I59" s="261"/>
      <c r="J59" s="319"/>
      <c r="K59" s="261"/>
      <c r="L59" s="274"/>
      <c r="M59" s="261"/>
      <c r="N59" s="1190"/>
      <c r="O59" s="261"/>
      <c r="P59" s="1190"/>
      <c r="Q59" s="261"/>
      <c r="R59" s="2073"/>
      <c r="S59" s="261"/>
      <c r="T59" s="274"/>
      <c r="U59" s="261"/>
      <c r="V59" s="274"/>
      <c r="W59" s="261"/>
      <c r="X59" s="274"/>
      <c r="Y59" s="261"/>
      <c r="Z59" s="274"/>
      <c r="AA59" s="274"/>
      <c r="AB59" s="1190">
        <v>0</v>
      </c>
      <c r="AC59" s="261"/>
      <c r="AD59" s="250"/>
      <c r="AE59" s="261">
        <f>ROUND(SUM(D59:AB59),1)</f>
        <v>15.3</v>
      </c>
      <c r="AF59" s="261"/>
      <c r="AG59" s="252"/>
      <c r="AH59" s="261">
        <v>43.5</v>
      </c>
      <c r="AI59" s="514"/>
      <c r="AJ59" s="249"/>
      <c r="AK59" s="1159">
        <f t="shared" si="6"/>
        <v>-28.2</v>
      </c>
      <c r="AL59" s="1159"/>
      <c r="AM59" s="2799">
        <f>ROUND(IF(AH59=0,0,AK59/ABS(AH59)),3)</f>
        <v>-0.64800000000000002</v>
      </c>
      <c r="AN59" s="1561"/>
    </row>
    <row r="60" spans="1:40" ht="15" customHeight="1">
      <c r="A60" s="352"/>
      <c r="B60" s="1784" t="s">
        <v>1218</v>
      </c>
      <c r="C60" s="223"/>
      <c r="D60" s="274">
        <v>188.8</v>
      </c>
      <c r="E60" s="261"/>
      <c r="F60" s="274"/>
      <c r="G60" s="261"/>
      <c r="H60" s="261"/>
      <c r="I60" s="261"/>
      <c r="J60" s="274"/>
      <c r="K60" s="261"/>
      <c r="L60" s="274"/>
      <c r="M60" s="261"/>
      <c r="N60" s="1190"/>
      <c r="O60" s="261"/>
      <c r="P60" s="1190"/>
      <c r="Q60" s="261"/>
      <c r="R60" s="2073"/>
      <c r="S60" s="261"/>
      <c r="T60" s="274"/>
      <c r="U60" s="261"/>
      <c r="V60" s="274"/>
      <c r="W60" s="261"/>
      <c r="X60" s="274"/>
      <c r="Y60" s="261"/>
      <c r="Z60" s="274"/>
      <c r="AA60" s="274"/>
      <c r="AB60" s="1190">
        <v>0</v>
      </c>
      <c r="AC60" s="261"/>
      <c r="AD60" s="250"/>
      <c r="AE60" s="261">
        <f>ROUND(SUM(D60:AB60),1)</f>
        <v>188.8</v>
      </c>
      <c r="AF60" s="261"/>
      <c r="AG60" s="252"/>
      <c r="AH60" s="261">
        <v>226.4</v>
      </c>
      <c r="AI60" s="514"/>
      <c r="AJ60" s="249"/>
      <c r="AK60" s="1159">
        <f t="shared" si="6"/>
        <v>-37.6</v>
      </c>
      <c r="AL60" s="1159"/>
      <c r="AM60" s="2732">
        <f>ROUND(IF(AH60=0,0,AK60/ABS(AH60)),3)</f>
        <v>-0.16600000000000001</v>
      </c>
      <c r="AN60" s="1561"/>
    </row>
    <row r="61" spans="1:40" ht="15" customHeight="1">
      <c r="A61" s="352"/>
      <c r="B61" s="1784" t="s">
        <v>1219</v>
      </c>
      <c r="C61" s="223"/>
      <c r="D61" s="274">
        <v>78.400000000000006</v>
      </c>
      <c r="E61" s="261"/>
      <c r="F61" s="274"/>
      <c r="G61" s="261"/>
      <c r="H61" s="261"/>
      <c r="I61" s="261"/>
      <c r="J61" s="274"/>
      <c r="K61" s="261"/>
      <c r="L61" s="274"/>
      <c r="M61" s="261"/>
      <c r="N61" s="1190"/>
      <c r="O61" s="261"/>
      <c r="P61" s="1190"/>
      <c r="Q61" s="261"/>
      <c r="R61" s="2073"/>
      <c r="S61" s="261"/>
      <c r="T61" s="274"/>
      <c r="U61" s="261"/>
      <c r="V61" s="274"/>
      <c r="W61" s="261"/>
      <c r="X61" s="274"/>
      <c r="Y61" s="261"/>
      <c r="Z61" s="274"/>
      <c r="AA61" s="274"/>
      <c r="AB61" s="1190">
        <v>0</v>
      </c>
      <c r="AC61" s="261"/>
      <c r="AD61" s="250"/>
      <c r="AE61" s="261">
        <f>ROUND(SUM(D61:AB61),1)</f>
        <v>78.400000000000006</v>
      </c>
      <c r="AF61" s="261"/>
      <c r="AG61" s="252"/>
      <c r="AH61" s="261">
        <v>94.5</v>
      </c>
      <c r="AI61" s="514"/>
      <c r="AJ61" s="249"/>
      <c r="AK61" s="1159">
        <f t="shared" si="6"/>
        <v>-16.100000000000001</v>
      </c>
      <c r="AL61" s="1159"/>
      <c r="AM61" s="2732">
        <f>ROUND(IF(AH61=0,0,AK61/ABS(AH61)),3)</f>
        <v>-0.17</v>
      </c>
      <c r="AN61" s="1561"/>
    </row>
    <row r="62" spans="1:40" ht="15" customHeight="1">
      <c r="A62" s="352"/>
      <c r="B62" s="1784" t="s">
        <v>1175</v>
      </c>
      <c r="C62" s="223"/>
      <c r="D62" s="274">
        <v>2.6</v>
      </c>
      <c r="E62" s="261"/>
      <c r="F62" s="274"/>
      <c r="G62" s="261"/>
      <c r="H62" s="261"/>
      <c r="I62" s="261"/>
      <c r="J62" s="274"/>
      <c r="K62" s="261"/>
      <c r="L62" s="274"/>
      <c r="M62" s="261"/>
      <c r="N62" s="1190"/>
      <c r="O62" s="261"/>
      <c r="P62" s="1190"/>
      <c r="Q62" s="261"/>
      <c r="R62" s="2073"/>
      <c r="S62" s="261"/>
      <c r="T62" s="274"/>
      <c r="U62" s="261"/>
      <c r="V62" s="274"/>
      <c r="W62" s="261"/>
      <c r="X62" s="274"/>
      <c r="Y62" s="261"/>
      <c r="Z62" s="274"/>
      <c r="AA62" s="274"/>
      <c r="AB62" s="1190">
        <v>0</v>
      </c>
      <c r="AC62" s="261"/>
      <c r="AD62" s="250"/>
      <c r="AE62" s="318">
        <f>ROUND(SUM(D62:AB62),1)</f>
        <v>2.6</v>
      </c>
      <c r="AF62" s="261"/>
      <c r="AG62" s="252"/>
      <c r="AH62" s="261">
        <v>2.4</v>
      </c>
      <c r="AI62" s="514"/>
      <c r="AJ62" s="249"/>
      <c r="AK62" s="1159">
        <f t="shared" si="6"/>
        <v>0.2</v>
      </c>
      <c r="AL62" s="1159"/>
      <c r="AM62" s="2732">
        <f>ROUND(IF(AH62=0,0,AK62/ABS(AH62)),3)</f>
        <v>8.3000000000000004E-2</v>
      </c>
      <c r="AN62" s="1561"/>
    </row>
    <row r="63" spans="1:40" ht="15" customHeight="1">
      <c r="A63" s="352"/>
      <c r="B63" s="1784" t="s">
        <v>1305</v>
      </c>
      <c r="C63" s="223"/>
      <c r="D63" s="274"/>
      <c r="E63" s="261"/>
      <c r="F63" s="274"/>
      <c r="G63" s="261"/>
      <c r="H63" s="261"/>
      <c r="I63" s="261"/>
      <c r="J63" s="274"/>
      <c r="K63" s="261"/>
      <c r="L63" s="274"/>
      <c r="M63" s="261"/>
      <c r="N63" s="274"/>
      <c r="O63" s="261"/>
      <c r="P63" s="274"/>
      <c r="Q63" s="261"/>
      <c r="R63" s="274"/>
      <c r="S63" s="261"/>
      <c r="T63" s="274"/>
      <c r="U63" s="261"/>
      <c r="V63" s="274"/>
      <c r="W63" s="261"/>
      <c r="X63" s="274"/>
      <c r="Y63" s="261"/>
      <c r="Z63" s="274"/>
      <c r="AA63" s="274"/>
      <c r="AB63" s="274"/>
      <c r="AC63" s="261"/>
      <c r="AD63" s="250"/>
      <c r="AE63" s="261"/>
      <c r="AF63" s="261"/>
      <c r="AG63" s="252"/>
      <c r="AH63" s="261"/>
      <c r="AI63" s="514"/>
      <c r="AJ63" s="249"/>
      <c r="AK63" s="1159"/>
      <c r="AL63" s="1159"/>
      <c r="AM63" s="2732"/>
      <c r="AN63" s="1561"/>
    </row>
    <row r="64" spans="1:40" ht="15" customHeight="1">
      <c r="A64" s="352"/>
      <c r="B64" s="1784" t="s">
        <v>1220</v>
      </c>
      <c r="C64" s="223"/>
      <c r="D64" s="274">
        <v>0</v>
      </c>
      <c r="E64" s="261"/>
      <c r="F64" s="274"/>
      <c r="G64" s="261"/>
      <c r="H64" s="261"/>
      <c r="I64" s="261"/>
      <c r="J64" s="274"/>
      <c r="K64" s="261"/>
      <c r="L64" s="274"/>
      <c r="M64" s="261"/>
      <c r="N64" s="1190"/>
      <c r="O64" s="261"/>
      <c r="P64" s="1190"/>
      <c r="Q64" s="261"/>
      <c r="R64" s="2073"/>
      <c r="S64" s="261"/>
      <c r="T64" s="274"/>
      <c r="U64" s="261"/>
      <c r="V64" s="274"/>
      <c r="W64" s="261"/>
      <c r="X64" s="274"/>
      <c r="Y64" s="261"/>
      <c r="Z64" s="274"/>
      <c r="AA64" s="274"/>
      <c r="AB64" s="1190">
        <v>0</v>
      </c>
      <c r="AC64" s="261"/>
      <c r="AD64" s="250"/>
      <c r="AE64" s="261">
        <f t="shared" ref="AE64:AE69" si="9">ROUND(SUM(D64:AB64),1)</f>
        <v>0</v>
      </c>
      <c r="AF64" s="261"/>
      <c r="AG64" s="252"/>
      <c r="AH64" s="261">
        <v>0</v>
      </c>
      <c r="AI64" s="514"/>
      <c r="AJ64" s="249"/>
      <c r="AK64" s="1159">
        <f t="shared" si="6"/>
        <v>0</v>
      </c>
      <c r="AL64" s="1159"/>
      <c r="AM64" s="2732">
        <f t="shared" ref="AM64:AM69" si="10">ROUND(IF(AH64=0,0,AK64/ABS(AH64)),3)</f>
        <v>0</v>
      </c>
      <c r="AN64" s="1561"/>
    </row>
    <row r="65" spans="1:40" ht="15" customHeight="1">
      <c r="A65" s="352"/>
      <c r="B65" s="1784" t="s">
        <v>1221</v>
      </c>
      <c r="C65" s="223"/>
      <c r="D65" s="274">
        <v>0</v>
      </c>
      <c r="E65" s="261"/>
      <c r="F65" s="274"/>
      <c r="G65" s="261"/>
      <c r="H65" s="261"/>
      <c r="I65" s="261"/>
      <c r="J65" s="274"/>
      <c r="K65" s="261"/>
      <c r="L65" s="274"/>
      <c r="M65" s="261"/>
      <c r="N65" s="1190"/>
      <c r="O65" s="261"/>
      <c r="P65" s="1190"/>
      <c r="Q65" s="261"/>
      <c r="R65" s="2073"/>
      <c r="S65" s="261"/>
      <c r="T65" s="274"/>
      <c r="U65" s="261"/>
      <c r="V65" s="274"/>
      <c r="W65" s="261"/>
      <c r="X65" s="274"/>
      <c r="Y65" s="261"/>
      <c r="Z65" s="274"/>
      <c r="AA65" s="274"/>
      <c r="AB65" s="1190">
        <v>0</v>
      </c>
      <c r="AC65" s="261"/>
      <c r="AD65" s="250"/>
      <c r="AE65" s="261">
        <f t="shared" si="9"/>
        <v>0</v>
      </c>
      <c r="AF65" s="261"/>
      <c r="AG65" s="252"/>
      <c r="AH65" s="261">
        <v>0</v>
      </c>
      <c r="AI65" s="514"/>
      <c r="AJ65" s="249"/>
      <c r="AK65" s="1159">
        <f t="shared" si="6"/>
        <v>0</v>
      </c>
      <c r="AL65" s="1159"/>
      <c r="AM65" s="2732">
        <f t="shared" si="10"/>
        <v>0</v>
      </c>
      <c r="AN65" s="1561"/>
    </row>
    <row r="66" spans="1:40" ht="15" customHeight="1">
      <c r="A66" s="352"/>
      <c r="B66" s="1784" t="s">
        <v>1222</v>
      </c>
      <c r="C66" s="223"/>
      <c r="D66" s="274">
        <v>7.2</v>
      </c>
      <c r="E66" s="261"/>
      <c r="F66" s="274"/>
      <c r="G66" s="261"/>
      <c r="H66" s="261"/>
      <c r="I66" s="261"/>
      <c r="J66" s="274"/>
      <c r="K66" s="261"/>
      <c r="L66" s="274"/>
      <c r="M66" s="261"/>
      <c r="N66" s="1190"/>
      <c r="O66" s="261"/>
      <c r="P66" s="1190"/>
      <c r="Q66" s="261"/>
      <c r="R66" s="2073"/>
      <c r="S66" s="261"/>
      <c r="T66" s="274"/>
      <c r="U66" s="261"/>
      <c r="V66" s="274"/>
      <c r="W66" s="261"/>
      <c r="X66" s="274"/>
      <c r="Y66" s="261"/>
      <c r="Z66" s="274"/>
      <c r="AA66" s="274"/>
      <c r="AB66" s="1190">
        <v>0</v>
      </c>
      <c r="AC66" s="261"/>
      <c r="AD66" s="250"/>
      <c r="AE66" s="261">
        <f t="shared" si="9"/>
        <v>7.2</v>
      </c>
      <c r="AF66" s="261"/>
      <c r="AG66" s="252"/>
      <c r="AH66" s="261">
        <v>0.2</v>
      </c>
      <c r="AI66" s="514"/>
      <c r="AJ66" s="249"/>
      <c r="AK66" s="1159">
        <f t="shared" si="6"/>
        <v>7</v>
      </c>
      <c r="AL66" s="1159"/>
      <c r="AM66" s="2749">
        <f>ROUND(IF(AH66=0,0,AK66/ABS(AH66)),3)</f>
        <v>35</v>
      </c>
      <c r="AN66" s="1561"/>
    </row>
    <row r="67" spans="1:40" ht="15" customHeight="1">
      <c r="A67" s="352"/>
      <c r="B67" s="1784" t="s">
        <v>1223</v>
      </c>
      <c r="C67" s="223"/>
      <c r="D67" s="274">
        <v>0.9</v>
      </c>
      <c r="E67" s="261"/>
      <c r="F67" s="274"/>
      <c r="G67" s="261"/>
      <c r="H67" s="261"/>
      <c r="I67" s="261"/>
      <c r="J67" s="274"/>
      <c r="K67" s="261"/>
      <c r="L67" s="274"/>
      <c r="M67" s="261"/>
      <c r="N67" s="1190"/>
      <c r="O67" s="261"/>
      <c r="P67" s="1190"/>
      <c r="Q67" s="261"/>
      <c r="R67" s="2073"/>
      <c r="S67" s="261"/>
      <c r="T67" s="274"/>
      <c r="U67" s="261"/>
      <c r="V67" s="274"/>
      <c r="W67" s="261"/>
      <c r="X67" s="274"/>
      <c r="Y67" s="261"/>
      <c r="Z67" s="274"/>
      <c r="AA67" s="274"/>
      <c r="AB67" s="1190">
        <v>0</v>
      </c>
      <c r="AC67" s="261"/>
      <c r="AD67" s="250"/>
      <c r="AE67" s="261">
        <f t="shared" si="9"/>
        <v>0.9</v>
      </c>
      <c r="AF67" s="261"/>
      <c r="AG67" s="252"/>
      <c r="AH67" s="261">
        <v>0.2</v>
      </c>
      <c r="AI67" s="514"/>
      <c r="AJ67" s="249"/>
      <c r="AK67" s="1159">
        <f t="shared" si="6"/>
        <v>0.7</v>
      </c>
      <c r="AL67" s="1159"/>
      <c r="AM67" s="2732">
        <f t="shared" si="10"/>
        <v>3.5</v>
      </c>
      <c r="AN67" s="1561"/>
    </row>
    <row r="68" spans="1:40" ht="15" customHeight="1">
      <c r="A68" s="352"/>
      <c r="B68" s="1784" t="s">
        <v>1193</v>
      </c>
      <c r="C68" s="223"/>
      <c r="D68" s="274">
        <v>58.4</v>
      </c>
      <c r="E68" s="261"/>
      <c r="F68" s="274"/>
      <c r="G68" s="261"/>
      <c r="H68" s="261"/>
      <c r="I68" s="261"/>
      <c r="J68" s="274"/>
      <c r="K68" s="261"/>
      <c r="L68" s="274"/>
      <c r="M68" s="261"/>
      <c r="N68" s="1190"/>
      <c r="O68" s="261"/>
      <c r="P68" s="1190"/>
      <c r="Q68" s="261"/>
      <c r="R68" s="2073"/>
      <c r="S68" s="261"/>
      <c r="T68" s="274"/>
      <c r="U68" s="261"/>
      <c r="V68" s="274"/>
      <c r="W68" s="261"/>
      <c r="X68" s="274"/>
      <c r="Y68" s="261"/>
      <c r="Z68" s="274"/>
      <c r="AA68" s="274"/>
      <c r="AB68" s="1190">
        <v>0</v>
      </c>
      <c r="AC68" s="261"/>
      <c r="AD68" s="250"/>
      <c r="AE68" s="318">
        <f>ROUND(SUM(D68:AB68),1)</f>
        <v>58.4</v>
      </c>
      <c r="AF68" s="261"/>
      <c r="AG68" s="252"/>
      <c r="AH68" s="261">
        <v>39.700000000000003</v>
      </c>
      <c r="AI68" s="514"/>
      <c r="AJ68" s="249"/>
      <c r="AK68" s="1159">
        <f t="shared" si="6"/>
        <v>18.7</v>
      </c>
      <c r="AL68" s="1159"/>
      <c r="AM68" s="2732">
        <f t="shared" si="10"/>
        <v>0.47099999999999997</v>
      </c>
      <c r="AN68" s="1561"/>
    </row>
    <row r="69" spans="1:40" ht="15" customHeight="1">
      <c r="A69" s="352"/>
      <c r="B69" s="1784" t="s">
        <v>1194</v>
      </c>
      <c r="C69" s="223"/>
      <c r="D69" s="274">
        <v>55.3</v>
      </c>
      <c r="E69" s="261"/>
      <c r="F69" s="274"/>
      <c r="G69" s="261"/>
      <c r="H69" s="261"/>
      <c r="I69" s="261"/>
      <c r="J69" s="274"/>
      <c r="K69" s="261"/>
      <c r="L69" s="274"/>
      <c r="M69" s="261"/>
      <c r="N69" s="1190"/>
      <c r="O69" s="261"/>
      <c r="P69" s="1190"/>
      <c r="Q69" s="261"/>
      <c r="R69" s="2073"/>
      <c r="S69" s="261"/>
      <c r="T69" s="274"/>
      <c r="U69" s="261"/>
      <c r="V69" s="274"/>
      <c r="W69" s="261"/>
      <c r="X69" s="274"/>
      <c r="Y69" s="261"/>
      <c r="Z69" s="274"/>
      <c r="AA69" s="274"/>
      <c r="AB69" s="1190">
        <v>0</v>
      </c>
      <c r="AC69" s="261"/>
      <c r="AD69" s="250"/>
      <c r="AE69" s="261">
        <f t="shared" si="9"/>
        <v>55.3</v>
      </c>
      <c r="AF69" s="261"/>
      <c r="AG69" s="252"/>
      <c r="AH69" s="261">
        <v>33.799999999999997</v>
      </c>
      <c r="AI69" s="514"/>
      <c r="AJ69" s="249"/>
      <c r="AK69" s="1159">
        <f t="shared" si="6"/>
        <v>21.5</v>
      </c>
      <c r="AL69" s="1159"/>
      <c r="AM69" s="2749">
        <f t="shared" si="10"/>
        <v>0.63600000000000001</v>
      </c>
      <c r="AN69" s="1561"/>
    </row>
    <row r="70" spans="1:40" ht="15" customHeight="1">
      <c r="A70" s="352"/>
      <c r="B70" s="1784" t="s">
        <v>1306</v>
      </c>
      <c r="C70" s="223"/>
      <c r="D70" s="274"/>
      <c r="E70" s="261"/>
      <c r="F70" s="274"/>
      <c r="G70" s="261"/>
      <c r="H70" s="261"/>
      <c r="I70" s="261"/>
      <c r="J70" s="274"/>
      <c r="K70" s="261"/>
      <c r="L70" s="274"/>
      <c r="M70" s="261"/>
      <c r="N70" s="274"/>
      <c r="O70" s="261"/>
      <c r="P70" s="274"/>
      <c r="Q70" s="261"/>
      <c r="R70" s="274"/>
      <c r="S70" s="261"/>
      <c r="T70" s="274"/>
      <c r="U70" s="261"/>
      <c r="V70" s="274"/>
      <c r="W70" s="261"/>
      <c r="X70" s="274"/>
      <c r="Y70" s="261"/>
      <c r="Z70" s="274"/>
      <c r="AA70" s="274"/>
      <c r="AB70" s="274"/>
      <c r="AC70" s="261"/>
      <c r="AD70" s="250"/>
      <c r="AE70" s="261"/>
      <c r="AF70" s="261"/>
      <c r="AG70" s="252"/>
      <c r="AH70" s="261"/>
      <c r="AI70" s="514"/>
      <c r="AJ70" s="249"/>
      <c r="AK70" s="1159"/>
      <c r="AL70" s="1159"/>
      <c r="AM70" s="2732"/>
      <c r="AN70" s="1561"/>
    </row>
    <row r="71" spans="1:40" ht="15" customHeight="1">
      <c r="A71" s="352"/>
      <c r="B71" s="1784" t="s">
        <v>1224</v>
      </c>
      <c r="C71" s="223"/>
      <c r="D71" s="274">
        <v>0.4</v>
      </c>
      <c r="E71" s="261"/>
      <c r="F71" s="274"/>
      <c r="G71" s="261"/>
      <c r="H71" s="261"/>
      <c r="I71" s="261"/>
      <c r="J71" s="274"/>
      <c r="K71" s="261"/>
      <c r="L71" s="274"/>
      <c r="M71" s="261"/>
      <c r="N71" s="1190"/>
      <c r="O71" s="261"/>
      <c r="P71" s="1190"/>
      <c r="Q71" s="261"/>
      <c r="R71" s="2073"/>
      <c r="S71" s="261"/>
      <c r="T71" s="274"/>
      <c r="U71" s="261"/>
      <c r="V71" s="274"/>
      <c r="W71" s="261"/>
      <c r="X71" s="274"/>
      <c r="Y71" s="261"/>
      <c r="Z71" s="274"/>
      <c r="AA71" s="274"/>
      <c r="AB71" s="1190">
        <v>0</v>
      </c>
      <c r="AC71" s="261"/>
      <c r="AD71" s="250"/>
      <c r="AE71" s="261">
        <f t="shared" ref="AE71:AE81" si="11">ROUND(SUM(D71:AB71),1)</f>
        <v>0.4</v>
      </c>
      <c r="AF71" s="261"/>
      <c r="AG71" s="252"/>
      <c r="AH71" s="261">
        <v>0.6</v>
      </c>
      <c r="AI71" s="514"/>
      <c r="AJ71" s="249"/>
      <c r="AK71" s="1159">
        <f t="shared" si="6"/>
        <v>-0.2</v>
      </c>
      <c r="AL71" s="1159"/>
      <c r="AM71" s="2732">
        <f>ROUND(IF(AH71=0,0,AK71/ABS(AH71)),3)</f>
        <v>-0.33300000000000002</v>
      </c>
      <c r="AN71" s="1561"/>
    </row>
    <row r="72" spans="1:40" ht="15" customHeight="1">
      <c r="A72" s="352"/>
      <c r="B72" s="1784" t="s">
        <v>1225</v>
      </c>
      <c r="C72" s="223"/>
      <c r="D72" s="1313">
        <v>0.2</v>
      </c>
      <c r="E72" s="261"/>
      <c r="F72" s="274"/>
      <c r="G72" s="261"/>
      <c r="H72" s="261"/>
      <c r="I72" s="261"/>
      <c r="J72" s="274"/>
      <c r="K72" s="261"/>
      <c r="L72" s="274"/>
      <c r="M72" s="261"/>
      <c r="N72" s="1190"/>
      <c r="O72" s="261"/>
      <c r="P72" s="1190"/>
      <c r="Q72" s="261"/>
      <c r="R72" s="2073"/>
      <c r="S72" s="261"/>
      <c r="T72" s="274"/>
      <c r="U72" s="261"/>
      <c r="V72" s="274"/>
      <c r="W72" s="261"/>
      <c r="X72" s="274"/>
      <c r="Y72" s="261"/>
      <c r="Z72" s="274"/>
      <c r="AA72" s="274"/>
      <c r="AB72" s="1190">
        <v>0</v>
      </c>
      <c r="AC72" s="261"/>
      <c r="AD72" s="250"/>
      <c r="AE72" s="261">
        <f t="shared" si="11"/>
        <v>0.2</v>
      </c>
      <c r="AF72" s="261"/>
      <c r="AG72" s="252"/>
      <c r="AH72" s="261">
        <v>0.1</v>
      </c>
      <c r="AI72" s="514"/>
      <c r="AJ72" s="249"/>
      <c r="AK72" s="1159">
        <f t="shared" si="6"/>
        <v>0.1</v>
      </c>
      <c r="AL72" s="1159"/>
      <c r="AM72" s="2732">
        <f>ROUND(IF(AH72=0,0,AK72/ABS(AH72)),3)</f>
        <v>1</v>
      </c>
      <c r="AN72" s="1561"/>
    </row>
    <row r="73" spans="1:40" ht="15" customHeight="1">
      <c r="A73" s="352"/>
      <c r="B73" s="1784" t="s">
        <v>1226</v>
      </c>
      <c r="C73" s="223"/>
      <c r="D73" s="274">
        <v>0.9</v>
      </c>
      <c r="E73" s="261"/>
      <c r="F73" s="274"/>
      <c r="G73" s="261"/>
      <c r="H73" s="261"/>
      <c r="I73" s="261"/>
      <c r="J73" s="274"/>
      <c r="K73" s="261"/>
      <c r="L73" s="274"/>
      <c r="M73" s="261"/>
      <c r="N73" s="1190"/>
      <c r="O73" s="261"/>
      <c r="P73" s="1190"/>
      <c r="Q73" s="261"/>
      <c r="R73" s="2073"/>
      <c r="S73" s="261"/>
      <c r="T73" s="274"/>
      <c r="U73" s="261"/>
      <c r="V73" s="274"/>
      <c r="W73" s="261"/>
      <c r="X73" s="274"/>
      <c r="Y73" s="261"/>
      <c r="Z73" s="274"/>
      <c r="AA73" s="274"/>
      <c r="AB73" s="1190">
        <v>0</v>
      </c>
      <c r="AC73" s="261"/>
      <c r="AD73" s="250"/>
      <c r="AE73" s="261">
        <f t="shared" si="11"/>
        <v>0.9</v>
      </c>
      <c r="AF73" s="261"/>
      <c r="AG73" s="252"/>
      <c r="AH73" s="261">
        <v>0.9</v>
      </c>
      <c r="AI73" s="514"/>
      <c r="AJ73" s="249"/>
      <c r="AK73" s="1159">
        <f t="shared" si="6"/>
        <v>0</v>
      </c>
      <c r="AL73" s="1159"/>
      <c r="AM73" s="2732">
        <f>ROUND(IF(AH73=0,0,AK73/ABS(AH73)),3)</f>
        <v>0</v>
      </c>
      <c r="AN73" s="1561"/>
    </row>
    <row r="74" spans="1:40" ht="15" customHeight="1">
      <c r="A74" s="352"/>
      <c r="B74" s="1784" t="s">
        <v>1227</v>
      </c>
      <c r="C74" s="223"/>
      <c r="D74" s="274">
        <v>0</v>
      </c>
      <c r="E74" s="261"/>
      <c r="F74" s="274"/>
      <c r="G74" s="261"/>
      <c r="H74" s="261"/>
      <c r="I74" s="261"/>
      <c r="J74" s="274"/>
      <c r="K74" s="261"/>
      <c r="L74" s="274"/>
      <c r="M74" s="261"/>
      <c r="N74" s="1190"/>
      <c r="O74" s="261"/>
      <c r="P74" s="1190"/>
      <c r="Q74" s="261"/>
      <c r="R74" s="2073"/>
      <c r="S74" s="261"/>
      <c r="T74" s="274"/>
      <c r="U74" s="261"/>
      <c r="V74" s="274"/>
      <c r="W74" s="261"/>
      <c r="X74" s="274"/>
      <c r="Y74" s="261"/>
      <c r="Z74" s="274"/>
      <c r="AA74" s="274"/>
      <c r="AB74" s="1190">
        <v>0</v>
      </c>
      <c r="AC74" s="261"/>
      <c r="AD74" s="250"/>
      <c r="AE74" s="261">
        <f t="shared" si="11"/>
        <v>0</v>
      </c>
      <c r="AF74" s="261"/>
      <c r="AG74" s="252"/>
      <c r="AH74" s="261">
        <v>0</v>
      </c>
      <c r="AI74" s="514"/>
      <c r="AJ74" s="249"/>
      <c r="AK74" s="1159">
        <f t="shared" si="6"/>
        <v>0</v>
      </c>
      <c r="AL74" s="1159"/>
      <c r="AM74" s="2732">
        <f t="shared" ref="AM74" si="12">ROUND(IF(AH74=0,0,AK74/ABS(AH74)),3)</f>
        <v>0</v>
      </c>
      <c r="AN74" s="1561"/>
    </row>
    <row r="75" spans="1:40" ht="15" customHeight="1">
      <c r="A75" s="352"/>
      <c r="B75" s="1784" t="s">
        <v>1228</v>
      </c>
      <c r="C75" s="223"/>
      <c r="D75" s="274">
        <v>145.80000000000001</v>
      </c>
      <c r="E75" s="261"/>
      <c r="F75" s="274"/>
      <c r="G75" s="261"/>
      <c r="H75" s="261"/>
      <c r="I75" s="261"/>
      <c r="J75" s="274"/>
      <c r="K75" s="261"/>
      <c r="L75" s="274"/>
      <c r="M75" s="261"/>
      <c r="N75" s="1190"/>
      <c r="O75" s="261"/>
      <c r="P75" s="1190"/>
      <c r="Q75" s="261"/>
      <c r="R75" s="2073"/>
      <c r="S75" s="261"/>
      <c r="T75" s="274"/>
      <c r="U75" s="261"/>
      <c r="V75" s="274"/>
      <c r="W75" s="261"/>
      <c r="X75" s="274"/>
      <c r="Y75" s="261"/>
      <c r="Z75" s="274"/>
      <c r="AA75" s="274"/>
      <c r="AB75" s="1190">
        <v>0</v>
      </c>
      <c r="AC75" s="261"/>
      <c r="AD75" s="250"/>
      <c r="AE75" s="261">
        <f t="shared" si="11"/>
        <v>145.80000000000001</v>
      </c>
      <c r="AF75" s="261"/>
      <c r="AG75" s="252"/>
      <c r="AH75" s="261">
        <v>-747.8</v>
      </c>
      <c r="AI75" s="514"/>
      <c r="AJ75" s="249"/>
      <c r="AK75" s="1159">
        <f t="shared" si="6"/>
        <v>893.6</v>
      </c>
      <c r="AL75" s="1159"/>
      <c r="AM75" s="2732">
        <f>ROUND(IF(AH75=0,0,AK75/ABS(AH75)),3)</f>
        <v>1.1950000000000001</v>
      </c>
      <c r="AN75" s="1561"/>
    </row>
    <row r="76" spans="1:40" ht="15" customHeight="1">
      <c r="A76" s="352"/>
      <c r="B76" s="1784" t="s">
        <v>1229</v>
      </c>
      <c r="C76" s="223"/>
      <c r="D76" s="274">
        <v>3.1</v>
      </c>
      <c r="E76" s="261"/>
      <c r="F76" s="274"/>
      <c r="G76" s="261"/>
      <c r="H76" s="261"/>
      <c r="I76" s="261"/>
      <c r="J76" s="274"/>
      <c r="K76" s="261"/>
      <c r="L76" s="274"/>
      <c r="M76" s="261"/>
      <c r="N76" s="1190"/>
      <c r="O76" s="261"/>
      <c r="P76" s="1190"/>
      <c r="Q76" s="261"/>
      <c r="R76" s="2073"/>
      <c r="S76" s="261"/>
      <c r="T76" s="274"/>
      <c r="U76" s="261"/>
      <c r="V76" s="274"/>
      <c r="W76" s="261"/>
      <c r="X76" s="274"/>
      <c r="Y76" s="261"/>
      <c r="Z76" s="274"/>
      <c r="AA76" s="274"/>
      <c r="AB76" s="1190">
        <v>0</v>
      </c>
      <c r="AC76" s="261"/>
      <c r="AD76" s="250"/>
      <c r="AE76" s="261">
        <f t="shared" si="11"/>
        <v>3.1</v>
      </c>
      <c r="AF76" s="261"/>
      <c r="AG76" s="252"/>
      <c r="AH76" s="261">
        <v>3.4</v>
      </c>
      <c r="AI76" s="514"/>
      <c r="AJ76" s="249"/>
      <c r="AK76" s="1159">
        <f t="shared" si="6"/>
        <v>-0.3</v>
      </c>
      <c r="AL76" s="1159"/>
      <c r="AM76" s="2749">
        <f>ROUND(IF(AH76=0,0,AK76/ABS(AH76)),3)</f>
        <v>-8.7999999999999995E-2</v>
      </c>
      <c r="AN76" s="1561"/>
    </row>
    <row r="77" spans="1:40" ht="15" customHeight="1">
      <c r="A77" s="352"/>
      <c r="B77" s="1784" t="s">
        <v>1230</v>
      </c>
      <c r="C77" s="223"/>
      <c r="D77" s="274">
        <v>-1.2</v>
      </c>
      <c r="E77" s="261"/>
      <c r="F77" s="274"/>
      <c r="G77" s="261"/>
      <c r="H77" s="261"/>
      <c r="I77" s="261"/>
      <c r="J77" s="274"/>
      <c r="K77" s="261"/>
      <c r="L77" s="274"/>
      <c r="M77" s="261"/>
      <c r="N77" s="1190"/>
      <c r="O77" s="261"/>
      <c r="P77" s="1190"/>
      <c r="Q77" s="261"/>
      <c r="R77" s="2073"/>
      <c r="S77" s="261"/>
      <c r="T77" s="274"/>
      <c r="U77" s="261"/>
      <c r="V77" s="274"/>
      <c r="W77" s="261"/>
      <c r="X77" s="274"/>
      <c r="Y77" s="261"/>
      <c r="Z77" s="274"/>
      <c r="AA77" s="274"/>
      <c r="AB77" s="1190">
        <v>0</v>
      </c>
      <c r="AC77" s="261"/>
      <c r="AD77" s="250"/>
      <c r="AE77" s="261">
        <f t="shared" si="11"/>
        <v>-1.2</v>
      </c>
      <c r="AF77" s="261"/>
      <c r="AG77" s="252"/>
      <c r="AH77" s="261">
        <v>0.5</v>
      </c>
      <c r="AI77" s="514"/>
      <c r="AJ77" s="249"/>
      <c r="AK77" s="2993">
        <f t="shared" si="6"/>
        <v>-1.7</v>
      </c>
      <c r="AL77" s="1159"/>
      <c r="AM77" s="2749">
        <f>ROUND(IF(AH77=0,1,AK77/ABS(AH77)),3)</f>
        <v>-3.4</v>
      </c>
      <c r="AN77" s="1561"/>
    </row>
    <row r="78" spans="1:40" ht="15" customHeight="1">
      <c r="A78" s="352"/>
      <c r="B78" s="1784" t="s">
        <v>1231</v>
      </c>
      <c r="C78" s="223"/>
      <c r="D78" s="319">
        <v>8.1999999999999993</v>
      </c>
      <c r="E78" s="318"/>
      <c r="F78" s="1336"/>
      <c r="G78" s="318"/>
      <c r="H78" s="318"/>
      <c r="I78" s="318"/>
      <c r="J78" s="319"/>
      <c r="K78" s="318"/>
      <c r="L78" s="319"/>
      <c r="M78" s="261"/>
      <c r="N78" s="1190"/>
      <c r="O78" s="261"/>
      <c r="P78" s="1190"/>
      <c r="Q78" s="261"/>
      <c r="R78" s="2073"/>
      <c r="S78" s="261"/>
      <c r="T78" s="274"/>
      <c r="U78" s="261"/>
      <c r="V78" s="274"/>
      <c r="W78" s="261"/>
      <c r="X78" s="274"/>
      <c r="Y78" s="261"/>
      <c r="Z78" s="274"/>
      <c r="AA78" s="274"/>
      <c r="AB78" s="1190">
        <v>0</v>
      </c>
      <c r="AC78" s="261"/>
      <c r="AD78" s="250"/>
      <c r="AE78" s="261">
        <f t="shared" si="11"/>
        <v>8.1999999999999993</v>
      </c>
      <c r="AF78" s="261"/>
      <c r="AG78" s="252"/>
      <c r="AH78" s="261">
        <v>8.4</v>
      </c>
      <c r="AI78" s="514"/>
      <c r="AJ78" s="249"/>
      <c r="AK78" s="1159">
        <f t="shared" si="6"/>
        <v>-0.2</v>
      </c>
      <c r="AL78" s="1159"/>
      <c r="AM78" s="2732">
        <f>ROUND(IF(AH78=0,0,AK78/ABS(AH78)),3)</f>
        <v>-2.4E-2</v>
      </c>
      <c r="AN78" s="1561"/>
    </row>
    <row r="79" spans="1:40" ht="15" customHeight="1">
      <c r="A79" s="352"/>
      <c r="B79" s="1784" t="s">
        <v>1232</v>
      </c>
      <c r="C79" s="223"/>
      <c r="D79" s="319">
        <v>50.2</v>
      </c>
      <c r="E79" s="318"/>
      <c r="F79" s="319"/>
      <c r="G79" s="318"/>
      <c r="H79" s="318"/>
      <c r="I79" s="318"/>
      <c r="J79" s="319"/>
      <c r="K79" s="318"/>
      <c r="L79" s="319"/>
      <c r="M79" s="261"/>
      <c r="N79" s="1190"/>
      <c r="O79" s="261"/>
      <c r="P79" s="1190"/>
      <c r="Q79" s="261"/>
      <c r="R79" s="2073"/>
      <c r="S79" s="261"/>
      <c r="T79" s="274"/>
      <c r="U79" s="261"/>
      <c r="V79" s="274"/>
      <c r="W79" s="261"/>
      <c r="X79" s="1313"/>
      <c r="Y79" s="261"/>
      <c r="Z79" s="274"/>
      <c r="AA79" s="274"/>
      <c r="AB79" s="1190">
        <v>0</v>
      </c>
      <c r="AC79" s="261"/>
      <c r="AD79" s="250"/>
      <c r="AE79" s="261">
        <f t="shared" si="11"/>
        <v>50.2</v>
      </c>
      <c r="AF79" s="261"/>
      <c r="AG79" s="252"/>
      <c r="AH79" s="261">
        <v>6.4</v>
      </c>
      <c r="AI79" s="514"/>
      <c r="AJ79" s="249"/>
      <c r="AK79" s="1159">
        <f t="shared" si="6"/>
        <v>43.8</v>
      </c>
      <c r="AL79" s="1159"/>
      <c r="AM79" s="2749">
        <f>ROUND(IF(AH79=0,0,AK79/ABS(AH79)),3)</f>
        <v>6.8440000000000003</v>
      </c>
      <c r="AN79" s="1561"/>
    </row>
    <row r="80" spans="1:40" ht="15" customHeight="1">
      <c r="A80" s="352"/>
      <c r="B80" s="1784" t="s">
        <v>1204</v>
      </c>
      <c r="C80" s="223"/>
      <c r="D80" s="319">
        <v>0.7</v>
      </c>
      <c r="E80" s="318"/>
      <c r="F80" s="319"/>
      <c r="G80" s="318"/>
      <c r="H80" s="318"/>
      <c r="I80" s="318"/>
      <c r="J80" s="319"/>
      <c r="K80" s="318"/>
      <c r="L80" s="319"/>
      <c r="M80" s="261"/>
      <c r="N80" s="1190"/>
      <c r="O80" s="261"/>
      <c r="P80" s="1190"/>
      <c r="Q80" s="261"/>
      <c r="R80" s="2073"/>
      <c r="S80" s="261"/>
      <c r="T80" s="274"/>
      <c r="U80" s="261"/>
      <c r="V80" s="274"/>
      <c r="W80" s="261"/>
      <c r="X80" s="274"/>
      <c r="Y80" s="261"/>
      <c r="Z80" s="274"/>
      <c r="AA80" s="274"/>
      <c r="AB80" s="1190">
        <v>0</v>
      </c>
      <c r="AC80" s="261"/>
      <c r="AD80" s="250"/>
      <c r="AE80" s="261">
        <f t="shared" si="11"/>
        <v>0.7</v>
      </c>
      <c r="AF80" s="261"/>
      <c r="AG80" s="252"/>
      <c r="AH80" s="261">
        <v>0.9</v>
      </c>
      <c r="AI80" s="514"/>
      <c r="AJ80" s="249"/>
      <c r="AK80" s="1159">
        <f t="shared" si="6"/>
        <v>-0.2</v>
      </c>
      <c r="AL80" s="1159"/>
      <c r="AM80" s="2732">
        <f>ROUND(IF(AH80=0,0,AK80/ABS(AH80)),3)</f>
        <v>-0.222</v>
      </c>
      <c r="AN80" s="1561"/>
    </row>
    <row r="81" spans="1:40" ht="15" customHeight="1">
      <c r="A81" s="352"/>
      <c r="B81" s="1784" t="s">
        <v>1205</v>
      </c>
      <c r="C81" s="223"/>
      <c r="D81" s="319">
        <v>54.7</v>
      </c>
      <c r="E81" s="318"/>
      <c r="F81" s="319"/>
      <c r="G81" s="318"/>
      <c r="H81" s="318"/>
      <c r="I81" s="318"/>
      <c r="J81" s="319"/>
      <c r="K81" s="318"/>
      <c r="L81" s="319"/>
      <c r="M81" s="261"/>
      <c r="N81" s="1190"/>
      <c r="O81" s="261"/>
      <c r="P81" s="1190"/>
      <c r="Q81" s="261"/>
      <c r="R81" s="2073"/>
      <c r="S81" s="261"/>
      <c r="T81" s="274"/>
      <c r="U81" s="261"/>
      <c r="V81" s="274"/>
      <c r="W81" s="261"/>
      <c r="X81" s="274"/>
      <c r="Y81" s="261"/>
      <c r="Z81" s="274"/>
      <c r="AA81" s="274"/>
      <c r="AB81" s="1190">
        <v>0</v>
      </c>
      <c r="AC81" s="261"/>
      <c r="AD81" s="250"/>
      <c r="AE81" s="261">
        <f t="shared" si="11"/>
        <v>54.7</v>
      </c>
      <c r="AF81" s="261"/>
      <c r="AG81" s="252"/>
      <c r="AH81" s="261">
        <v>125.2</v>
      </c>
      <c r="AI81" s="514"/>
      <c r="AJ81" s="249"/>
      <c r="AK81" s="1159">
        <f t="shared" si="6"/>
        <v>-70.5</v>
      </c>
      <c r="AL81" s="1159"/>
      <c r="AM81" s="2732">
        <f>ROUND(IF(AH81=0,0,AK81/ABS(AH81)),3)</f>
        <v>-0.56299999999999994</v>
      </c>
      <c r="AN81" s="1561"/>
    </row>
    <row r="82" spans="1:40" ht="15" customHeight="1">
      <c r="A82" s="352"/>
      <c r="B82" s="588" t="s">
        <v>1357</v>
      </c>
      <c r="C82" s="223"/>
      <c r="D82" s="1269">
        <f>ROUND(SUM(D44:D81),1)</f>
        <v>1278.3</v>
      </c>
      <c r="E82" s="318"/>
      <c r="F82" s="1269">
        <f>ROUND(SUM(F44:F81),1)</f>
        <v>0</v>
      </c>
      <c r="G82" s="318"/>
      <c r="H82" s="1269">
        <f>ROUND(SUM(H44:H81),1)</f>
        <v>0</v>
      </c>
      <c r="I82" s="318"/>
      <c r="J82" s="1269">
        <f>ROUND(SUM(J44:J81),1)</f>
        <v>0</v>
      </c>
      <c r="K82" s="318"/>
      <c r="L82" s="1269">
        <f>ROUND(SUM(L44:L81),1)</f>
        <v>0</v>
      </c>
      <c r="M82" s="261"/>
      <c r="N82" s="1269">
        <f>ROUND(SUM(N44:N81),1)</f>
        <v>0</v>
      </c>
      <c r="O82" s="261"/>
      <c r="P82" s="1269">
        <f>ROUND(SUM(P44:P81),1)</f>
        <v>0</v>
      </c>
      <c r="Q82" s="261"/>
      <c r="R82" s="1269">
        <f>ROUND(SUM(R44:R81),1)</f>
        <v>0</v>
      </c>
      <c r="S82" s="261"/>
      <c r="T82" s="1269">
        <f>ROUND(SUM(T44:T81),1)</f>
        <v>0</v>
      </c>
      <c r="U82" s="261"/>
      <c r="V82" s="1269">
        <f>ROUND(SUM(V44:V81),1)</f>
        <v>0</v>
      </c>
      <c r="W82" s="261"/>
      <c r="X82" s="1269">
        <f>ROUND(SUM(X44:X81),1)</f>
        <v>0</v>
      </c>
      <c r="Y82" s="261"/>
      <c r="Z82" s="1269">
        <f>ROUND(SUM(Z44:Z81),1)</f>
        <v>0</v>
      </c>
      <c r="AA82" s="315"/>
      <c r="AB82" s="1269">
        <f>ROUND(SUM(AB44:AB81),1)</f>
        <v>0</v>
      </c>
      <c r="AC82" s="261"/>
      <c r="AD82" s="250"/>
      <c r="AE82" s="1269">
        <f>ROUND(SUM(AE44:AE81),1)</f>
        <v>1278.3</v>
      </c>
      <c r="AF82" s="261"/>
      <c r="AG82" s="252"/>
      <c r="AH82" s="1269">
        <f>ROUND(SUM(AH44:AH81),1)</f>
        <v>438.7</v>
      </c>
      <c r="AI82" s="514"/>
      <c r="AJ82" s="249"/>
      <c r="AK82" s="1269">
        <f>ROUND(SUM(AK44:AK81),1)</f>
        <v>839.6</v>
      </c>
      <c r="AL82" s="1159"/>
      <c r="AM82" s="2748">
        <f>ROUND(SUM(+AK82/AH82),3)</f>
        <v>1.9139999999999999</v>
      </c>
      <c r="AN82" s="1561"/>
    </row>
    <row r="83" spans="1:40" ht="15" customHeight="1">
      <c r="A83" s="352"/>
      <c r="B83" s="588"/>
      <c r="C83" s="223"/>
      <c r="D83" s="315"/>
      <c r="E83" s="318"/>
      <c r="F83" s="315"/>
      <c r="G83" s="318"/>
      <c r="H83" s="315"/>
      <c r="I83" s="318"/>
      <c r="J83" s="315"/>
      <c r="K83" s="318"/>
      <c r="L83" s="315"/>
      <c r="M83" s="261"/>
      <c r="N83" s="315"/>
      <c r="O83" s="261"/>
      <c r="P83" s="315"/>
      <c r="Q83" s="261"/>
      <c r="R83" s="315"/>
      <c r="S83" s="261"/>
      <c r="T83" s="315"/>
      <c r="U83" s="261"/>
      <c r="V83" s="315"/>
      <c r="W83" s="261"/>
      <c r="X83" s="315"/>
      <c r="Y83" s="261"/>
      <c r="Z83" s="315"/>
      <c r="AA83" s="315"/>
      <c r="AB83" s="315"/>
      <c r="AC83" s="261"/>
      <c r="AD83" s="250"/>
      <c r="AE83" s="315"/>
      <c r="AF83" s="261"/>
      <c r="AG83" s="252"/>
      <c r="AH83" s="315"/>
      <c r="AI83" s="514"/>
      <c r="AJ83" s="249"/>
      <c r="AK83" s="315"/>
      <c r="AL83" s="1159"/>
      <c r="AM83" s="2750"/>
      <c r="AN83" s="1561"/>
    </row>
    <row r="84" spans="1:40" ht="15" customHeight="1">
      <c r="A84" s="352"/>
      <c r="B84" s="519" t="s">
        <v>155</v>
      </c>
      <c r="C84" s="223"/>
      <c r="D84" s="686">
        <v>14.8</v>
      </c>
      <c r="E84" s="318"/>
      <c r="F84" s="686"/>
      <c r="G84" s="318"/>
      <c r="H84" s="686"/>
      <c r="I84" s="318"/>
      <c r="J84" s="686"/>
      <c r="K84" s="318"/>
      <c r="L84" s="1263"/>
      <c r="M84" s="261"/>
      <c r="N84" s="372"/>
      <c r="O84" s="261"/>
      <c r="P84" s="1190"/>
      <c r="Q84" s="261"/>
      <c r="R84" s="2073"/>
      <c r="S84" s="261"/>
      <c r="T84" s="274"/>
      <c r="U84" s="261"/>
      <c r="V84" s="274"/>
      <c r="W84" s="261"/>
      <c r="X84" s="274"/>
      <c r="Y84" s="261"/>
      <c r="Z84" s="372"/>
      <c r="AA84" s="372"/>
      <c r="AB84" s="1190">
        <v>0</v>
      </c>
      <c r="AC84" s="261"/>
      <c r="AD84" s="250"/>
      <c r="AE84" s="261">
        <f>ROUND(SUM(D84:AB84),1)</f>
        <v>14.8</v>
      </c>
      <c r="AF84" s="249"/>
      <c r="AG84" s="252"/>
      <c r="AH84" s="516">
        <v>0</v>
      </c>
      <c r="AI84" s="514"/>
      <c r="AJ84" s="249"/>
      <c r="AK84" s="1860">
        <f>ROUND(SUM(+AE84-AH84),1)</f>
        <v>14.8</v>
      </c>
      <c r="AL84" s="1159"/>
      <c r="AM84" s="2741">
        <f>ROUND(IF(AH84=0,1,AK84/ABS(AH84)),3)</f>
        <v>1</v>
      </c>
      <c r="AN84" s="1561"/>
    </row>
    <row r="85" spans="1:40" ht="15" customHeight="1">
      <c r="A85" s="352"/>
      <c r="B85" s="223"/>
      <c r="C85" s="223"/>
      <c r="D85" s="288"/>
      <c r="E85" s="261"/>
      <c r="F85" s="288"/>
      <c r="G85" s="261"/>
      <c r="H85" s="288"/>
      <c r="I85" s="261"/>
      <c r="J85" s="288"/>
      <c r="K85" s="261"/>
      <c r="L85" s="288"/>
      <c r="M85" s="261"/>
      <c r="N85" s="288"/>
      <c r="O85" s="261"/>
      <c r="P85" s="288"/>
      <c r="Q85" s="261"/>
      <c r="R85" s="288"/>
      <c r="S85" s="261"/>
      <c r="T85" s="288"/>
      <c r="U85" s="261"/>
      <c r="V85" s="288"/>
      <c r="W85" s="261"/>
      <c r="X85" s="288"/>
      <c r="Y85" s="261"/>
      <c r="Z85" s="288"/>
      <c r="AA85" s="249"/>
      <c r="AB85" s="288"/>
      <c r="AC85" s="261"/>
      <c r="AD85" s="250"/>
      <c r="AE85" s="288"/>
      <c r="AF85" s="249"/>
      <c r="AG85" s="252"/>
      <c r="AH85" s="288"/>
      <c r="AI85" s="514"/>
      <c r="AJ85" s="249"/>
      <c r="AK85" s="2676"/>
      <c r="AL85" s="1834"/>
      <c r="AM85" s="2751"/>
      <c r="AN85" s="1561"/>
    </row>
    <row r="86" spans="1:40" ht="15" customHeight="1">
      <c r="A86" s="352"/>
      <c r="B86" s="221" t="s">
        <v>156</v>
      </c>
      <c r="C86" s="223"/>
      <c r="D86" s="1838">
        <f>ROUND(SUM(D40+D82+D84),1)</f>
        <v>1669.7</v>
      </c>
      <c r="E86" s="1838"/>
      <c r="F86" s="1838">
        <f>ROUND(SUM(F40+F82+F84),1)</f>
        <v>0</v>
      </c>
      <c r="G86" s="1838"/>
      <c r="H86" s="1838">
        <f>ROUND(SUM(H40+H82+H84),1)</f>
        <v>0</v>
      </c>
      <c r="I86" s="1838"/>
      <c r="J86" s="1838">
        <f>ROUND(SUM(J40+J82+J84),1)</f>
        <v>0</v>
      </c>
      <c r="K86" s="1838"/>
      <c r="L86" s="1838">
        <f>ROUND(SUM(L40+L82+L84),1)</f>
        <v>0</v>
      </c>
      <c r="M86" s="1838"/>
      <c r="N86" s="1838">
        <f>ROUND(SUM(N40+N82+N84),1)</f>
        <v>0</v>
      </c>
      <c r="O86" s="1838"/>
      <c r="P86" s="1838">
        <f>ROUND(SUM(P40+P82+P84),1)</f>
        <v>0</v>
      </c>
      <c r="Q86" s="1838"/>
      <c r="R86" s="1838">
        <f>ROUND(SUM(R40+R82+R84),1)</f>
        <v>0</v>
      </c>
      <c r="S86" s="1838"/>
      <c r="T86" s="1838">
        <f>ROUND(SUM(T40+T82+T84),1)</f>
        <v>0</v>
      </c>
      <c r="U86" s="1838"/>
      <c r="V86" s="1838">
        <f>ROUND(SUM(V40+V82+V84),1)</f>
        <v>0</v>
      </c>
      <c r="W86" s="1838"/>
      <c r="X86" s="1838">
        <f>ROUND(SUM(X40+X82+X84),1)</f>
        <v>0</v>
      </c>
      <c r="Y86" s="1838"/>
      <c r="Z86" s="1838">
        <f>ROUND(SUM(Z40+Z82+Z84),1)</f>
        <v>0</v>
      </c>
      <c r="AA86" s="1838"/>
      <c r="AB86" s="1838">
        <f>ROUND(SUM(AB40+AB82+AB84),1)</f>
        <v>0</v>
      </c>
      <c r="AC86" s="1838"/>
      <c r="AD86" s="259"/>
      <c r="AE86" s="1838">
        <f>ROUND(SUM(AE40+AE82+AE84),1)</f>
        <v>1669.7</v>
      </c>
      <c r="AF86" s="273"/>
      <c r="AG86" s="743"/>
      <c r="AH86" s="1838">
        <f>ROUND(SUM(AH40+AH82+AH84),1)</f>
        <v>838.3</v>
      </c>
      <c r="AI86" s="521"/>
      <c r="AJ86" s="273"/>
      <c r="AK86" s="1692">
        <f>ROUND(SUM(AK40+AK82+AK84),1)</f>
        <v>831.4</v>
      </c>
      <c r="AL86" s="523"/>
      <c r="AM86" s="2736">
        <f>ROUND(SUM((AE86-AH86)/ABS(AH86)),3)</f>
        <v>0.99199999999999999</v>
      </c>
      <c r="AN86" s="1561"/>
    </row>
    <row r="87" spans="1:40" ht="15" customHeight="1">
      <c r="A87" s="352"/>
      <c r="B87" s="223"/>
      <c r="C87" s="223"/>
      <c r="D87" s="288"/>
      <c r="E87" s="261"/>
      <c r="F87" s="288"/>
      <c r="G87" s="261"/>
      <c r="H87" s="288"/>
      <c r="I87" s="261"/>
      <c r="J87" s="288"/>
      <c r="K87" s="261"/>
      <c r="L87" s="288"/>
      <c r="M87" s="261"/>
      <c r="N87" s="288"/>
      <c r="O87" s="261"/>
      <c r="P87" s="288"/>
      <c r="Q87" s="261"/>
      <c r="R87" s="288"/>
      <c r="S87" s="261"/>
      <c r="T87" s="288"/>
      <c r="U87" s="261"/>
      <c r="V87" s="288"/>
      <c r="W87" s="261"/>
      <c r="X87" s="288"/>
      <c r="Y87" s="261"/>
      <c r="Z87" s="288"/>
      <c r="AA87" s="249"/>
      <c r="AB87" s="288"/>
      <c r="AC87" s="261"/>
      <c r="AD87" s="250"/>
      <c r="AE87" s="288"/>
      <c r="AF87" s="249"/>
      <c r="AG87" s="252"/>
      <c r="AH87" s="288"/>
      <c r="AI87" s="514"/>
      <c r="AJ87" s="249"/>
      <c r="AK87" s="1159"/>
      <c r="AL87" s="1834"/>
      <c r="AM87" s="2732"/>
      <c r="AN87" s="1561"/>
    </row>
    <row r="88" spans="1:40" ht="15" customHeight="1">
      <c r="A88" s="352"/>
      <c r="B88" s="375" t="s">
        <v>24</v>
      </c>
      <c r="C88" s="223"/>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50"/>
      <c r="AE88" s="261"/>
      <c r="AF88" s="249"/>
      <c r="AG88" s="252"/>
      <c r="AH88" s="261"/>
      <c r="AI88" s="514"/>
      <c r="AJ88" s="249"/>
      <c r="AK88" s="1159"/>
      <c r="AL88" s="1834"/>
      <c r="AM88" s="2732"/>
      <c r="AN88" s="1561"/>
    </row>
    <row r="89" spans="1:40" ht="12.75" customHeight="1">
      <c r="A89" s="352"/>
      <c r="B89" s="1343" t="s">
        <v>157</v>
      </c>
      <c r="C89" s="223"/>
      <c r="D89" s="274"/>
      <c r="E89" s="261"/>
      <c r="F89" s="274"/>
      <c r="G89" s="261"/>
      <c r="H89" s="261"/>
      <c r="I89" s="261"/>
      <c r="J89" s="274"/>
      <c r="K89" s="261"/>
      <c r="L89" s="274"/>
      <c r="M89" s="261"/>
      <c r="N89" s="274"/>
      <c r="O89" s="261"/>
      <c r="P89" s="274"/>
      <c r="Q89" s="261"/>
      <c r="R89" s="274"/>
      <c r="S89" s="261"/>
      <c r="T89" s="274"/>
      <c r="U89" s="261"/>
      <c r="V89" s="261"/>
      <c r="W89" s="261"/>
      <c r="X89" s="274"/>
      <c r="Y89" s="261"/>
      <c r="Z89" s="261"/>
      <c r="AA89" s="261"/>
      <c r="AB89" s="261"/>
      <c r="AC89" s="261"/>
      <c r="AD89" s="250"/>
      <c r="AE89" s="372"/>
      <c r="AF89" s="261"/>
      <c r="AG89" s="252"/>
      <c r="AH89" s="372"/>
      <c r="AI89" s="514"/>
      <c r="AJ89" s="249"/>
      <c r="AK89" s="1159"/>
      <c r="AL89" s="1834"/>
      <c r="AM89" s="2752"/>
      <c r="AN89" s="1561"/>
    </row>
    <row r="90" spans="1:40" ht="15" customHeight="1">
      <c r="A90" s="352"/>
      <c r="B90" s="381" t="s">
        <v>26</v>
      </c>
      <c r="C90" s="223"/>
      <c r="D90" s="274">
        <v>1.4</v>
      </c>
      <c r="E90" s="261"/>
      <c r="F90" s="274"/>
      <c r="G90" s="261"/>
      <c r="H90" s="318"/>
      <c r="I90" s="261"/>
      <c r="J90" s="1313"/>
      <c r="K90" s="261"/>
      <c r="L90" s="2575"/>
      <c r="M90" s="261"/>
      <c r="N90" s="1190"/>
      <c r="O90" s="261"/>
      <c r="P90" s="1190"/>
      <c r="Q90" s="261"/>
      <c r="R90" s="2073"/>
      <c r="S90" s="261"/>
      <c r="T90" s="274"/>
      <c r="U90" s="261"/>
      <c r="V90" s="261"/>
      <c r="W90" s="261"/>
      <c r="X90" s="274"/>
      <c r="Y90" s="261"/>
      <c r="Z90" s="261"/>
      <c r="AA90" s="261"/>
      <c r="AB90" s="1190">
        <v>0</v>
      </c>
      <c r="AC90" s="261"/>
      <c r="AD90" s="250"/>
      <c r="AE90" s="261">
        <f>ROUND(SUM(D90:AB90),1)</f>
        <v>1.4</v>
      </c>
      <c r="AF90" s="261"/>
      <c r="AG90" s="252"/>
      <c r="AH90" s="1263">
        <v>0.1</v>
      </c>
      <c r="AI90" s="514"/>
      <c r="AJ90" s="249"/>
      <c r="AK90" s="1159">
        <f>ROUND(SUM(+AE90-AH90),1)</f>
        <v>1.3</v>
      </c>
      <c r="AL90" s="1159"/>
      <c r="AM90" s="2799">
        <f>ROUND(IF(AH90=0,1,AK90/ABS(AH90)),3)</f>
        <v>13</v>
      </c>
      <c r="AN90" s="1561"/>
    </row>
    <row r="91" spans="1:40" ht="15" customHeight="1">
      <c r="A91" s="352"/>
      <c r="B91" s="381" t="s">
        <v>27</v>
      </c>
      <c r="C91" s="223"/>
      <c r="D91" s="274">
        <v>0</v>
      </c>
      <c r="E91" s="261"/>
      <c r="F91" s="274"/>
      <c r="G91" s="261"/>
      <c r="H91" s="372"/>
      <c r="I91" s="261"/>
      <c r="J91" s="274"/>
      <c r="K91" s="261"/>
      <c r="L91" s="1239"/>
      <c r="M91" s="261"/>
      <c r="N91" s="1190"/>
      <c r="O91" s="261"/>
      <c r="P91" s="1190"/>
      <c r="Q91" s="261"/>
      <c r="R91" s="2073"/>
      <c r="S91" s="261"/>
      <c r="T91" s="372"/>
      <c r="U91" s="261"/>
      <c r="V91" s="261"/>
      <c r="W91" s="261"/>
      <c r="X91" s="274"/>
      <c r="Y91" s="261"/>
      <c r="Z91" s="261"/>
      <c r="AA91" s="261"/>
      <c r="AB91" s="1190">
        <v>0</v>
      </c>
      <c r="AC91" s="261"/>
      <c r="AD91" s="250"/>
      <c r="AE91" s="261">
        <f>ROUND(SUM(D91:AB91),1)</f>
        <v>0</v>
      </c>
      <c r="AF91" s="261"/>
      <c r="AG91" s="252"/>
      <c r="AH91" s="1263">
        <v>0</v>
      </c>
      <c r="AI91" s="514"/>
      <c r="AJ91" s="249"/>
      <c r="AK91" s="1159">
        <f>ROUND(SUM(+AE91-AH91),1)</f>
        <v>0</v>
      </c>
      <c r="AL91" s="1159"/>
      <c r="AM91" s="2732">
        <f>ROUND(IF(AH91=0,0,AK91/ABS(AH91)),3)</f>
        <v>0</v>
      </c>
      <c r="AN91" s="1561"/>
    </row>
    <row r="92" spans="1:40" ht="15" customHeight="1">
      <c r="A92" s="352"/>
      <c r="B92" s="381" t="s">
        <v>28</v>
      </c>
      <c r="C92" s="223"/>
      <c r="D92" s="274">
        <v>9.6999999999999993</v>
      </c>
      <c r="E92" s="261"/>
      <c r="F92" s="274"/>
      <c r="G92" s="261"/>
      <c r="H92" s="318"/>
      <c r="I92" s="261"/>
      <c r="J92" s="274"/>
      <c r="K92" s="261"/>
      <c r="L92" s="2575"/>
      <c r="M92" s="261"/>
      <c r="N92" s="1190"/>
      <c r="O92" s="261"/>
      <c r="P92" s="1190"/>
      <c r="Q92" s="261"/>
      <c r="R92" s="2073"/>
      <c r="S92" s="261"/>
      <c r="T92" s="274"/>
      <c r="U92" s="261"/>
      <c r="V92" s="261"/>
      <c r="W92" s="261"/>
      <c r="X92" s="274"/>
      <c r="Y92" s="261"/>
      <c r="Z92" s="261"/>
      <c r="AA92" s="261"/>
      <c r="AB92" s="1190">
        <v>0</v>
      </c>
      <c r="AC92" s="261"/>
      <c r="AD92" s="250"/>
      <c r="AE92" s="261">
        <f>ROUND(SUM(D92:AB92),1)</f>
        <v>9.6999999999999993</v>
      </c>
      <c r="AF92" s="261"/>
      <c r="AG92" s="252"/>
      <c r="AH92" s="1263">
        <v>11.9</v>
      </c>
      <c r="AI92" s="514"/>
      <c r="AJ92" s="249"/>
      <c r="AK92" s="1159">
        <f>ROUND(SUM(+AE92-AH92),1)</f>
        <v>-2.2000000000000002</v>
      </c>
      <c r="AL92" s="1159"/>
      <c r="AM92" s="2732">
        <f>ROUND(IF(AH92=0,0,AK92/ABS(AH92)),3)</f>
        <v>-0.185</v>
      </c>
      <c r="AN92" s="1561"/>
    </row>
    <row r="93" spans="1:40" ht="15" customHeight="1">
      <c r="A93" s="352"/>
      <c r="B93" s="381" t="s">
        <v>29</v>
      </c>
      <c r="C93" s="223"/>
      <c r="D93" s="274"/>
      <c r="E93" s="261"/>
      <c r="F93" s="274"/>
      <c r="G93" s="261"/>
      <c r="H93" s="318"/>
      <c r="I93" s="261"/>
      <c r="J93" s="274"/>
      <c r="K93" s="261"/>
      <c r="L93" s="2575"/>
      <c r="M93" s="261"/>
      <c r="N93" s="274"/>
      <c r="O93" s="261"/>
      <c r="P93" s="274"/>
      <c r="Q93" s="261"/>
      <c r="R93" s="274"/>
      <c r="S93" s="261"/>
      <c r="T93" s="274"/>
      <c r="U93" s="261"/>
      <c r="V93" s="261"/>
      <c r="W93" s="261"/>
      <c r="X93" s="274"/>
      <c r="Y93" s="261"/>
      <c r="Z93" s="261"/>
      <c r="AA93" s="261"/>
      <c r="AB93" s="261"/>
      <c r="AC93" s="261"/>
      <c r="AD93" s="250"/>
      <c r="AE93" s="261"/>
      <c r="AF93" s="261"/>
      <c r="AG93" s="252"/>
      <c r="AH93" s="318"/>
      <c r="AI93" s="514"/>
      <c r="AJ93" s="249"/>
      <c r="AK93" s="1159"/>
      <c r="AL93" s="1668"/>
      <c r="AM93" s="2732"/>
      <c r="AN93" s="1561"/>
    </row>
    <row r="94" spans="1:40" ht="15" customHeight="1">
      <c r="A94" s="352"/>
      <c r="B94" s="1675" t="s">
        <v>30</v>
      </c>
      <c r="C94" s="223"/>
      <c r="D94" s="274">
        <v>335.2</v>
      </c>
      <c r="E94" s="261"/>
      <c r="F94" s="274"/>
      <c r="G94" s="261"/>
      <c r="H94" s="318"/>
      <c r="I94" s="261"/>
      <c r="J94" s="274"/>
      <c r="K94" s="261"/>
      <c r="L94" s="2575"/>
      <c r="M94" s="261"/>
      <c r="N94" s="1190"/>
      <c r="O94" s="261"/>
      <c r="P94" s="1190"/>
      <c r="Q94" s="261"/>
      <c r="R94" s="2073"/>
      <c r="S94" s="261"/>
      <c r="T94" s="274"/>
      <c r="U94" s="261"/>
      <c r="V94" s="261"/>
      <c r="W94" s="261"/>
      <c r="X94" s="274"/>
      <c r="Y94" s="261"/>
      <c r="Z94" s="261"/>
      <c r="AA94" s="261"/>
      <c r="AB94" s="1190">
        <v>0</v>
      </c>
      <c r="AC94" s="261"/>
      <c r="AD94" s="250"/>
      <c r="AE94" s="261">
        <f t="shared" ref="AE94:AE99" si="13">ROUND(SUM(D94:AB94),1)</f>
        <v>335.2</v>
      </c>
      <c r="AF94" s="261"/>
      <c r="AG94" s="252"/>
      <c r="AH94" s="318">
        <v>408.9</v>
      </c>
      <c r="AI94" s="514"/>
      <c r="AJ94" s="249"/>
      <c r="AK94" s="1159">
        <f t="shared" ref="AK94:AK99" si="14">ROUND(SUM(+AE94-AH94),1)</f>
        <v>-73.7</v>
      </c>
      <c r="AL94" s="1159"/>
      <c r="AM94" s="2732">
        <f t="shared" ref="AM94:AM99" si="15">ROUND(IF(AH94=0,0,AK94/ABS(AH94)),3)</f>
        <v>-0.18</v>
      </c>
      <c r="AN94" s="1561"/>
    </row>
    <row r="95" spans="1:40" ht="15" customHeight="1">
      <c r="A95" s="352"/>
      <c r="B95" s="381" t="s">
        <v>31</v>
      </c>
      <c r="C95" s="223"/>
      <c r="D95" s="274">
        <v>149.80000000000001</v>
      </c>
      <c r="E95" s="261"/>
      <c r="F95" s="274"/>
      <c r="G95" s="261"/>
      <c r="H95" s="318"/>
      <c r="I95" s="261"/>
      <c r="J95" s="274"/>
      <c r="K95" s="261"/>
      <c r="L95" s="2575"/>
      <c r="M95" s="261"/>
      <c r="N95" s="1190"/>
      <c r="O95" s="261"/>
      <c r="P95" s="1190"/>
      <c r="Q95" s="261"/>
      <c r="R95" s="2073"/>
      <c r="S95" s="261"/>
      <c r="T95" s="274"/>
      <c r="U95" s="261"/>
      <c r="V95" s="261"/>
      <c r="W95" s="261"/>
      <c r="X95" s="274"/>
      <c r="Y95" s="261"/>
      <c r="Z95" s="261"/>
      <c r="AA95" s="261"/>
      <c r="AB95" s="1190">
        <v>0</v>
      </c>
      <c r="AC95" s="261"/>
      <c r="AD95" s="250"/>
      <c r="AE95" s="261">
        <f t="shared" si="13"/>
        <v>149.80000000000001</v>
      </c>
      <c r="AF95" s="261"/>
      <c r="AG95" s="252"/>
      <c r="AH95" s="318">
        <v>85.8</v>
      </c>
      <c r="AI95" s="514"/>
      <c r="AJ95" s="249"/>
      <c r="AK95" s="1159">
        <f t="shared" si="14"/>
        <v>64</v>
      </c>
      <c r="AL95" s="1159"/>
      <c r="AM95" s="2732">
        <f t="shared" si="15"/>
        <v>0.746</v>
      </c>
      <c r="AN95" s="1561"/>
    </row>
    <row r="96" spans="1:40" ht="15" customHeight="1">
      <c r="A96" s="352"/>
      <c r="B96" s="381" t="s">
        <v>32</v>
      </c>
      <c r="C96" s="223"/>
      <c r="D96" s="274">
        <v>11.8</v>
      </c>
      <c r="E96" s="261"/>
      <c r="F96" s="274"/>
      <c r="G96" s="261"/>
      <c r="H96" s="318"/>
      <c r="I96" s="261"/>
      <c r="J96" s="261"/>
      <c r="K96" s="261"/>
      <c r="L96" s="2575"/>
      <c r="M96" s="261"/>
      <c r="N96" s="1190"/>
      <c r="O96" s="261"/>
      <c r="P96" s="1190"/>
      <c r="Q96" s="261"/>
      <c r="R96" s="2073"/>
      <c r="S96" s="261"/>
      <c r="T96" s="274"/>
      <c r="U96" s="261"/>
      <c r="V96" s="261"/>
      <c r="W96" s="261"/>
      <c r="X96" s="274"/>
      <c r="Y96" s="261"/>
      <c r="Z96" s="261"/>
      <c r="AA96" s="261"/>
      <c r="AB96" s="1190">
        <v>0</v>
      </c>
      <c r="AC96" s="261"/>
      <c r="AD96" s="250"/>
      <c r="AE96" s="261">
        <f t="shared" si="13"/>
        <v>11.8</v>
      </c>
      <c r="AF96" s="261"/>
      <c r="AG96" s="252"/>
      <c r="AH96" s="318">
        <v>10.199999999999999</v>
      </c>
      <c r="AI96" s="514"/>
      <c r="AJ96" s="249"/>
      <c r="AK96" s="1159">
        <f t="shared" si="14"/>
        <v>1.6</v>
      </c>
      <c r="AL96" s="1159"/>
      <c r="AM96" s="2732">
        <f t="shared" si="15"/>
        <v>0.157</v>
      </c>
      <c r="AN96" s="1561"/>
    </row>
    <row r="97" spans="1:40" ht="15" customHeight="1">
      <c r="A97" s="352"/>
      <c r="B97" s="381" t="s">
        <v>33</v>
      </c>
      <c r="C97" s="223"/>
      <c r="D97" s="274">
        <v>0.4</v>
      </c>
      <c r="E97" s="261"/>
      <c r="F97" s="274"/>
      <c r="G97" s="261"/>
      <c r="H97" s="318"/>
      <c r="I97" s="261"/>
      <c r="J97" s="261"/>
      <c r="K97" s="261"/>
      <c r="L97" s="1239"/>
      <c r="M97" s="261"/>
      <c r="N97" s="1190"/>
      <c r="O97" s="261"/>
      <c r="P97" s="1190"/>
      <c r="Q97" s="261"/>
      <c r="R97" s="2073"/>
      <c r="S97" s="261"/>
      <c r="T97" s="274"/>
      <c r="U97" s="261"/>
      <c r="V97" s="261"/>
      <c r="W97" s="261"/>
      <c r="X97" s="274"/>
      <c r="Y97" s="261"/>
      <c r="Z97" s="261"/>
      <c r="AA97" s="261"/>
      <c r="AB97" s="1190">
        <v>0</v>
      </c>
      <c r="AC97" s="261"/>
      <c r="AD97" s="250"/>
      <c r="AE97" s="261">
        <f t="shared" si="13"/>
        <v>0.4</v>
      </c>
      <c r="AF97" s="261"/>
      <c r="AG97" s="252"/>
      <c r="AH97" s="318">
        <v>0.5</v>
      </c>
      <c r="AI97" s="514"/>
      <c r="AJ97" s="249"/>
      <c r="AK97" s="1159">
        <f t="shared" si="14"/>
        <v>-0.1</v>
      </c>
      <c r="AL97" s="1159"/>
      <c r="AM97" s="2732">
        <f t="shared" si="15"/>
        <v>-0.2</v>
      </c>
      <c r="AN97" s="1561"/>
    </row>
    <row r="98" spans="1:40" ht="15" customHeight="1">
      <c r="A98" s="352"/>
      <c r="B98" s="381" t="s">
        <v>34</v>
      </c>
      <c r="C98" s="223"/>
      <c r="D98" s="274">
        <v>0.1</v>
      </c>
      <c r="E98" s="261"/>
      <c r="F98" s="274"/>
      <c r="G98" s="261"/>
      <c r="H98" s="318"/>
      <c r="I98" s="261"/>
      <c r="J98" s="516"/>
      <c r="K98" s="261"/>
      <c r="L98" s="2575"/>
      <c r="M98" s="266"/>
      <c r="N98" s="1190"/>
      <c r="O98" s="261"/>
      <c r="P98" s="1190"/>
      <c r="Q98" s="261"/>
      <c r="R98" s="2073"/>
      <c r="S98" s="261"/>
      <c r="T98" s="274"/>
      <c r="U98" s="261"/>
      <c r="V98" s="261"/>
      <c r="W98" s="372"/>
      <c r="X98" s="274"/>
      <c r="Y98" s="261"/>
      <c r="Z98" s="261"/>
      <c r="AA98" s="261"/>
      <c r="AB98" s="1190">
        <v>0</v>
      </c>
      <c r="AC98" s="261"/>
      <c r="AD98" s="250"/>
      <c r="AE98" s="261">
        <f t="shared" si="13"/>
        <v>0.1</v>
      </c>
      <c r="AF98" s="261"/>
      <c r="AG98" s="252"/>
      <c r="AH98" s="1263">
        <v>2.2999999999999998</v>
      </c>
      <c r="AI98" s="514"/>
      <c r="AJ98" s="249"/>
      <c r="AK98" s="1159">
        <f t="shared" si="14"/>
        <v>-2.2000000000000002</v>
      </c>
      <c r="AL98" s="1159"/>
      <c r="AM98" s="2732">
        <f t="shared" si="15"/>
        <v>-0.95699999999999996</v>
      </c>
      <c r="AN98" s="1561"/>
    </row>
    <row r="99" spans="1:40" ht="15" customHeight="1">
      <c r="A99" s="352"/>
      <c r="B99" s="381" t="s">
        <v>35</v>
      </c>
      <c r="C99" s="223"/>
      <c r="D99" s="274">
        <v>192.1</v>
      </c>
      <c r="E99" s="261"/>
      <c r="F99" s="274"/>
      <c r="G99" s="261"/>
      <c r="H99" s="318"/>
      <c r="I99" s="261"/>
      <c r="J99" s="274"/>
      <c r="K99" s="261"/>
      <c r="L99" s="2575"/>
      <c r="M99" s="261"/>
      <c r="N99" s="1190"/>
      <c r="O99" s="261"/>
      <c r="P99" s="1190"/>
      <c r="Q99" s="261"/>
      <c r="R99" s="2073"/>
      <c r="S99" s="261"/>
      <c r="T99" s="274"/>
      <c r="U99" s="261"/>
      <c r="V99" s="261"/>
      <c r="W99" s="261"/>
      <c r="X99" s="274"/>
      <c r="Y99" s="261"/>
      <c r="Z99" s="261"/>
      <c r="AA99" s="261"/>
      <c r="AB99" s="1190">
        <v>0</v>
      </c>
      <c r="AC99" s="261"/>
      <c r="AD99" s="250"/>
      <c r="AE99" s="261">
        <f t="shared" si="13"/>
        <v>192.1</v>
      </c>
      <c r="AF99" s="249"/>
      <c r="AG99" s="252"/>
      <c r="AH99" s="525">
        <v>125.3</v>
      </c>
      <c r="AI99" s="514"/>
      <c r="AJ99" s="249"/>
      <c r="AK99" s="1159">
        <f t="shared" si="14"/>
        <v>66.8</v>
      </c>
      <c r="AL99" s="1159"/>
      <c r="AM99" s="2732">
        <f t="shared" si="15"/>
        <v>0.53300000000000003</v>
      </c>
      <c r="AN99" s="1561"/>
    </row>
    <row r="100" spans="1:40" ht="15" customHeight="1">
      <c r="A100" s="352"/>
      <c r="B100" s="221" t="s">
        <v>1358</v>
      </c>
      <c r="C100" s="223"/>
      <c r="D100" s="544">
        <f>ROUND(SUM(D90:D99),1)</f>
        <v>700.5</v>
      </c>
      <c r="E100" s="1838"/>
      <c r="F100" s="544">
        <f>ROUND(SUM(F90:F99),1)</f>
        <v>0</v>
      </c>
      <c r="G100" s="1838"/>
      <c r="H100" s="544">
        <f>ROUND(SUM(H90:H99),1)</f>
        <v>0</v>
      </c>
      <c r="I100" s="1838"/>
      <c r="J100" s="544">
        <f>ROUND(SUM(J90:J99),1)</f>
        <v>0</v>
      </c>
      <c r="K100" s="1838"/>
      <c r="L100" s="544">
        <f>ROUND(SUM(L90:L99),1)</f>
        <v>0</v>
      </c>
      <c r="M100" s="1838"/>
      <c r="N100" s="544">
        <f>ROUND(SUM(N90:N99),1)</f>
        <v>0</v>
      </c>
      <c r="O100" s="1838"/>
      <c r="P100" s="544">
        <f>ROUND(SUM(P90:P99),1)</f>
        <v>0</v>
      </c>
      <c r="Q100" s="1838"/>
      <c r="R100" s="544">
        <f>ROUND(SUM(R90:R99),1)</f>
        <v>0</v>
      </c>
      <c r="S100" s="1838"/>
      <c r="T100" s="544">
        <f>ROUND(SUM(T90:T99),1)</f>
        <v>0</v>
      </c>
      <c r="U100" s="1838"/>
      <c r="V100" s="544">
        <f>ROUND(SUM(V90:V99),1)</f>
        <v>0</v>
      </c>
      <c r="W100" s="1838"/>
      <c r="X100" s="544">
        <f>ROUND(SUM(X90:X99),1)</f>
        <v>0</v>
      </c>
      <c r="Y100" s="1838"/>
      <c r="Z100" s="544">
        <f>ROUND(SUM(Z90:Z99),1)</f>
        <v>0</v>
      </c>
      <c r="AA100" s="273"/>
      <c r="AB100" s="544">
        <f>ROUND(SUM(AB90:AB99),1)</f>
        <v>0</v>
      </c>
      <c r="AC100" s="1838"/>
      <c r="AD100" s="259"/>
      <c r="AE100" s="256">
        <f>ROUND(SUM(AE90:AE99),1)</f>
        <v>700.5</v>
      </c>
      <c r="AF100" s="273"/>
      <c r="AG100" s="743"/>
      <c r="AH100" s="526">
        <f>ROUND(SUM(AH90:AH99),1)</f>
        <v>645</v>
      </c>
      <c r="AI100" s="521"/>
      <c r="AJ100" s="273"/>
      <c r="AK100" s="256">
        <f>ROUND(SUM(AE100-AH100),1)</f>
        <v>55.5</v>
      </c>
      <c r="AL100" s="368"/>
      <c r="AM100" s="2735">
        <f>ROUND(SUM((AE100-AH100)/ABS(AH100)),3)</f>
        <v>8.5999999999999993E-2</v>
      </c>
      <c r="AN100" s="1561"/>
    </row>
    <row r="101" spans="1:40" ht="15" customHeight="1">
      <c r="A101" s="352"/>
      <c r="B101" s="223" t="s">
        <v>176</v>
      </c>
      <c r="C101" s="223"/>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50"/>
      <c r="AE101" s="261"/>
      <c r="AF101" s="261"/>
      <c r="AG101" s="252"/>
      <c r="AH101" s="318"/>
      <c r="AI101" s="514"/>
      <c r="AJ101" s="249"/>
      <c r="AK101" s="1159"/>
      <c r="AL101" s="1834"/>
      <c r="AM101" s="2732"/>
      <c r="AN101" s="1561"/>
    </row>
    <row r="102" spans="1:40" ht="15" customHeight="1">
      <c r="A102" s="352"/>
      <c r="B102" s="223" t="s">
        <v>159</v>
      </c>
      <c r="C102" s="223"/>
      <c r="D102" s="274">
        <v>551.1</v>
      </c>
      <c r="E102" s="261"/>
      <c r="F102" s="274"/>
      <c r="G102" s="261"/>
      <c r="H102" s="261"/>
      <c r="I102" s="261"/>
      <c r="J102" s="274"/>
      <c r="K102" s="261"/>
      <c r="L102" s="2575"/>
      <c r="M102" s="261"/>
      <c r="N102" s="1190"/>
      <c r="O102" s="261"/>
      <c r="P102" s="1190"/>
      <c r="Q102" s="261"/>
      <c r="R102" s="2073"/>
      <c r="S102" s="261"/>
      <c r="T102" s="274"/>
      <c r="U102" s="261"/>
      <c r="V102" s="261"/>
      <c r="W102" s="261"/>
      <c r="X102" s="274"/>
      <c r="Y102" s="261"/>
      <c r="Z102" s="261"/>
      <c r="AA102" s="261"/>
      <c r="AB102" s="1190">
        <v>0</v>
      </c>
      <c r="AC102" s="261"/>
      <c r="AD102" s="250"/>
      <c r="AE102" s="261">
        <f>ROUND(SUM(D102:AB102),1)</f>
        <v>551.1</v>
      </c>
      <c r="AF102" s="2079"/>
      <c r="AG102" s="252"/>
      <c r="AH102" s="261">
        <v>632.70000000000005</v>
      </c>
      <c r="AI102" s="514"/>
      <c r="AJ102" s="249"/>
      <c r="AK102" s="1159">
        <f>ROUND(SUM(+AE102-AH102),1)</f>
        <v>-81.599999999999994</v>
      </c>
      <c r="AL102" s="1159"/>
      <c r="AM102" s="2732">
        <f>ROUND(IF(AH102=0,0,AK102/ABS(AH102)),3)</f>
        <v>-0.129</v>
      </c>
      <c r="AN102" s="1561"/>
    </row>
    <row r="103" spans="1:40" ht="15" customHeight="1">
      <c r="A103" s="352"/>
      <c r="B103" s="223" t="s">
        <v>177</v>
      </c>
      <c r="C103" s="223"/>
      <c r="D103" s="274">
        <v>214.5</v>
      </c>
      <c r="E103" s="261"/>
      <c r="F103" s="274"/>
      <c r="G103" s="261"/>
      <c r="H103" s="261"/>
      <c r="I103" s="261"/>
      <c r="J103" s="274"/>
      <c r="K103" s="261"/>
      <c r="L103" s="2575"/>
      <c r="M103" s="261"/>
      <c r="N103" s="1190"/>
      <c r="O103" s="261"/>
      <c r="P103" s="1190"/>
      <c r="Q103" s="261"/>
      <c r="R103" s="2073"/>
      <c r="S103" s="261"/>
      <c r="T103" s="274"/>
      <c r="U103" s="261"/>
      <c r="V103" s="261"/>
      <c r="W103" s="261"/>
      <c r="X103" s="274"/>
      <c r="Y103" s="261"/>
      <c r="Z103" s="261"/>
      <c r="AA103" s="261"/>
      <c r="AB103" s="1190">
        <v>0</v>
      </c>
      <c r="AC103" s="261"/>
      <c r="AD103" s="250"/>
      <c r="AE103" s="261">
        <f>ROUND(SUM(D103:AB103),1)</f>
        <v>214.5</v>
      </c>
      <c r="AF103" s="2079"/>
      <c r="AG103" s="252"/>
      <c r="AH103" s="261">
        <v>223.1</v>
      </c>
      <c r="AI103" s="514"/>
      <c r="AJ103" s="249"/>
      <c r="AK103" s="1159">
        <f>ROUND(SUM(+AE103-AH103),1)</f>
        <v>-8.6</v>
      </c>
      <c r="AL103" s="1159"/>
      <c r="AM103" s="2732">
        <f>ROUND(IF(AH103=0,0,AK103/ABS(AH103)),3)</f>
        <v>-3.9E-2</v>
      </c>
      <c r="AN103" s="1561"/>
    </row>
    <row r="104" spans="1:40" ht="15" customHeight="1">
      <c r="A104" s="352"/>
      <c r="B104" s="223" t="s">
        <v>178</v>
      </c>
      <c r="C104" s="223"/>
      <c r="D104" s="274">
        <v>179</v>
      </c>
      <c r="E104" s="261"/>
      <c r="F104" s="274"/>
      <c r="G104" s="261"/>
      <c r="H104" s="261"/>
      <c r="I104" s="261"/>
      <c r="J104" s="274"/>
      <c r="K104" s="261"/>
      <c r="L104" s="2575"/>
      <c r="M104" s="261"/>
      <c r="N104" s="1190"/>
      <c r="O104" s="261"/>
      <c r="P104" s="1190"/>
      <c r="Q104" s="261"/>
      <c r="R104" s="2073"/>
      <c r="S104" s="261"/>
      <c r="T104" s="274"/>
      <c r="U104" s="261"/>
      <c r="V104" s="261"/>
      <c r="W104" s="261"/>
      <c r="X104" s="274"/>
      <c r="Y104" s="261"/>
      <c r="Z104" s="261"/>
      <c r="AA104" s="261"/>
      <c r="AB104" s="1190">
        <v>0</v>
      </c>
      <c r="AC104" s="261"/>
      <c r="AD104" s="250"/>
      <c r="AE104" s="261">
        <f>ROUND(SUM(D104:AB104),1)</f>
        <v>179</v>
      </c>
      <c r="AF104" s="2079"/>
      <c r="AG104" s="252"/>
      <c r="AH104" s="261">
        <v>38.1</v>
      </c>
      <c r="AI104" s="514"/>
      <c r="AJ104" s="249"/>
      <c r="AK104" s="1159">
        <f>ROUND(SUM(+AE104-AH104),1)</f>
        <v>140.9</v>
      </c>
      <c r="AL104" s="1159"/>
      <c r="AM104" s="2732">
        <f>ROUND(IF(AH104=0,0,AK104/ABS(AH104)),3)</f>
        <v>3.698</v>
      </c>
      <c r="AN104" s="1561"/>
    </row>
    <row r="105" spans="1:40" ht="15" customHeight="1">
      <c r="A105" s="352"/>
      <c r="B105" s="223" t="s">
        <v>179</v>
      </c>
      <c r="C105" s="223"/>
      <c r="D105" s="274">
        <v>0.1</v>
      </c>
      <c r="E105" s="261"/>
      <c r="F105" s="274"/>
      <c r="G105" s="261"/>
      <c r="H105" s="261"/>
      <c r="I105" s="261"/>
      <c r="J105" s="274"/>
      <c r="K105" s="261"/>
      <c r="L105" s="2575"/>
      <c r="M105" s="261"/>
      <c r="N105" s="1190"/>
      <c r="O105" s="261"/>
      <c r="P105" s="1190"/>
      <c r="Q105" s="261"/>
      <c r="R105" s="2073"/>
      <c r="S105" s="261"/>
      <c r="T105" s="274"/>
      <c r="U105" s="261"/>
      <c r="V105" s="261"/>
      <c r="W105" s="261"/>
      <c r="X105" s="274"/>
      <c r="Y105" s="261"/>
      <c r="Z105" s="261"/>
      <c r="AA105" s="261"/>
      <c r="AB105" s="1190">
        <v>0</v>
      </c>
      <c r="AC105" s="261"/>
      <c r="AD105" s="250"/>
      <c r="AE105" s="261">
        <f>ROUND(SUM(D105:AB105),1)</f>
        <v>0.1</v>
      </c>
      <c r="AF105" s="264"/>
      <c r="AG105" s="252"/>
      <c r="AH105" s="515">
        <v>0</v>
      </c>
      <c r="AI105" s="514"/>
      <c r="AJ105" s="249"/>
      <c r="AK105" s="1159">
        <f>ROUND(SUM(+AE105-AH105),1)</f>
        <v>0.1</v>
      </c>
      <c r="AL105" s="1159"/>
      <c r="AM105" s="2741">
        <f>ROUND(IF(AH105=0,1,AK105/ABS(AH105)),3)</f>
        <v>1</v>
      </c>
      <c r="AN105" s="1561"/>
    </row>
    <row r="106" spans="1:40" ht="15" customHeight="1">
      <c r="A106" s="352"/>
      <c r="B106" s="223"/>
      <c r="C106" s="223"/>
      <c r="D106" s="288"/>
      <c r="E106" s="261"/>
      <c r="F106" s="288"/>
      <c r="G106" s="261"/>
      <c r="H106" s="288"/>
      <c r="I106" s="261"/>
      <c r="J106" s="288"/>
      <c r="K106" s="261"/>
      <c r="L106" s="288"/>
      <c r="M106" s="261"/>
      <c r="N106" s="288"/>
      <c r="O106" s="261"/>
      <c r="P106" s="288"/>
      <c r="Q106" s="261"/>
      <c r="R106" s="288"/>
      <c r="S106" s="261"/>
      <c r="T106" s="288"/>
      <c r="U106" s="261"/>
      <c r="V106" s="288"/>
      <c r="W106" s="261"/>
      <c r="X106" s="288"/>
      <c r="Y106" s="261"/>
      <c r="Z106" s="288"/>
      <c r="AA106" s="249"/>
      <c r="AB106" s="288"/>
      <c r="AC106" s="261"/>
      <c r="AD106" s="250"/>
      <c r="AE106" s="288"/>
      <c r="AF106" s="249"/>
      <c r="AG106" s="252"/>
      <c r="AH106" s="288"/>
      <c r="AI106" s="514"/>
      <c r="AJ106" s="249"/>
      <c r="AK106" s="2676"/>
      <c r="AL106" s="1834"/>
      <c r="AM106" s="2751"/>
      <c r="AN106" s="1561"/>
    </row>
    <row r="107" spans="1:40" ht="15" customHeight="1">
      <c r="A107" s="352"/>
      <c r="B107" s="221" t="s">
        <v>162</v>
      </c>
      <c r="C107" s="223"/>
      <c r="D107" s="1838">
        <f>ROUND(SUM(D100:D105),1)</f>
        <v>1645.2</v>
      </c>
      <c r="E107" s="1838"/>
      <c r="F107" s="1838">
        <f>ROUND(SUM(F100:F105),1)</f>
        <v>0</v>
      </c>
      <c r="G107" s="1838"/>
      <c r="H107" s="1838">
        <f>ROUND(SUM(H100:H105),1)</f>
        <v>0</v>
      </c>
      <c r="I107" s="1838"/>
      <c r="J107" s="1838">
        <f>ROUND(SUM(J100:J105),1)</f>
        <v>0</v>
      </c>
      <c r="K107" s="1838"/>
      <c r="L107" s="1838">
        <f>ROUND(SUM(L100:L105),1)</f>
        <v>0</v>
      </c>
      <c r="M107" s="1838"/>
      <c r="N107" s="1838">
        <f>ROUND(SUM(N100:N105),1)</f>
        <v>0</v>
      </c>
      <c r="O107" s="1838"/>
      <c r="P107" s="1838">
        <f>ROUND(SUM(P100:P105),1)</f>
        <v>0</v>
      </c>
      <c r="Q107" s="1838"/>
      <c r="R107" s="1838">
        <f>ROUND(SUM(R100:R105),1)</f>
        <v>0</v>
      </c>
      <c r="S107" s="1838"/>
      <c r="T107" s="1838">
        <f>ROUND(SUM(T100:T105),1)</f>
        <v>0</v>
      </c>
      <c r="U107" s="1838"/>
      <c r="V107" s="1838">
        <f>ROUND(SUM(V100:V105),1)</f>
        <v>0</v>
      </c>
      <c r="W107" s="1838"/>
      <c r="X107" s="1838">
        <f>ROUND(SUM(X100:X105),1)</f>
        <v>0</v>
      </c>
      <c r="Y107" s="1838"/>
      <c r="Z107" s="1838">
        <f>ROUND(SUM(Z100:Z105),1)</f>
        <v>0</v>
      </c>
      <c r="AA107" s="1838"/>
      <c r="AB107" s="1838">
        <f>ROUND(SUM(AB100:AB105),1)</f>
        <v>0</v>
      </c>
      <c r="AC107" s="1838"/>
      <c r="AD107" s="259"/>
      <c r="AE107" s="1838">
        <f>ROUND(SUM(AE100:AE105),1)</f>
        <v>1645.2</v>
      </c>
      <c r="AF107" s="273"/>
      <c r="AG107" s="743"/>
      <c r="AH107" s="1838">
        <f>ROUND(SUM(AH100:AH105),1)</f>
        <v>1538.9</v>
      </c>
      <c r="AI107" s="521"/>
      <c r="AJ107" s="273"/>
      <c r="AK107" s="271">
        <f>ROUND(SUM(AE107-AH107),1)</f>
        <v>106.3</v>
      </c>
      <c r="AL107" s="413"/>
      <c r="AM107" s="2736">
        <f>ROUND(SUM((AE107-AH107)/ABS(AH107)),3)</f>
        <v>6.9000000000000006E-2</v>
      </c>
      <c r="AN107" s="1561"/>
    </row>
    <row r="108" spans="1:40" ht="15" customHeight="1">
      <c r="A108" s="352"/>
      <c r="B108" s="223"/>
      <c r="C108" s="223"/>
      <c r="D108" s="288"/>
      <c r="E108" s="261"/>
      <c r="F108" s="288"/>
      <c r="G108" s="261"/>
      <c r="H108" s="288"/>
      <c r="I108" s="261"/>
      <c r="J108" s="288"/>
      <c r="K108" s="261"/>
      <c r="L108" s="288"/>
      <c r="M108" s="261"/>
      <c r="N108" s="288"/>
      <c r="O108" s="261"/>
      <c r="P108" s="288"/>
      <c r="Q108" s="261"/>
      <c r="R108" s="288"/>
      <c r="S108" s="261"/>
      <c r="T108" s="288"/>
      <c r="U108" s="261"/>
      <c r="V108" s="288"/>
      <c r="W108" s="261"/>
      <c r="X108" s="288"/>
      <c r="Y108" s="261"/>
      <c r="Z108" s="288"/>
      <c r="AA108" s="249"/>
      <c r="AB108" s="288"/>
      <c r="AC108" s="261"/>
      <c r="AD108" s="250"/>
      <c r="AE108" s="288"/>
      <c r="AF108" s="249"/>
      <c r="AG108" s="252"/>
      <c r="AH108" s="288"/>
      <c r="AI108" s="514"/>
      <c r="AJ108" s="249"/>
      <c r="AK108" s="1159"/>
      <c r="AL108" s="1834"/>
      <c r="AM108" s="2732"/>
      <c r="AN108" s="1561"/>
    </row>
    <row r="109" spans="1:40" ht="15" customHeight="1">
      <c r="A109" s="352"/>
      <c r="B109" s="221" t="s">
        <v>163</v>
      </c>
      <c r="C109" s="223"/>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50"/>
      <c r="AE109" s="261"/>
      <c r="AF109" s="249"/>
      <c r="AG109" s="252"/>
      <c r="AH109" s="261"/>
      <c r="AI109" s="514"/>
      <c r="AJ109" s="249"/>
      <c r="AK109" s="1860"/>
      <c r="AL109" s="1834"/>
      <c r="AM109" s="2732"/>
      <c r="AN109" s="1561"/>
    </row>
    <row r="110" spans="1:40" ht="15" customHeight="1">
      <c r="A110" s="352"/>
      <c r="B110" s="221" t="s">
        <v>46</v>
      </c>
      <c r="C110" s="223"/>
      <c r="D110" s="1838">
        <f>ROUND(SUM(D86-D107),1)</f>
        <v>24.5</v>
      </c>
      <c r="E110" s="1838"/>
      <c r="F110" s="1838">
        <f>ROUND(SUM(F86-F107),1)</f>
        <v>0</v>
      </c>
      <c r="G110" s="1838"/>
      <c r="H110" s="1838">
        <f>ROUND(SUM(H86-H107),1)</f>
        <v>0</v>
      </c>
      <c r="I110" s="1838"/>
      <c r="J110" s="1838">
        <f>ROUND(SUM(J86-J107),1)</f>
        <v>0</v>
      </c>
      <c r="K110" s="1838"/>
      <c r="L110" s="1838">
        <f>ROUND(SUM(L86-L107),1)</f>
        <v>0</v>
      </c>
      <c r="M110" s="1838"/>
      <c r="N110" s="1838">
        <f>ROUND(SUM(N86-N107),1)</f>
        <v>0</v>
      </c>
      <c r="O110" s="1838"/>
      <c r="P110" s="1838">
        <f>ROUND(SUM(P86-P107),1)</f>
        <v>0</v>
      </c>
      <c r="Q110" s="1838"/>
      <c r="R110" s="1838">
        <f>ROUND(SUM(R86-R107),1)</f>
        <v>0</v>
      </c>
      <c r="S110" s="1838"/>
      <c r="T110" s="1838">
        <f>ROUND(SUM(T86-T107),1)</f>
        <v>0</v>
      </c>
      <c r="U110" s="1838"/>
      <c r="V110" s="1838">
        <f>ROUND(SUM(V86-V107),1)</f>
        <v>0</v>
      </c>
      <c r="W110" s="1838"/>
      <c r="X110" s="1838">
        <f>ROUND(SUM(X86-X107),1)</f>
        <v>0</v>
      </c>
      <c r="Y110" s="1838"/>
      <c r="Z110" s="1838">
        <f>ROUND(SUM(Z86-Z107),1)</f>
        <v>0</v>
      </c>
      <c r="AA110" s="1838"/>
      <c r="AB110" s="1838">
        <f>ROUND(SUM(AB86-AB107),1)</f>
        <v>0</v>
      </c>
      <c r="AC110" s="1838"/>
      <c r="AD110" s="259"/>
      <c r="AE110" s="1838">
        <f>ROUND(SUM(AE86-AE107),1)</f>
        <v>24.5</v>
      </c>
      <c r="AF110" s="273"/>
      <c r="AG110" s="743"/>
      <c r="AH110" s="1838">
        <f>ROUND(SUM(AH86-AH107),1)</f>
        <v>-700.6</v>
      </c>
      <c r="AI110" s="521"/>
      <c r="AJ110" s="273"/>
      <c r="AK110" s="271">
        <f>ROUND(SUM(AE110-AH110),1)</f>
        <v>725.1</v>
      </c>
      <c r="AL110" s="412"/>
      <c r="AM110" s="3236">
        <f>ROUND(IF(AH110=0,0,AK110/ABS(AH110)),3)</f>
        <v>1.0349999999999999</v>
      </c>
      <c r="AN110" s="1561"/>
    </row>
    <row r="111" spans="1:40" ht="15" customHeight="1">
      <c r="A111" s="352"/>
      <c r="B111" s="223"/>
      <c r="C111" s="223"/>
      <c r="D111" s="288"/>
      <c r="E111" s="261"/>
      <c r="F111" s="288"/>
      <c r="G111" s="261"/>
      <c r="H111" s="288"/>
      <c r="I111" s="261"/>
      <c r="J111" s="288"/>
      <c r="K111" s="261"/>
      <c r="L111" s="288"/>
      <c r="M111" s="261"/>
      <c r="N111" s="288"/>
      <c r="O111" s="261"/>
      <c r="P111" s="288"/>
      <c r="Q111" s="261"/>
      <c r="R111" s="288"/>
      <c r="S111" s="261"/>
      <c r="T111" s="288"/>
      <c r="U111" s="261"/>
      <c r="V111" s="288"/>
      <c r="W111" s="261"/>
      <c r="X111" s="288"/>
      <c r="Y111" s="261"/>
      <c r="Z111" s="288"/>
      <c r="AA111" s="249"/>
      <c r="AB111" s="288"/>
      <c r="AC111" s="261"/>
      <c r="AD111" s="250"/>
      <c r="AE111" s="288"/>
      <c r="AF111" s="249"/>
      <c r="AG111" s="252"/>
      <c r="AH111" s="288"/>
      <c r="AI111" s="514"/>
      <c r="AJ111" s="249"/>
      <c r="AK111" s="1159"/>
      <c r="AL111" s="1834"/>
      <c r="AM111" s="2732"/>
      <c r="AN111" s="1561"/>
    </row>
    <row r="112" spans="1:40" ht="15" customHeight="1">
      <c r="A112" s="352"/>
      <c r="B112" s="221" t="s">
        <v>47</v>
      </c>
      <c r="C112" s="223"/>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50"/>
      <c r="AE112" s="261"/>
      <c r="AF112" s="249"/>
      <c r="AG112" s="252"/>
      <c r="AH112" s="318"/>
      <c r="AI112" s="514"/>
      <c r="AJ112" s="249"/>
      <c r="AK112" s="1159"/>
      <c r="AL112" s="1834"/>
      <c r="AM112" s="2732"/>
      <c r="AN112" s="1561"/>
    </row>
    <row r="113" spans="1:53" ht="15" customHeight="1">
      <c r="A113" s="352"/>
      <c r="B113" s="223" t="s">
        <v>183</v>
      </c>
      <c r="C113" s="223"/>
      <c r="D113" s="274">
        <v>560</v>
      </c>
      <c r="E113" s="261"/>
      <c r="F113" s="274"/>
      <c r="G113" s="261"/>
      <c r="H113" s="274"/>
      <c r="I113" s="261"/>
      <c r="J113" s="274"/>
      <c r="K113" s="261"/>
      <c r="L113" s="1313"/>
      <c r="M113" s="261"/>
      <c r="N113" s="1190"/>
      <c r="O113" s="261"/>
      <c r="P113" s="1190"/>
      <c r="Q113" s="261"/>
      <c r="R113" s="2073"/>
      <c r="S113" s="261"/>
      <c r="T113" s="274"/>
      <c r="U113" s="261"/>
      <c r="V113" s="274"/>
      <c r="W113" s="261"/>
      <c r="X113" s="274"/>
      <c r="Y113" s="261"/>
      <c r="Z113" s="274"/>
      <c r="AA113" s="274"/>
      <c r="AB113" s="274">
        <v>-14.1</v>
      </c>
      <c r="AC113" s="261"/>
      <c r="AD113" s="250"/>
      <c r="AE113" s="318">
        <f>ROUND(SUM(D113:AB113),1)</f>
        <v>545.9</v>
      </c>
      <c r="AF113" s="1345"/>
      <c r="AG113" s="252"/>
      <c r="AH113" s="318">
        <v>1783</v>
      </c>
      <c r="AI113" s="514"/>
      <c r="AJ113" s="249"/>
      <c r="AK113" s="1159">
        <f>ROUND(SUM(+AE113-AH113),1)</f>
        <v>-1237.0999999999999</v>
      </c>
      <c r="AL113" s="1159"/>
      <c r="AM113" s="2732">
        <f>ROUND(IF(AH113=0,0,AK113/ABS(AH113)),3)</f>
        <v>-0.69399999999999995</v>
      </c>
      <c r="AN113" s="1561"/>
    </row>
    <row r="114" spans="1:53" ht="15" customHeight="1">
      <c r="A114" s="352"/>
      <c r="B114" s="223" t="s">
        <v>181</v>
      </c>
      <c r="C114" s="223"/>
      <c r="D114" s="274">
        <v>-4.4000000000000004</v>
      </c>
      <c r="E114" s="261"/>
      <c r="F114" s="274"/>
      <c r="G114" s="261"/>
      <c r="H114" s="274"/>
      <c r="I114" s="261"/>
      <c r="J114" s="274"/>
      <c r="K114" s="261"/>
      <c r="L114" s="1313"/>
      <c r="M114" s="261"/>
      <c r="N114" s="1190"/>
      <c r="O114" s="261"/>
      <c r="P114" s="1190"/>
      <c r="Q114" s="261"/>
      <c r="R114" s="2073"/>
      <c r="S114" s="261"/>
      <c r="T114" s="274"/>
      <c r="U114" s="261"/>
      <c r="V114" s="274"/>
      <c r="W114" s="261"/>
      <c r="X114" s="274"/>
      <c r="Y114" s="261"/>
      <c r="Z114" s="274"/>
      <c r="AA114" s="274"/>
      <c r="AB114" s="1190">
        <v>0</v>
      </c>
      <c r="AC114" s="261"/>
      <c r="AD114" s="250"/>
      <c r="AE114" s="318">
        <f>ROUND(SUM(D114:AB114),1)</f>
        <v>-4.4000000000000004</v>
      </c>
      <c r="AF114" s="249"/>
      <c r="AG114" s="252"/>
      <c r="AH114" s="1263">
        <v>-19</v>
      </c>
      <c r="AI114" s="514"/>
      <c r="AJ114" s="249"/>
      <c r="AK114" s="1860">
        <f>ROUND(SUM(+AE114-AH114)*-1,1)</f>
        <v>-14.6</v>
      </c>
      <c r="AL114" s="1860"/>
      <c r="AM114" s="2732">
        <f>ROUND(IF(AH114=0,0,AK114/ABS(AH114)),3)</f>
        <v>-0.76800000000000002</v>
      </c>
      <c r="AN114" s="1561"/>
    </row>
    <row r="115" spans="1:53" ht="15" customHeight="1">
      <c r="A115" s="352"/>
      <c r="B115" s="223"/>
      <c r="C115" s="223"/>
      <c r="D115" s="288"/>
      <c r="E115" s="261"/>
      <c r="F115" s="288"/>
      <c r="G115" s="261"/>
      <c r="H115" s="288"/>
      <c r="I115" s="261"/>
      <c r="J115" s="288"/>
      <c r="K115" s="261"/>
      <c r="L115" s="288"/>
      <c r="M115" s="261"/>
      <c r="N115" s="288"/>
      <c r="O115" s="261"/>
      <c r="P115" s="288"/>
      <c r="Q115" s="261"/>
      <c r="R115" s="288"/>
      <c r="S115" s="261"/>
      <c r="T115" s="288"/>
      <c r="U115" s="261"/>
      <c r="V115" s="288"/>
      <c r="W115" s="261"/>
      <c r="X115" s="288"/>
      <c r="Y115" s="261"/>
      <c r="Z115" s="288"/>
      <c r="AA115" s="249"/>
      <c r="AB115" s="288"/>
      <c r="AC115" s="261"/>
      <c r="AD115" s="250"/>
      <c r="AE115" s="288"/>
      <c r="AF115" s="249"/>
      <c r="AG115" s="252"/>
      <c r="AH115" s="327"/>
      <c r="AI115" s="514"/>
      <c r="AJ115" s="249"/>
      <c r="AK115" s="2676"/>
      <c r="AL115" s="1834"/>
      <c r="AM115" s="2751"/>
      <c r="AN115" s="1561"/>
    </row>
    <row r="116" spans="1:53" ht="15" customHeight="1">
      <c r="A116" s="352"/>
      <c r="B116" s="221" t="s">
        <v>1359</v>
      </c>
      <c r="C116" s="223"/>
      <c r="D116" s="1838">
        <f>ROUND(SUM(D113:D115),1)</f>
        <v>555.6</v>
      </c>
      <c r="E116" s="1838"/>
      <c r="F116" s="1838">
        <f>ROUND(SUM(F113:F115),1)</f>
        <v>0</v>
      </c>
      <c r="G116" s="1838"/>
      <c r="H116" s="1838">
        <f>ROUND(SUM(H113:H115),1)</f>
        <v>0</v>
      </c>
      <c r="I116" s="1838"/>
      <c r="J116" s="1838">
        <f>ROUND(SUM(J113:J115),1)</f>
        <v>0</v>
      </c>
      <c r="K116" s="1838"/>
      <c r="L116" s="1838">
        <f>ROUND(SUM(L113:L115),1)</f>
        <v>0</v>
      </c>
      <c r="M116" s="1838"/>
      <c r="N116" s="1838">
        <f>ROUND(SUM(N113:N115),1)</f>
        <v>0</v>
      </c>
      <c r="O116" s="1838"/>
      <c r="P116" s="1838">
        <f>ROUND(SUM(P113:P115),1)</f>
        <v>0</v>
      </c>
      <c r="Q116" s="1838"/>
      <c r="R116" s="1838">
        <f>ROUND(SUM(R113:R115),1)</f>
        <v>0</v>
      </c>
      <c r="S116" s="1838"/>
      <c r="T116" s="1838">
        <f>ROUND(SUM(T113:T115),1)</f>
        <v>0</v>
      </c>
      <c r="U116" s="1838"/>
      <c r="V116" s="1838">
        <f>ROUND(SUM(V113:V115),1)</f>
        <v>0</v>
      </c>
      <c r="W116" s="1838"/>
      <c r="X116" s="1838">
        <f>ROUND(SUM(X113:X115),1)</f>
        <v>0</v>
      </c>
      <c r="Y116" s="1838"/>
      <c r="Z116" s="1838">
        <f>ROUND(SUM(Z113:Z115),1)</f>
        <v>0</v>
      </c>
      <c r="AA116" s="1838"/>
      <c r="AB116" s="1838">
        <f>ROUND(SUM(AB113:AB115),1)</f>
        <v>-14.1</v>
      </c>
      <c r="AC116" s="1838"/>
      <c r="AD116" s="259"/>
      <c r="AE116" s="1838">
        <f>ROUND(SUM(AE113:AE115),1)</f>
        <v>541.5</v>
      </c>
      <c r="AF116" s="273"/>
      <c r="AG116" s="743"/>
      <c r="AH116" s="312">
        <f>ROUND(SUM(AH113:AH115),1)</f>
        <v>1764</v>
      </c>
      <c r="AI116" s="521"/>
      <c r="AJ116" s="273"/>
      <c r="AK116" s="271">
        <f>ROUND(SUM(AE116-AH116),1)</f>
        <v>-1222.5</v>
      </c>
      <c r="AL116" s="368"/>
      <c r="AM116" s="2736">
        <f>ROUND(SUM((AE116-AH116)/ABS(AH116)),3)</f>
        <v>-0.69299999999999995</v>
      </c>
      <c r="AN116" s="2618"/>
    </row>
    <row r="117" spans="1:53" ht="15" customHeight="1">
      <c r="A117" s="352"/>
      <c r="B117" s="223"/>
      <c r="C117" s="223"/>
      <c r="D117" s="288"/>
      <c r="E117" s="261"/>
      <c r="F117" s="288"/>
      <c r="G117" s="261"/>
      <c r="H117" s="288"/>
      <c r="I117" s="261"/>
      <c r="J117" s="288"/>
      <c r="K117" s="261"/>
      <c r="L117" s="288"/>
      <c r="M117" s="261"/>
      <c r="N117" s="288"/>
      <c r="O117" s="261"/>
      <c r="P117" s="288"/>
      <c r="Q117" s="261"/>
      <c r="R117" s="288"/>
      <c r="S117" s="261"/>
      <c r="T117" s="288"/>
      <c r="U117" s="261"/>
      <c r="V117" s="288"/>
      <c r="W117" s="261"/>
      <c r="X117" s="288"/>
      <c r="Y117" s="261"/>
      <c r="Z117" s="288"/>
      <c r="AA117" s="249"/>
      <c r="AB117" s="288"/>
      <c r="AC117" s="261"/>
      <c r="AD117" s="250"/>
      <c r="AE117" s="288"/>
      <c r="AF117" s="249"/>
      <c r="AG117" s="252"/>
      <c r="AH117" s="327"/>
      <c r="AI117" s="514"/>
      <c r="AJ117" s="249"/>
      <c r="AK117" s="1159"/>
      <c r="AL117" s="1834"/>
      <c r="AM117" s="2732"/>
      <c r="AN117" s="1561"/>
    </row>
    <row r="118" spans="1:53" ht="15" customHeight="1">
      <c r="A118" s="352"/>
      <c r="B118" s="221" t="s">
        <v>172</v>
      </c>
      <c r="C118" s="223"/>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50"/>
      <c r="AE118" s="261"/>
      <c r="AF118" s="249"/>
      <c r="AG118" s="252"/>
      <c r="AH118" s="318"/>
      <c r="AI118" s="514"/>
      <c r="AJ118" s="249"/>
      <c r="AK118" s="1159"/>
      <c r="AL118" s="1834"/>
      <c r="AM118" s="2732"/>
      <c r="AN118" s="1561"/>
    </row>
    <row r="119" spans="1:53" ht="15" customHeight="1">
      <c r="A119" s="352"/>
      <c r="B119" s="221" t="s">
        <v>1437</v>
      </c>
      <c r="C119" s="223"/>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50"/>
      <c r="AE119" s="261"/>
      <c r="AF119" s="249"/>
      <c r="AG119" s="252"/>
      <c r="AH119" s="423"/>
      <c r="AI119" s="514"/>
      <c r="AJ119" s="249"/>
      <c r="AK119" s="1159"/>
      <c r="AL119" s="1834"/>
      <c r="AM119" s="2732"/>
      <c r="AN119" s="1561"/>
    </row>
    <row r="120" spans="1:53" ht="15" customHeight="1" thickBot="1">
      <c r="A120" s="352"/>
      <c r="B120" s="221" t="s">
        <v>1355</v>
      </c>
      <c r="C120" s="223"/>
      <c r="D120" s="502">
        <f>ROUND(SUM(D110+D116),1)</f>
        <v>580.1</v>
      </c>
      <c r="E120" s="1838"/>
      <c r="F120" s="502">
        <f>ROUND(SUM(F110+F116),1)</f>
        <v>0</v>
      </c>
      <c r="G120" s="1838"/>
      <c r="H120" s="502">
        <f>ROUND(SUM(H110+H116),1)</f>
        <v>0</v>
      </c>
      <c r="I120" s="1838"/>
      <c r="J120" s="502">
        <f>ROUND(SUM(J110+J116),1)</f>
        <v>0</v>
      </c>
      <c r="K120" s="1838"/>
      <c r="L120" s="502">
        <f>ROUND(SUM(L110+L116),1)</f>
        <v>0</v>
      </c>
      <c r="M120" s="1838"/>
      <c r="N120" s="502">
        <f>ROUND(SUM(N110+N116),1)</f>
        <v>0</v>
      </c>
      <c r="O120" s="1838"/>
      <c r="P120" s="502">
        <f>ROUND(SUM(P110+P116),1)</f>
        <v>0</v>
      </c>
      <c r="Q120" s="1838"/>
      <c r="R120" s="502">
        <f>ROUND(SUM(R110+R116),1)</f>
        <v>0</v>
      </c>
      <c r="S120" s="1838"/>
      <c r="T120" s="502">
        <f>ROUND(SUM(T110+T116),1)</f>
        <v>0</v>
      </c>
      <c r="U120" s="1838"/>
      <c r="V120" s="502">
        <f>ROUND(SUM(V110+V116),1)</f>
        <v>0</v>
      </c>
      <c r="W120" s="1838"/>
      <c r="X120" s="502">
        <f>ROUND(SUM(X110+X116),1)</f>
        <v>0</v>
      </c>
      <c r="Y120" s="1838"/>
      <c r="Z120" s="502">
        <f>ROUND(SUM(Z110+Z116),1)</f>
        <v>0</v>
      </c>
      <c r="AA120" s="423"/>
      <c r="AB120" s="502">
        <f>ROUND(SUM(AB110+AB116),1)</f>
        <v>-14.1</v>
      </c>
      <c r="AC120" s="1838"/>
      <c r="AD120" s="259"/>
      <c r="AE120" s="502">
        <f>ROUND(SUM(AE110+AE116),1)</f>
        <v>566</v>
      </c>
      <c r="AF120" s="273"/>
      <c r="AG120" s="743"/>
      <c r="AH120" s="502">
        <f>ROUND(SUM(AH110+AH116),1)</f>
        <v>1063.4000000000001</v>
      </c>
      <c r="AI120" s="521"/>
      <c r="AJ120" s="273"/>
      <c r="AK120" s="502">
        <f>ROUND(SUM(AK110+AK116),1)</f>
        <v>-497.4</v>
      </c>
      <c r="AL120" s="412"/>
      <c r="AM120" s="2753">
        <f>ROUND(IF(AH120=0,0,AK120/ABS(AH120)),3)</f>
        <v>-0.46800000000000003</v>
      </c>
      <c r="AN120" s="1561"/>
    </row>
    <row r="121" spans="1:53" ht="15" customHeight="1" thickTop="1">
      <c r="A121" s="352"/>
      <c r="B121" s="221"/>
      <c r="C121" s="223"/>
      <c r="D121" s="367"/>
      <c r="E121" s="367"/>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253"/>
      <c r="AE121" s="253"/>
      <c r="AF121" s="253"/>
      <c r="AG121" s="253"/>
      <c r="AH121" s="317"/>
      <c r="AI121" s="253"/>
      <c r="AJ121" s="229"/>
      <c r="AK121" s="2678"/>
      <c r="AL121" s="2678"/>
      <c r="AM121" s="2752"/>
      <c r="AN121" s="1561"/>
    </row>
    <row r="122" spans="1:53" ht="4.5" customHeight="1">
      <c r="A122" s="352"/>
      <c r="B122" s="223"/>
      <c r="C122" s="223"/>
      <c r="D122" s="546"/>
      <c r="E122" s="546"/>
      <c r="F122" s="546"/>
      <c r="G122" s="546"/>
      <c r="H122" s="546"/>
      <c r="I122" s="546"/>
      <c r="J122" s="546"/>
      <c r="K122" s="546"/>
      <c r="L122" s="546"/>
      <c r="M122" s="546"/>
      <c r="N122" s="546"/>
      <c r="O122" s="546"/>
      <c r="P122" s="546"/>
      <c r="Q122" s="546"/>
      <c r="R122" s="546"/>
      <c r="S122" s="546"/>
      <c r="T122" s="546"/>
      <c r="U122" s="546"/>
      <c r="V122" s="546"/>
      <c r="W122" s="546"/>
      <c r="X122" s="546"/>
      <c r="Y122" s="546"/>
      <c r="Z122" s="546"/>
      <c r="AA122" s="546"/>
      <c r="AB122" s="546"/>
      <c r="AC122" s="546"/>
      <c r="AD122" s="546"/>
      <c r="AE122" s="546"/>
      <c r="AF122" s="546"/>
      <c r="AG122" s="546"/>
      <c r="AH122" s="546"/>
      <c r="AI122" s="546"/>
      <c r="AJ122" s="546"/>
      <c r="AK122" s="2679"/>
      <c r="AL122" s="2679"/>
      <c r="AM122" s="2754"/>
      <c r="AN122" s="1561"/>
      <c r="AO122" s="547"/>
      <c r="AP122" s="547"/>
      <c r="AQ122" s="547"/>
      <c r="AR122" s="547"/>
      <c r="AS122" s="547"/>
      <c r="AT122" s="547"/>
      <c r="AU122" s="547"/>
      <c r="AV122" s="547"/>
      <c r="AW122" s="547"/>
      <c r="AX122" s="547"/>
      <c r="AY122" s="547"/>
      <c r="AZ122" s="547"/>
      <c r="BA122" s="547"/>
    </row>
    <row r="123" spans="1:53" ht="15" customHeight="1">
      <c r="B123" s="1834" t="s">
        <v>1374</v>
      </c>
      <c r="C123" s="222"/>
      <c r="D123" s="505"/>
      <c r="E123" s="505"/>
      <c r="F123" s="505"/>
      <c r="G123" s="505"/>
      <c r="H123" s="505"/>
      <c r="I123" s="505"/>
      <c r="J123" s="505"/>
      <c r="K123" s="505"/>
      <c r="L123" s="505"/>
      <c r="M123" s="505"/>
      <c r="N123" s="505"/>
      <c r="O123" s="505"/>
      <c r="P123" s="505"/>
      <c r="Q123" s="505"/>
      <c r="R123" s="505"/>
      <c r="S123" s="505"/>
      <c r="T123" s="505"/>
      <c r="U123" s="505"/>
      <c r="V123" s="505"/>
      <c r="W123" s="505"/>
      <c r="X123" s="505"/>
      <c r="Y123" s="505"/>
      <c r="Z123" s="505"/>
      <c r="AA123" s="505"/>
      <c r="AB123" s="505"/>
      <c r="AC123" s="505"/>
      <c r="AD123" s="505"/>
      <c r="AE123" s="505"/>
      <c r="AF123" s="505"/>
      <c r="AG123" s="505"/>
      <c r="AH123" s="505"/>
      <c r="AI123" s="505"/>
      <c r="AJ123" s="505"/>
      <c r="AK123" s="2677"/>
      <c r="AL123" s="2677"/>
      <c r="AM123" s="2732"/>
      <c r="AN123" s="1561"/>
      <c r="AO123" s="547"/>
      <c r="AP123" s="547"/>
      <c r="AQ123" s="547"/>
      <c r="AR123" s="547"/>
      <c r="AS123" s="547"/>
      <c r="AT123" s="547"/>
      <c r="AU123" s="547"/>
      <c r="AV123" s="547"/>
      <c r="AW123" s="547"/>
      <c r="AX123" s="547"/>
      <c r="AY123" s="547"/>
      <c r="AZ123" s="547"/>
      <c r="BA123" s="547"/>
    </row>
    <row r="124" spans="1:53" ht="15" customHeight="1">
      <c r="B124" s="222"/>
      <c r="AM124" s="2755"/>
      <c r="AN124" s="1561"/>
    </row>
    <row r="125" spans="1:53" ht="15" customHeight="1">
      <c r="B125" s="222"/>
      <c r="AM125" s="2755"/>
      <c r="AN125" s="1561"/>
    </row>
    <row r="126" spans="1:53">
      <c r="AM126" s="2755"/>
      <c r="AN126" s="1561"/>
    </row>
    <row r="127" spans="1:53" ht="15" customHeight="1">
      <c r="AM127" s="2755"/>
      <c r="AN127" s="1561"/>
    </row>
    <row r="128" spans="1:53" ht="15" customHeight="1">
      <c r="D128" s="1834"/>
      <c r="F128" s="1834"/>
      <c r="H128" s="1834"/>
      <c r="AM128" s="2755"/>
      <c r="AN128" s="1561"/>
    </row>
    <row r="129" spans="39:40" ht="15" customHeight="1">
      <c r="AM129" s="1561"/>
      <c r="AN129" s="1561"/>
    </row>
    <row r="130" spans="39:40" ht="15" customHeight="1">
      <c r="AM130" s="1561"/>
      <c r="AN130" s="1561"/>
    </row>
    <row r="131" spans="39:40" ht="15" customHeight="1">
      <c r="AM131" s="1561"/>
      <c r="AN131" s="1561"/>
    </row>
    <row r="132" spans="39:40" ht="15" customHeight="1">
      <c r="AM132" s="1561"/>
      <c r="AN132" s="1561"/>
    </row>
    <row r="133" spans="39:40" ht="15" customHeight="1">
      <c r="AM133" s="1561"/>
      <c r="AN133" s="1561"/>
    </row>
    <row r="134" spans="39:40" ht="15" customHeight="1">
      <c r="AM134" s="1561"/>
      <c r="AN134" s="1561"/>
    </row>
    <row r="135" spans="39:40" ht="15" customHeight="1">
      <c r="AM135" s="1561"/>
      <c r="AN135" s="1561"/>
    </row>
    <row r="136" spans="39:40" ht="15" customHeight="1">
      <c r="AM136" s="1561"/>
      <c r="AN136" s="1561"/>
    </row>
    <row r="137" spans="39:40" ht="15" customHeight="1">
      <c r="AM137" s="1561"/>
      <c r="AN137" s="1561"/>
    </row>
    <row r="138" spans="39:40" ht="15" customHeight="1">
      <c r="AM138" s="1561"/>
      <c r="AN138" s="1561"/>
    </row>
    <row r="139" spans="39:40" ht="15" customHeight="1">
      <c r="AM139" s="1561"/>
      <c r="AN139" s="1561"/>
    </row>
    <row r="140" spans="39:40" ht="15" customHeight="1">
      <c r="AM140" s="1561"/>
      <c r="AN140" s="1561"/>
    </row>
    <row r="141" spans="39:40" ht="15" customHeight="1">
      <c r="AM141" s="1561"/>
      <c r="AN141" s="1561"/>
    </row>
    <row r="142" spans="39:40" ht="15" customHeight="1">
      <c r="AM142" s="1561"/>
      <c r="AN142" s="1561"/>
    </row>
    <row r="143" spans="39:40" ht="15" customHeight="1">
      <c r="AM143" s="1561"/>
      <c r="AN143" s="1561"/>
    </row>
    <row r="144" spans="39:40" ht="15" customHeight="1">
      <c r="AM144" s="1561"/>
      <c r="AN144" s="1561"/>
    </row>
    <row r="145" spans="39:40" ht="15" customHeight="1">
      <c r="AM145" s="1561"/>
      <c r="AN145" s="1561"/>
    </row>
    <row r="146" spans="39:40" ht="15" customHeight="1">
      <c r="AM146" s="1561"/>
      <c r="AN146" s="1561"/>
    </row>
    <row r="147" spans="39:40" ht="15" customHeight="1">
      <c r="AM147" s="1561"/>
      <c r="AN147" s="1561"/>
    </row>
    <row r="148" spans="39:40" ht="15" customHeight="1">
      <c r="AM148" s="1561"/>
      <c r="AN148" s="1561"/>
    </row>
    <row r="149" spans="39:40" ht="15" customHeight="1">
      <c r="AM149" s="1561"/>
      <c r="AN149" s="1561"/>
    </row>
    <row r="150" spans="39:40" ht="15" customHeight="1">
      <c r="AM150" s="1561"/>
      <c r="AN150" s="1561"/>
    </row>
    <row r="151" spans="39:40" ht="15" customHeight="1">
      <c r="AM151" s="1561"/>
      <c r="AN151" s="1561"/>
    </row>
    <row r="152" spans="39:40" ht="15" customHeight="1">
      <c r="AM152" s="1561"/>
      <c r="AN152" s="1561"/>
    </row>
    <row r="153" spans="39:40" ht="15" customHeight="1">
      <c r="AM153" s="1561"/>
      <c r="AN153" s="1561"/>
    </row>
    <row r="154" spans="39:40" ht="15" customHeight="1">
      <c r="AM154" s="1561"/>
      <c r="AN154" s="1561"/>
    </row>
    <row r="155" spans="39:40" ht="11.25" customHeight="1">
      <c r="AM155" s="1561"/>
      <c r="AN155" s="1561"/>
    </row>
    <row r="156" spans="39:40" ht="15" customHeight="1">
      <c r="AM156" s="1561"/>
      <c r="AN156" s="1561"/>
    </row>
    <row r="157" spans="39:40" ht="15" customHeight="1">
      <c r="AM157" s="1561"/>
      <c r="AN157" s="1561"/>
    </row>
    <row r="158" spans="39:40" ht="15" customHeight="1"/>
    <row r="159" spans="39:40" ht="15" customHeight="1"/>
    <row r="160" spans="39:4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customSheetViews>
    <customSheetView guid="{8EE6466D-211E-4E05-9F84-CC0A1C6F79F4}" scale="75" showGridLines="0" outlineSymbols="0" topLeftCell="K73">
      <selection activeCell="AO16" sqref="AO16"/>
      <rowBreaks count="1" manualBreakCount="1">
        <brk id="63" min="1" max="36" man="1"/>
      </rowBreaks>
      <pageMargins left="0.25" right="0.25" top="0.59" bottom="0.25" header="0" footer="0.25"/>
      <pageSetup scale="39" firstPageNumber="24" fitToHeight="2"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39" firstPageNumber="24" orientation="landscape" useFirstPageNumber="1" r:id="rId2"/>
  <headerFooter scaleWithDoc="0" alignWithMargins="0">
    <oddFooter>&amp;C&amp;8&amp;P</oddFooter>
  </headerFooter>
  <rowBreaks count="1" manualBreakCount="1">
    <brk id="80" min="1" max="38" man="1"/>
  </rowBreaks>
  <ignoredErrors>
    <ignoredError sqref="AM45 AM58 AM50 AM63 AM70 AM39 AM41:AM43 AM23:AM36 AM20:AM22" unlockedFormula="1"/>
    <ignoredError sqref="AM82" evalError="1"/>
    <ignoredError sqref="AM75:AM77"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Z139"/>
  <sheetViews>
    <sheetView zoomScale="80" zoomScaleNormal="80" workbookViewId="0"/>
  </sheetViews>
  <sheetFormatPr defaultColWidth="8.90625" defaultRowHeight="13.2"/>
  <cols>
    <col min="1" max="1" width="1.6328125" style="456" customWidth="1"/>
    <col min="2" max="2" width="44.90625" style="456" customWidth="1"/>
    <col min="3" max="3" width="1.6328125" style="456" customWidth="1"/>
    <col min="4" max="4" width="15.08984375" style="456" bestFit="1" customWidth="1"/>
    <col min="5" max="5" width="1.6328125" style="456" customWidth="1"/>
    <col min="6" max="6" width="12" style="456" customWidth="1"/>
    <col min="7" max="7" width="1.6328125" style="456" customWidth="1"/>
    <col min="8" max="8" width="11.08984375" style="456" bestFit="1" customWidth="1"/>
    <col min="9" max="9" width="1.6328125" style="456" customWidth="1"/>
    <col min="10" max="10" width="11" style="456" customWidth="1"/>
    <col min="11" max="11" width="1.6328125" style="456" customWidth="1"/>
    <col min="12" max="12" width="11.36328125" style="456" customWidth="1"/>
    <col min="13" max="13" width="1.6328125" style="456" customWidth="1"/>
    <col min="14" max="14" width="12.1796875" style="456" customWidth="1"/>
    <col min="15" max="15" width="1.6328125" style="456" customWidth="1"/>
    <col min="16" max="16" width="11" style="456" bestFit="1" customWidth="1"/>
    <col min="17" max="17" width="1.6328125" style="456" customWidth="1"/>
    <col min="18" max="18" width="11.54296875" style="456" bestFit="1" customWidth="1"/>
    <col min="19" max="19" width="1.6328125" style="456" customWidth="1"/>
    <col min="20" max="20" width="11.453125" style="456" customWidth="1"/>
    <col min="21" max="21" width="1.6328125" style="456" customWidth="1"/>
    <col min="22" max="22" width="11.1796875" style="456" customWidth="1"/>
    <col min="23" max="23" width="1.6328125" style="456" customWidth="1"/>
    <col min="24" max="24" width="11.08984375" style="456" bestFit="1" customWidth="1"/>
    <col min="25" max="25" width="1.6328125" style="456" customWidth="1"/>
    <col min="26" max="26" width="8.6328125" style="456" customWidth="1"/>
    <col min="27" max="27" width="1" style="456" customWidth="1"/>
    <col min="28" max="28" width="12.36328125" style="456" customWidth="1"/>
    <col min="29" max="30" width="1.6328125" style="456" customWidth="1"/>
    <col min="31" max="31" width="12.1796875" style="456" customWidth="1"/>
    <col min="32" max="33" width="1.36328125" style="456" customWidth="1"/>
    <col min="34" max="34" width="11.81640625" style="456" customWidth="1"/>
    <col min="35" max="35" width="1.453125" style="456" customWidth="1"/>
    <col min="36" max="36" width="0.81640625" style="456" customWidth="1"/>
    <col min="37" max="37" width="13.08984375" style="456" bestFit="1" customWidth="1"/>
    <col min="38" max="38" width="0.6328125" style="456" customWidth="1"/>
    <col min="39" max="39" width="13.6328125" style="1561" bestFit="1" customWidth="1"/>
    <col min="40" max="16384" width="8.90625" style="456"/>
  </cols>
  <sheetData>
    <row r="1" spans="1:42" ht="15">
      <c r="B1" s="1172" t="s">
        <v>1103</v>
      </c>
    </row>
    <row r="2" spans="1:42" ht="15.6">
      <c r="A2" s="455"/>
      <c r="M2" s="221"/>
      <c r="N2" s="221"/>
      <c r="O2" s="500"/>
    </row>
    <row r="3" spans="1:42" ht="17.399999999999999">
      <c r="A3" s="455"/>
      <c r="B3" s="460" t="s">
        <v>0</v>
      </c>
      <c r="M3" s="221"/>
      <c r="N3" s="221"/>
      <c r="O3" s="500"/>
      <c r="AG3" s="533"/>
      <c r="AH3" s="533"/>
      <c r="AI3" s="533"/>
      <c r="AJ3" s="533"/>
      <c r="AK3" s="533"/>
      <c r="AL3" s="533"/>
      <c r="AM3" s="463" t="s">
        <v>175</v>
      </c>
    </row>
    <row r="4" spans="1:42" ht="17.399999999999999">
      <c r="A4" s="455"/>
      <c r="B4" s="460" t="s">
        <v>184</v>
      </c>
      <c r="L4" s="221"/>
      <c r="M4" s="221"/>
      <c r="O4" s="500"/>
    </row>
    <row r="5" spans="1:42" ht="17.399999999999999">
      <c r="A5" s="455"/>
      <c r="B5" s="465" t="s">
        <v>1339</v>
      </c>
      <c r="L5" s="500"/>
      <c r="M5" s="500"/>
      <c r="O5" s="500"/>
      <c r="X5" s="534"/>
    </row>
    <row r="6" spans="1:42" ht="21">
      <c r="A6" s="455"/>
      <c r="B6" s="2996" t="s">
        <v>1472</v>
      </c>
      <c r="L6" s="500"/>
      <c r="M6" s="500"/>
      <c r="O6" s="500"/>
      <c r="AM6" s="1562"/>
    </row>
    <row r="7" spans="1:42" ht="17.399999999999999">
      <c r="A7" s="455"/>
      <c r="B7" s="460" t="s">
        <v>1345</v>
      </c>
      <c r="AJ7" s="352"/>
      <c r="AK7" s="352"/>
      <c r="AL7" s="352"/>
      <c r="AM7" s="1563"/>
    </row>
    <row r="8" spans="1:42" ht="13.5" customHeight="1">
      <c r="A8" s="455"/>
      <c r="B8" s="548"/>
      <c r="AJ8" s="352"/>
      <c r="AK8" s="352"/>
      <c r="AL8" s="352"/>
      <c r="AM8" s="1563"/>
    </row>
    <row r="9" spans="1:42" ht="19.5" customHeight="1">
      <c r="A9" s="455"/>
      <c r="L9" s="500"/>
      <c r="M9" s="500"/>
      <c r="N9" s="500"/>
      <c r="O9" s="500"/>
      <c r="AD9" s="549"/>
      <c r="AE9" s="536"/>
      <c r="AF9" s="536"/>
      <c r="AG9" s="3406" t="str">
        <f>+'Exhibit G'!AF10</f>
        <v>1 Month Ended April 30</v>
      </c>
      <c r="AH9" s="3406"/>
      <c r="AI9" s="3406"/>
      <c r="AJ9" s="3406"/>
      <c r="AK9" s="3406"/>
      <c r="AL9" s="535"/>
      <c r="AM9" s="1564"/>
    </row>
    <row r="10" spans="1:42" ht="19.5" customHeight="1">
      <c r="A10" s="455"/>
      <c r="B10" s="550"/>
      <c r="D10" s="1488"/>
      <c r="E10" s="1488"/>
      <c r="F10" s="1488"/>
      <c r="G10" s="1488"/>
      <c r="H10" s="1488"/>
      <c r="I10" s="1488"/>
      <c r="J10" s="1488"/>
      <c r="K10" s="1488"/>
      <c r="L10" s="1489"/>
      <c r="M10" s="1489"/>
      <c r="N10" s="1489"/>
      <c r="O10" s="1489"/>
      <c r="P10" s="1488"/>
      <c r="Q10" s="1488"/>
      <c r="R10" s="1488"/>
      <c r="S10" s="1488"/>
      <c r="T10" s="1488"/>
      <c r="U10" s="1488"/>
      <c r="V10" s="1488"/>
      <c r="W10" s="1488"/>
      <c r="X10" s="1488"/>
      <c r="Y10" s="1488"/>
      <c r="Z10" s="1488"/>
      <c r="AA10" s="1488"/>
      <c r="AB10" s="1483" t="s">
        <v>1331</v>
      </c>
      <c r="AC10" s="1488"/>
      <c r="AD10" s="1492"/>
      <c r="AE10" s="1488"/>
      <c r="AF10" s="1488"/>
      <c r="AG10" s="1488"/>
      <c r="AH10" s="1488"/>
      <c r="AI10" s="1488"/>
      <c r="AJ10" s="1488"/>
      <c r="AK10" s="1488"/>
      <c r="AL10" s="1488"/>
      <c r="AM10" s="1565"/>
      <c r="AN10" s="1488"/>
      <c r="AO10" s="1488"/>
      <c r="AP10" s="1488"/>
    </row>
    <row r="11" spans="1:42" ht="13.5" customHeight="1">
      <c r="A11" s="455"/>
      <c r="B11" s="222"/>
      <c r="C11" s="222"/>
      <c r="D11" s="1476">
        <v>2016</v>
      </c>
      <c r="E11" s="221"/>
      <c r="F11" s="221"/>
      <c r="G11" s="221"/>
      <c r="H11" s="221"/>
      <c r="I11" s="221"/>
      <c r="J11" s="221"/>
      <c r="K11" s="221"/>
      <c r="L11" s="221"/>
      <c r="M11" s="221"/>
      <c r="N11" s="221"/>
      <c r="O11" s="221"/>
      <c r="P11" s="221"/>
      <c r="Q11" s="221"/>
      <c r="R11" s="221"/>
      <c r="S11" s="221"/>
      <c r="T11" s="221"/>
      <c r="U11" s="221"/>
      <c r="V11" s="1476">
        <v>2017</v>
      </c>
      <c r="W11" s="221"/>
      <c r="X11" s="221"/>
      <c r="Y11" s="221"/>
      <c r="Z11" s="221"/>
      <c r="AA11" s="221"/>
      <c r="AB11" s="1483" t="s">
        <v>1332</v>
      </c>
      <c r="AC11" s="221"/>
      <c r="AD11" s="221"/>
      <c r="AE11" s="413"/>
      <c r="AF11" s="413"/>
      <c r="AG11" s="413"/>
      <c r="AH11" s="413"/>
      <c r="AI11" s="413"/>
      <c r="AJ11" s="412"/>
      <c r="AK11" s="1483" t="s">
        <v>8</v>
      </c>
      <c r="AL11" s="1483"/>
      <c r="AM11" s="1566" t="s">
        <v>9</v>
      </c>
      <c r="AN11" s="1488"/>
      <c r="AO11" s="1488"/>
      <c r="AP11" s="1488"/>
    </row>
    <row r="12" spans="1:42" ht="15.6">
      <c r="A12" s="455"/>
      <c r="B12" s="222"/>
      <c r="C12" s="222"/>
      <c r="D12" s="1462" t="s">
        <v>129</v>
      </c>
      <c r="E12" s="221"/>
      <c r="F12" s="1462" t="s">
        <v>130</v>
      </c>
      <c r="G12" s="221"/>
      <c r="H12" s="1462" t="s">
        <v>131</v>
      </c>
      <c r="I12" s="221"/>
      <c r="J12" s="1462" t="s">
        <v>132</v>
      </c>
      <c r="K12" s="221"/>
      <c r="L12" s="1462" t="s">
        <v>133</v>
      </c>
      <c r="M12" s="221"/>
      <c r="N12" s="1462" t="s">
        <v>134</v>
      </c>
      <c r="O12" s="221"/>
      <c r="P12" s="1462" t="s">
        <v>135</v>
      </c>
      <c r="Q12" s="221"/>
      <c r="R12" s="1462" t="s">
        <v>136</v>
      </c>
      <c r="S12" s="221"/>
      <c r="T12" s="1462" t="s">
        <v>137</v>
      </c>
      <c r="U12" s="221"/>
      <c r="V12" s="1462" t="s">
        <v>154</v>
      </c>
      <c r="W12" s="221"/>
      <c r="X12" s="1462" t="s">
        <v>139</v>
      </c>
      <c r="Y12" s="221"/>
      <c r="Z12" s="1462" t="s">
        <v>140</v>
      </c>
      <c r="AA12" s="1462"/>
      <c r="AB12" s="2044" t="s">
        <v>1333</v>
      </c>
      <c r="AC12" s="221"/>
      <c r="AD12" s="221"/>
      <c r="AE12" s="1476">
        <v>2016</v>
      </c>
      <c r="AF12" s="1476"/>
      <c r="AG12" s="221" t="s">
        <v>16</v>
      </c>
      <c r="AH12" s="1476">
        <v>2015</v>
      </c>
      <c r="AI12" s="1461"/>
      <c r="AJ12" s="412"/>
      <c r="AK12" s="1491" t="s">
        <v>13</v>
      </c>
      <c r="AL12" s="1481"/>
      <c r="AM12" s="1567" t="s">
        <v>14</v>
      </c>
      <c r="AN12" s="1488"/>
      <c r="AO12" s="1488"/>
      <c r="AP12" s="1488"/>
    </row>
    <row r="13" spans="1:42" ht="15">
      <c r="A13" s="455"/>
      <c r="B13" s="222"/>
      <c r="C13" s="222"/>
      <c r="D13" s="235"/>
      <c r="E13" s="222"/>
      <c r="F13" s="235"/>
      <c r="G13" s="222"/>
      <c r="H13" s="235"/>
      <c r="I13" s="222"/>
      <c r="J13" s="235"/>
      <c r="K13" s="222"/>
      <c r="L13" s="235"/>
      <c r="M13" s="222"/>
      <c r="N13" s="508"/>
      <c r="O13" s="222"/>
      <c r="P13" s="235"/>
      <c r="Q13" s="222"/>
      <c r="R13" s="235"/>
      <c r="S13" s="222"/>
      <c r="T13" s="235"/>
      <c r="U13" s="222"/>
      <c r="V13" s="235"/>
      <c r="W13" s="222"/>
      <c r="X13" s="235"/>
      <c r="Y13" s="222"/>
      <c r="Z13" s="235"/>
      <c r="AA13" s="229"/>
      <c r="AB13" s="229"/>
      <c r="AC13" s="222"/>
      <c r="AD13" s="2039"/>
      <c r="AE13" s="235"/>
      <c r="AF13" s="235"/>
      <c r="AG13" s="2039"/>
      <c r="AH13" s="235"/>
      <c r="AI13" s="229"/>
      <c r="AJ13" s="509"/>
      <c r="AK13" s="222"/>
      <c r="AL13" s="222"/>
      <c r="AM13" s="498"/>
    </row>
    <row r="14" spans="1:42" ht="15">
      <c r="A14" s="455"/>
      <c r="B14" s="222"/>
      <c r="C14" s="222"/>
      <c r="D14" s="229"/>
      <c r="E14" s="222"/>
      <c r="F14" s="229"/>
      <c r="G14" s="222"/>
      <c r="H14" s="229"/>
      <c r="I14" s="222"/>
      <c r="J14" s="229"/>
      <c r="K14" s="222"/>
      <c r="L14" s="229"/>
      <c r="M14" s="222"/>
      <c r="N14" s="2038"/>
      <c r="O14" s="222"/>
      <c r="P14" s="229"/>
      <c r="Q14" s="222"/>
      <c r="R14" s="229"/>
      <c r="S14" s="222"/>
      <c r="T14" s="229"/>
      <c r="U14" s="222"/>
      <c r="V14" s="229"/>
      <c r="W14" s="222"/>
      <c r="X14" s="229"/>
      <c r="Y14" s="222"/>
      <c r="Z14" s="229"/>
      <c r="AA14" s="229"/>
      <c r="AB14" s="229"/>
      <c r="AC14" s="222"/>
      <c r="AD14" s="2039"/>
      <c r="AE14" s="229"/>
      <c r="AF14" s="229"/>
      <c r="AG14" s="2039"/>
      <c r="AH14" s="229"/>
      <c r="AI14" s="229"/>
      <c r="AJ14" s="509"/>
      <c r="AK14" s="222"/>
      <c r="AL14" s="222"/>
      <c r="AM14" s="498"/>
    </row>
    <row r="15" spans="1:42" ht="15" customHeight="1">
      <c r="A15" s="352"/>
      <c r="B15" s="221" t="s">
        <v>15</v>
      </c>
      <c r="C15" s="223"/>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415"/>
      <c r="AE15" s="222"/>
      <c r="AF15" s="222"/>
      <c r="AG15" s="538"/>
      <c r="AH15" s="222"/>
      <c r="AI15" s="513"/>
      <c r="AJ15" s="229"/>
      <c r="AK15" s="539"/>
      <c r="AL15" s="539"/>
      <c r="AM15" s="552"/>
    </row>
    <row r="16" spans="1:42" ht="7.5" customHeight="1">
      <c r="A16" s="352"/>
      <c r="B16" s="223"/>
      <c r="C16" s="223"/>
      <c r="D16" s="372"/>
      <c r="E16" s="367"/>
      <c r="F16" s="372"/>
      <c r="G16" s="367"/>
      <c r="H16" s="372"/>
      <c r="I16" s="367"/>
      <c r="J16" s="372"/>
      <c r="K16" s="367"/>
      <c r="L16" s="372"/>
      <c r="M16" s="367"/>
      <c r="N16" s="372"/>
      <c r="O16" s="367"/>
      <c r="P16" s="372"/>
      <c r="Q16" s="367"/>
      <c r="R16" s="372"/>
      <c r="S16" s="367"/>
      <c r="T16" s="372"/>
      <c r="U16" s="367"/>
      <c r="V16" s="372"/>
      <c r="W16" s="261"/>
      <c r="X16" s="372"/>
      <c r="Y16" s="261"/>
      <c r="Z16" s="372"/>
      <c r="AA16" s="372"/>
      <c r="AB16" s="372"/>
      <c r="AC16" s="367"/>
      <c r="AD16" s="472"/>
      <c r="AE16" s="261"/>
      <c r="AF16" s="482"/>
      <c r="AG16" s="540"/>
      <c r="AH16" s="372"/>
      <c r="AI16" s="542"/>
      <c r="AJ16" s="229"/>
      <c r="AK16" s="1860"/>
      <c r="AL16" s="1159"/>
      <c r="AM16" s="1816"/>
    </row>
    <row r="17" spans="1:40" ht="15" customHeight="1">
      <c r="A17" s="352"/>
      <c r="B17" s="489" t="s">
        <v>1173</v>
      </c>
      <c r="C17" s="223"/>
      <c r="D17" s="274"/>
      <c r="E17" s="367"/>
      <c r="F17" s="372"/>
      <c r="G17" s="367"/>
      <c r="H17" s="341"/>
      <c r="I17" s="367"/>
      <c r="J17" s="341"/>
      <c r="K17" s="367"/>
      <c r="L17" s="341"/>
      <c r="M17" s="367"/>
      <c r="N17" s="341"/>
      <c r="O17" s="367"/>
      <c r="P17" s="551"/>
      <c r="Q17" s="367"/>
      <c r="R17" s="371"/>
      <c r="S17" s="367"/>
      <c r="T17" s="372"/>
      <c r="U17" s="367"/>
      <c r="V17" s="274"/>
      <c r="W17" s="261"/>
      <c r="X17" s="274"/>
      <c r="Y17" s="261"/>
      <c r="Z17" s="274"/>
      <c r="AA17" s="274"/>
      <c r="AB17" s="274"/>
      <c r="AC17" s="367"/>
      <c r="AD17" s="472"/>
      <c r="AE17" s="261"/>
      <c r="AF17" s="261"/>
      <c r="AG17" s="252"/>
      <c r="AH17" s="261"/>
      <c r="AI17" s="514"/>
      <c r="AJ17" s="249"/>
      <c r="AK17" s="1860"/>
      <c r="AL17" s="1860"/>
      <c r="AM17" s="1254"/>
    </row>
    <row r="18" spans="1:40" ht="15" customHeight="1">
      <c r="A18" s="352"/>
      <c r="B18" s="1784" t="s">
        <v>1301</v>
      </c>
      <c r="C18" s="223"/>
      <c r="D18" s="274"/>
      <c r="E18" s="367"/>
      <c r="F18" s="372"/>
      <c r="G18" s="367"/>
      <c r="H18" s="341"/>
      <c r="I18" s="367"/>
      <c r="J18" s="341"/>
      <c r="K18" s="367"/>
      <c r="L18" s="341"/>
      <c r="M18" s="367"/>
      <c r="N18" s="341"/>
      <c r="O18" s="367"/>
      <c r="P18" s="551"/>
      <c r="Q18" s="367"/>
      <c r="R18" s="371"/>
      <c r="S18" s="367"/>
      <c r="T18" s="372"/>
      <c r="U18" s="367"/>
      <c r="V18" s="274"/>
      <c r="W18" s="261"/>
      <c r="X18" s="274"/>
      <c r="Y18" s="261"/>
      <c r="Z18" s="274"/>
      <c r="AA18" s="274"/>
      <c r="AB18" s="274"/>
      <c r="AC18" s="367"/>
      <c r="AD18" s="472"/>
      <c r="AE18" s="261"/>
      <c r="AF18" s="261"/>
      <c r="AG18" s="252"/>
      <c r="AH18" s="261"/>
      <c r="AI18" s="514"/>
      <c r="AJ18" s="249"/>
      <c r="AK18" s="1860"/>
      <c r="AL18" s="1860"/>
      <c r="AM18" s="1254"/>
    </row>
    <row r="19" spans="1:40" ht="15" customHeight="1">
      <c r="A19" s="352"/>
      <c r="B19" s="1784" t="s">
        <v>1206</v>
      </c>
      <c r="C19" s="223"/>
      <c r="D19" s="1785">
        <v>0</v>
      </c>
      <c r="E19" s="1786"/>
      <c r="F19" s="2711"/>
      <c r="G19" s="1786"/>
      <c r="H19" s="1786"/>
      <c r="I19" s="1786"/>
      <c r="J19" s="1786"/>
      <c r="K19" s="1238"/>
      <c r="L19" s="1786"/>
      <c r="M19" s="1238"/>
      <c r="N19" s="1786"/>
      <c r="O19" s="1668"/>
      <c r="P19" s="1786"/>
      <c r="Q19" s="1668"/>
      <c r="R19" s="1786"/>
      <c r="S19" s="1668"/>
      <c r="T19" s="1872"/>
      <c r="U19" s="1668"/>
      <c r="V19" s="1240"/>
      <c r="W19" s="1159"/>
      <c r="X19" s="1240"/>
      <c r="Y19" s="1159"/>
      <c r="Z19" s="1240"/>
      <c r="AA19" s="1313"/>
      <c r="AB19" s="242">
        <v>0</v>
      </c>
      <c r="AC19" s="1668"/>
      <c r="AD19" s="2631"/>
      <c r="AE19" s="1786">
        <f>ROUND(SUM(D19:AB19),1)</f>
        <v>0</v>
      </c>
      <c r="AF19" s="1159"/>
      <c r="AG19" s="2665"/>
      <c r="AH19" s="1786">
        <v>0</v>
      </c>
      <c r="AI19" s="2632"/>
      <c r="AJ19" s="1860"/>
      <c r="AK19" s="1786">
        <f>ROUND(SUM(+AE19-AH19),1)</f>
        <v>0</v>
      </c>
      <c r="AL19" s="1860"/>
      <c r="AM19" s="2741">
        <f>ROUND(IF(AH19=0,0,AK19/ABS(AH19)),3)</f>
        <v>0</v>
      </c>
    </row>
    <row r="20" spans="1:40" ht="15" customHeight="1">
      <c r="A20" s="352"/>
      <c r="B20" s="1784" t="s">
        <v>1302</v>
      </c>
      <c r="C20" s="223"/>
      <c r="D20" s="274"/>
      <c r="E20" s="367"/>
      <c r="F20" s="372"/>
      <c r="G20" s="367"/>
      <c r="H20" s="341"/>
      <c r="I20" s="367"/>
      <c r="J20" s="341"/>
      <c r="K20" s="367"/>
      <c r="L20" s="341"/>
      <c r="M20" s="367"/>
      <c r="N20" s="274"/>
      <c r="O20" s="367"/>
      <c r="P20" s="551"/>
      <c r="Q20" s="367"/>
      <c r="R20" s="371"/>
      <c r="S20" s="367"/>
      <c r="T20" s="372"/>
      <c r="U20" s="367"/>
      <c r="V20" s="274"/>
      <c r="W20" s="261"/>
      <c r="X20" s="274"/>
      <c r="Y20" s="261"/>
      <c r="Z20" s="274"/>
      <c r="AA20" s="274"/>
      <c r="AB20" s="261"/>
      <c r="AC20" s="367"/>
      <c r="AD20" s="472"/>
      <c r="AE20" s="261"/>
      <c r="AF20" s="261"/>
      <c r="AG20" s="252"/>
      <c r="AH20" s="261"/>
      <c r="AI20" s="514"/>
      <c r="AJ20" s="249"/>
      <c r="AK20" s="1860"/>
      <c r="AL20" s="1860"/>
      <c r="AM20" s="2752"/>
    </row>
    <row r="21" spans="1:40" ht="15" customHeight="1">
      <c r="A21" s="352"/>
      <c r="B21" s="1784" t="s">
        <v>1208</v>
      </c>
      <c r="C21" s="223"/>
      <c r="D21" s="274">
        <v>3.9</v>
      </c>
      <c r="E21" s="367"/>
      <c r="F21" s="372"/>
      <c r="G21" s="367"/>
      <c r="H21" s="318"/>
      <c r="I21" s="367"/>
      <c r="J21" s="318"/>
      <c r="K21" s="367"/>
      <c r="L21" s="318"/>
      <c r="M21" s="367"/>
      <c r="N21" s="1190"/>
      <c r="O21" s="367"/>
      <c r="P21" s="1190"/>
      <c r="Q21" s="367"/>
      <c r="R21" s="1190"/>
      <c r="S21" s="367"/>
      <c r="T21" s="372"/>
      <c r="U21" s="367"/>
      <c r="V21" s="274"/>
      <c r="W21" s="261"/>
      <c r="X21" s="274"/>
      <c r="Y21" s="261"/>
      <c r="Z21" s="274"/>
      <c r="AA21" s="274"/>
      <c r="AB21" s="261">
        <v>0</v>
      </c>
      <c r="AC21" s="367"/>
      <c r="AD21" s="472"/>
      <c r="AE21" s="261">
        <f>ROUND(SUM(D21:AB21),1)</f>
        <v>3.9</v>
      </c>
      <c r="AF21" s="261"/>
      <c r="AG21" s="252"/>
      <c r="AH21" s="261">
        <v>3.6</v>
      </c>
      <c r="AI21" s="514"/>
      <c r="AJ21" s="249"/>
      <c r="AK21" s="1860">
        <f t="shared" ref="AK21:AK51" si="0">ROUND(SUM(+AE21-AH21),1)</f>
        <v>0.3</v>
      </c>
      <c r="AL21" s="1860"/>
      <c r="AM21" s="2741">
        <f>ROUND(IF(AH21=0,0,AK21/ABS(AH21)),3)</f>
        <v>8.3000000000000004E-2</v>
      </c>
      <c r="AN21" s="2611"/>
    </row>
    <row r="22" spans="1:40" ht="15" customHeight="1">
      <c r="A22" s="352"/>
      <c r="B22" s="1784" t="s">
        <v>1209</v>
      </c>
      <c r="C22" s="223"/>
      <c r="D22" s="274">
        <v>0</v>
      </c>
      <c r="E22" s="367"/>
      <c r="F22" s="372"/>
      <c r="G22" s="367"/>
      <c r="H22" s="318"/>
      <c r="I22" s="367"/>
      <c r="J22" s="318"/>
      <c r="K22" s="367"/>
      <c r="L22" s="318"/>
      <c r="M22" s="367"/>
      <c r="N22" s="1190"/>
      <c r="O22" s="367"/>
      <c r="P22" s="1190"/>
      <c r="Q22" s="367"/>
      <c r="R22" s="1190"/>
      <c r="S22" s="367"/>
      <c r="T22" s="372"/>
      <c r="U22" s="367"/>
      <c r="V22" s="274"/>
      <c r="W22" s="261"/>
      <c r="X22" s="274"/>
      <c r="Y22" s="261"/>
      <c r="Z22" s="274"/>
      <c r="AA22" s="274"/>
      <c r="AB22" s="261">
        <v>0</v>
      </c>
      <c r="AC22" s="367"/>
      <c r="AD22" s="472"/>
      <c r="AE22" s="261">
        <f>ROUND(SUM(D22:AB22),1)</f>
        <v>0</v>
      </c>
      <c r="AF22" s="261"/>
      <c r="AG22" s="252"/>
      <c r="AH22" s="261">
        <v>0</v>
      </c>
      <c r="AI22" s="514"/>
      <c r="AJ22" s="249"/>
      <c r="AK22" s="1860">
        <f t="shared" si="0"/>
        <v>0</v>
      </c>
      <c r="AL22" s="1860"/>
      <c r="AM22" s="2741">
        <f>ROUND(IF(AH22=0,0,AK22/ABS(AH22)),3)</f>
        <v>0</v>
      </c>
    </row>
    <row r="23" spans="1:40" ht="15" customHeight="1">
      <c r="A23" s="352"/>
      <c r="B23" s="1784" t="s">
        <v>1210</v>
      </c>
      <c r="C23" s="223"/>
      <c r="D23" s="274">
        <v>0</v>
      </c>
      <c r="E23" s="367"/>
      <c r="F23" s="372"/>
      <c r="G23" s="367"/>
      <c r="H23" s="318"/>
      <c r="I23" s="367"/>
      <c r="J23" s="318"/>
      <c r="K23" s="367"/>
      <c r="L23" s="318"/>
      <c r="M23" s="367"/>
      <c r="N23" s="1190"/>
      <c r="O23" s="367"/>
      <c r="P23" s="1190"/>
      <c r="Q23" s="367"/>
      <c r="R23" s="1190"/>
      <c r="S23" s="367"/>
      <c r="T23" s="372"/>
      <c r="U23" s="367"/>
      <c r="V23" s="274"/>
      <c r="W23" s="261"/>
      <c r="X23" s="274"/>
      <c r="Y23" s="261"/>
      <c r="Z23" s="274"/>
      <c r="AA23" s="274"/>
      <c r="AB23" s="261">
        <v>0</v>
      </c>
      <c r="AC23" s="367"/>
      <c r="AD23" s="472"/>
      <c r="AE23" s="261">
        <f>ROUND(SUM(D23:AB23),1)</f>
        <v>0</v>
      </c>
      <c r="AF23" s="261"/>
      <c r="AG23" s="252"/>
      <c r="AH23" s="261">
        <v>0</v>
      </c>
      <c r="AI23" s="514"/>
      <c r="AJ23" s="249"/>
      <c r="AK23" s="1860">
        <f t="shared" si="0"/>
        <v>0</v>
      </c>
      <c r="AL23" s="1860"/>
      <c r="AM23" s="2741">
        <f>ROUND(IF(AH23=0,0,AK23/ABS(AH23)),3)</f>
        <v>0</v>
      </c>
    </row>
    <row r="24" spans="1:40" ht="15" customHeight="1">
      <c r="A24" s="352"/>
      <c r="B24" s="1784" t="s">
        <v>1211</v>
      </c>
      <c r="C24" s="223"/>
      <c r="D24" s="274">
        <v>0</v>
      </c>
      <c r="E24" s="367"/>
      <c r="F24" s="372"/>
      <c r="G24" s="367"/>
      <c r="H24" s="318"/>
      <c r="I24" s="367"/>
      <c r="J24" s="318"/>
      <c r="K24" s="367"/>
      <c r="L24" s="318"/>
      <c r="M24" s="367"/>
      <c r="N24" s="1190"/>
      <c r="O24" s="367"/>
      <c r="P24" s="1190"/>
      <c r="Q24" s="367"/>
      <c r="R24" s="1190"/>
      <c r="S24" s="367"/>
      <c r="T24" s="372"/>
      <c r="U24" s="367"/>
      <c r="V24" s="274"/>
      <c r="W24" s="261"/>
      <c r="X24" s="274"/>
      <c r="Y24" s="261"/>
      <c r="Z24" s="274"/>
      <c r="AA24" s="274"/>
      <c r="AB24" s="261">
        <v>0</v>
      </c>
      <c r="AC24" s="367"/>
      <c r="AD24" s="472"/>
      <c r="AE24" s="261">
        <f>ROUND(SUM(D24:AB24),1)</f>
        <v>0</v>
      </c>
      <c r="AF24" s="261"/>
      <c r="AG24" s="252"/>
      <c r="AH24" s="261">
        <v>0</v>
      </c>
      <c r="AI24" s="514"/>
      <c r="AJ24" s="249"/>
      <c r="AK24" s="1860">
        <f t="shared" si="0"/>
        <v>0</v>
      </c>
      <c r="AL24" s="1860"/>
      <c r="AM24" s="2741">
        <f>ROUND(IF(AH24=0,0,AK24/ABS(AH24)),3)</f>
        <v>0</v>
      </c>
    </row>
    <row r="25" spans="1:40" ht="15" customHeight="1">
      <c r="A25" s="352"/>
      <c r="B25" s="1784" t="s">
        <v>1307</v>
      </c>
      <c r="C25" s="223"/>
      <c r="D25" s="274"/>
      <c r="E25" s="367"/>
      <c r="F25" s="372"/>
      <c r="G25" s="367"/>
      <c r="H25" s="341"/>
      <c r="I25" s="367"/>
      <c r="J25" s="341"/>
      <c r="K25" s="367"/>
      <c r="L25" s="341"/>
      <c r="M25" s="367"/>
      <c r="N25" s="274"/>
      <c r="O25" s="367"/>
      <c r="P25" s="551"/>
      <c r="Q25" s="367"/>
      <c r="R25" s="371"/>
      <c r="S25" s="367"/>
      <c r="T25" s="372"/>
      <c r="U25" s="367"/>
      <c r="V25" s="274"/>
      <c r="W25" s="261"/>
      <c r="X25" s="274"/>
      <c r="Y25" s="261"/>
      <c r="Z25" s="274"/>
      <c r="AA25" s="274"/>
      <c r="AB25" s="261"/>
      <c r="AC25" s="367"/>
      <c r="AD25" s="472"/>
      <c r="AE25" s="261"/>
      <c r="AF25" s="261"/>
      <c r="AG25" s="252"/>
      <c r="AH25" s="261"/>
      <c r="AI25" s="514"/>
      <c r="AJ25" s="249"/>
      <c r="AK25" s="1860"/>
      <c r="AL25" s="1860"/>
      <c r="AM25" s="2741"/>
    </row>
    <row r="26" spans="1:40" ht="15" customHeight="1">
      <c r="A26" s="352"/>
      <c r="B26" s="1784" t="s">
        <v>1212</v>
      </c>
      <c r="C26" s="223"/>
      <c r="D26" s="274">
        <v>0</v>
      </c>
      <c r="E26" s="367"/>
      <c r="F26" s="372"/>
      <c r="G26" s="367"/>
      <c r="H26" s="318"/>
      <c r="I26" s="367"/>
      <c r="J26" s="318"/>
      <c r="K26" s="367"/>
      <c r="L26" s="318"/>
      <c r="M26" s="367"/>
      <c r="N26" s="1190"/>
      <c r="O26" s="367"/>
      <c r="P26" s="1190"/>
      <c r="Q26" s="367"/>
      <c r="R26" s="1190"/>
      <c r="S26" s="367"/>
      <c r="T26" s="372"/>
      <c r="U26" s="367"/>
      <c r="V26" s="274"/>
      <c r="W26" s="261"/>
      <c r="X26" s="274"/>
      <c r="Y26" s="261"/>
      <c r="Z26" s="274"/>
      <c r="AA26" s="274"/>
      <c r="AB26" s="261">
        <v>0</v>
      </c>
      <c r="AC26" s="367"/>
      <c r="AD26" s="472"/>
      <c r="AE26" s="261">
        <f t="shared" ref="AE26:AE31" si="1">ROUND(SUM(D26:AB26),1)</f>
        <v>0</v>
      </c>
      <c r="AF26" s="261"/>
      <c r="AG26" s="252"/>
      <c r="AH26" s="261">
        <v>0</v>
      </c>
      <c r="AI26" s="514"/>
      <c r="AJ26" s="249"/>
      <c r="AK26" s="1860">
        <f t="shared" si="0"/>
        <v>0</v>
      </c>
      <c r="AL26" s="1860"/>
      <c r="AM26" s="2741">
        <f>ROUND(IF(AH26=0,0,AK26/ABS(AH26)),3)</f>
        <v>0</v>
      </c>
    </row>
    <row r="27" spans="1:40" ht="15" customHeight="1">
      <c r="A27" s="352"/>
      <c r="B27" s="1784" t="s">
        <v>1213</v>
      </c>
      <c r="C27" s="223"/>
      <c r="D27" s="274">
        <v>0</v>
      </c>
      <c r="E27" s="367"/>
      <c r="F27" s="372"/>
      <c r="G27" s="367"/>
      <c r="H27" s="318"/>
      <c r="I27" s="367"/>
      <c r="J27" s="318"/>
      <c r="K27" s="367"/>
      <c r="L27" s="318"/>
      <c r="M27" s="367"/>
      <c r="N27" s="1190"/>
      <c r="O27" s="367"/>
      <c r="P27" s="1190"/>
      <c r="Q27" s="367"/>
      <c r="R27" s="1190"/>
      <c r="S27" s="367"/>
      <c r="T27" s="372"/>
      <c r="U27" s="367"/>
      <c r="V27" s="274"/>
      <c r="W27" s="261"/>
      <c r="X27" s="274"/>
      <c r="Y27" s="261"/>
      <c r="Z27" s="274"/>
      <c r="AA27" s="274"/>
      <c r="AB27" s="261">
        <v>0</v>
      </c>
      <c r="AC27" s="367"/>
      <c r="AD27" s="472"/>
      <c r="AE27" s="261">
        <f t="shared" si="1"/>
        <v>0</v>
      </c>
      <c r="AF27" s="261"/>
      <c r="AG27" s="252"/>
      <c r="AH27" s="261">
        <v>0</v>
      </c>
      <c r="AI27" s="514"/>
      <c r="AJ27" s="249"/>
      <c r="AK27" s="1860">
        <f t="shared" si="0"/>
        <v>0</v>
      </c>
      <c r="AL27" s="1860"/>
      <c r="AM27" s="2741">
        <f t="shared" ref="AM27:AM31" si="2">ROUND(IF(AH27=0,0,AK27/ABS(AH27)),3)</f>
        <v>0</v>
      </c>
    </row>
    <row r="28" spans="1:40" ht="15" customHeight="1">
      <c r="A28" s="352"/>
      <c r="B28" s="1784" t="s">
        <v>1214</v>
      </c>
      <c r="C28" s="223"/>
      <c r="D28" s="274">
        <v>0</v>
      </c>
      <c r="E28" s="367"/>
      <c r="F28" s="372"/>
      <c r="G28" s="367"/>
      <c r="H28" s="318"/>
      <c r="I28" s="367"/>
      <c r="J28" s="318"/>
      <c r="K28" s="367"/>
      <c r="L28" s="318"/>
      <c r="M28" s="367"/>
      <c r="N28" s="1190"/>
      <c r="O28" s="367"/>
      <c r="P28" s="1190"/>
      <c r="Q28" s="367"/>
      <c r="R28" s="1190"/>
      <c r="S28" s="367"/>
      <c r="T28" s="372"/>
      <c r="U28" s="367"/>
      <c r="V28" s="274"/>
      <c r="W28" s="261"/>
      <c r="X28" s="274"/>
      <c r="Y28" s="261"/>
      <c r="Z28" s="274"/>
      <c r="AA28" s="274"/>
      <c r="AB28" s="261">
        <v>0</v>
      </c>
      <c r="AC28" s="367"/>
      <c r="AD28" s="472"/>
      <c r="AE28" s="261">
        <f t="shared" si="1"/>
        <v>0</v>
      </c>
      <c r="AF28" s="261"/>
      <c r="AG28" s="252"/>
      <c r="AH28" s="261">
        <v>0</v>
      </c>
      <c r="AI28" s="514"/>
      <c r="AJ28" s="249"/>
      <c r="AK28" s="1860">
        <f t="shared" si="0"/>
        <v>0</v>
      </c>
      <c r="AL28" s="1860"/>
      <c r="AM28" s="2741">
        <f t="shared" si="2"/>
        <v>0</v>
      </c>
    </row>
    <row r="29" spans="1:40" ht="15" customHeight="1">
      <c r="A29" s="352"/>
      <c r="B29" s="1784" t="s">
        <v>1215</v>
      </c>
      <c r="C29" s="223"/>
      <c r="D29" s="274">
        <v>0</v>
      </c>
      <c r="E29" s="367"/>
      <c r="F29" s="372"/>
      <c r="G29" s="367"/>
      <c r="H29" s="318"/>
      <c r="I29" s="367"/>
      <c r="J29" s="318"/>
      <c r="K29" s="367"/>
      <c r="L29" s="318"/>
      <c r="M29" s="367"/>
      <c r="N29" s="1190"/>
      <c r="O29" s="367"/>
      <c r="P29" s="1190"/>
      <c r="Q29" s="367"/>
      <c r="R29" s="1190"/>
      <c r="S29" s="367"/>
      <c r="T29" s="372"/>
      <c r="U29" s="367"/>
      <c r="V29" s="274"/>
      <c r="W29" s="261"/>
      <c r="X29" s="274"/>
      <c r="Y29" s="261"/>
      <c r="Z29" s="274"/>
      <c r="AA29" s="274"/>
      <c r="AB29" s="261">
        <v>0</v>
      </c>
      <c r="AC29" s="367"/>
      <c r="AD29" s="472"/>
      <c r="AE29" s="261">
        <f t="shared" si="1"/>
        <v>0</v>
      </c>
      <c r="AF29" s="261"/>
      <c r="AG29" s="252"/>
      <c r="AH29" s="261">
        <v>0</v>
      </c>
      <c r="AI29" s="514"/>
      <c r="AJ29" s="249"/>
      <c r="AK29" s="1860">
        <f t="shared" si="0"/>
        <v>0</v>
      </c>
      <c r="AL29" s="1860"/>
      <c r="AM29" s="2741">
        <f t="shared" si="2"/>
        <v>0</v>
      </c>
    </row>
    <row r="30" spans="1:40" ht="15" customHeight="1">
      <c r="A30" s="352"/>
      <c r="B30" s="1784" t="s">
        <v>1216</v>
      </c>
      <c r="C30" s="223"/>
      <c r="D30" s="274">
        <v>0</v>
      </c>
      <c r="E30" s="367"/>
      <c r="F30" s="372"/>
      <c r="G30" s="367"/>
      <c r="H30" s="318"/>
      <c r="I30" s="367"/>
      <c r="J30" s="318"/>
      <c r="K30" s="367"/>
      <c r="L30" s="318"/>
      <c r="M30" s="367"/>
      <c r="N30" s="1190"/>
      <c r="O30" s="367"/>
      <c r="P30" s="1190"/>
      <c r="Q30" s="367"/>
      <c r="R30" s="1190"/>
      <c r="S30" s="367"/>
      <c r="T30" s="372"/>
      <c r="U30" s="367"/>
      <c r="V30" s="274"/>
      <c r="W30" s="261"/>
      <c r="X30" s="274"/>
      <c r="Y30" s="261"/>
      <c r="Z30" s="274"/>
      <c r="AA30" s="274"/>
      <c r="AB30" s="261">
        <v>0</v>
      </c>
      <c r="AC30" s="367"/>
      <c r="AD30" s="472"/>
      <c r="AE30" s="261">
        <f t="shared" si="1"/>
        <v>0</v>
      </c>
      <c r="AF30" s="261"/>
      <c r="AG30" s="252"/>
      <c r="AH30" s="261">
        <v>0</v>
      </c>
      <c r="AI30" s="514"/>
      <c r="AJ30" s="249"/>
      <c r="AK30" s="1860">
        <f t="shared" si="0"/>
        <v>0</v>
      </c>
      <c r="AL30" s="1860"/>
      <c r="AM30" s="2741">
        <f t="shared" si="2"/>
        <v>0</v>
      </c>
    </row>
    <row r="31" spans="1:40" ht="15" customHeight="1">
      <c r="A31" s="352"/>
      <c r="B31" s="1784" t="s">
        <v>1174</v>
      </c>
      <c r="C31" s="223"/>
      <c r="D31" s="274">
        <v>0.9</v>
      </c>
      <c r="E31" s="367"/>
      <c r="F31" s="372"/>
      <c r="G31" s="367"/>
      <c r="H31" s="318"/>
      <c r="I31" s="367"/>
      <c r="J31" s="318"/>
      <c r="K31" s="367"/>
      <c r="L31" s="318"/>
      <c r="M31" s="367"/>
      <c r="N31" s="1190"/>
      <c r="O31" s="367"/>
      <c r="P31" s="1190"/>
      <c r="Q31" s="367"/>
      <c r="R31" s="1190"/>
      <c r="S31" s="367"/>
      <c r="T31" s="372"/>
      <c r="U31" s="367"/>
      <c r="V31" s="274"/>
      <c r="W31" s="261"/>
      <c r="X31" s="274"/>
      <c r="Y31" s="261"/>
      <c r="Z31" s="274"/>
      <c r="AA31" s="274"/>
      <c r="AB31" s="261">
        <v>0</v>
      </c>
      <c r="AC31" s="367"/>
      <c r="AD31" s="472"/>
      <c r="AE31" s="261">
        <f t="shared" si="1"/>
        <v>0.9</v>
      </c>
      <c r="AF31" s="261"/>
      <c r="AG31" s="252"/>
      <c r="AH31" s="261">
        <v>0.8</v>
      </c>
      <c r="AI31" s="514"/>
      <c r="AJ31" s="249"/>
      <c r="AK31" s="1860">
        <f>ROUND(SUM(+AE31-AH31),1)</f>
        <v>0.1</v>
      </c>
      <c r="AL31" s="1860"/>
      <c r="AM31" s="2741">
        <f t="shared" si="2"/>
        <v>0.125</v>
      </c>
    </row>
    <row r="32" spans="1:40" ht="15" customHeight="1">
      <c r="A32" s="352"/>
      <c r="B32" s="1784" t="s">
        <v>1175</v>
      </c>
      <c r="C32" s="223"/>
      <c r="D32" s="274">
        <v>0.2</v>
      </c>
      <c r="E32" s="367"/>
      <c r="F32" s="372"/>
      <c r="G32" s="367"/>
      <c r="H32" s="318"/>
      <c r="I32" s="367"/>
      <c r="J32" s="318"/>
      <c r="K32" s="367"/>
      <c r="L32" s="318"/>
      <c r="M32" s="367"/>
      <c r="N32" s="1190"/>
      <c r="O32" s="367"/>
      <c r="P32" s="1190"/>
      <c r="Q32" s="367"/>
      <c r="R32" s="1190"/>
      <c r="S32" s="367"/>
      <c r="T32" s="372"/>
      <c r="U32" s="367"/>
      <c r="V32" s="274"/>
      <c r="W32" s="261"/>
      <c r="X32" s="274"/>
      <c r="Y32" s="261"/>
      <c r="Z32" s="274"/>
      <c r="AA32" s="274"/>
      <c r="AB32" s="261">
        <v>0</v>
      </c>
      <c r="AC32" s="367"/>
      <c r="AD32" s="472"/>
      <c r="AE32" s="261">
        <f>ROUND(SUM(D32:AB32),1)</f>
        <v>0.2</v>
      </c>
      <c r="AF32" s="261"/>
      <c r="AG32" s="252"/>
      <c r="AH32" s="261">
        <v>0</v>
      </c>
      <c r="AI32" s="514"/>
      <c r="AJ32" s="249"/>
      <c r="AK32" s="1860">
        <f t="shared" si="0"/>
        <v>0.2</v>
      </c>
      <c r="AL32" s="1860"/>
      <c r="AM32" s="2741">
        <f>ROUND(IF(AH32=0,1,AK32/ABS(AH32)),3)</f>
        <v>1</v>
      </c>
    </row>
    <row r="33" spans="1:39" ht="15" customHeight="1">
      <c r="A33" s="352"/>
      <c r="B33" s="1784" t="s">
        <v>1305</v>
      </c>
      <c r="C33" s="223"/>
      <c r="D33" s="274"/>
      <c r="E33" s="367"/>
      <c r="F33" s="372"/>
      <c r="G33" s="367"/>
      <c r="H33" s="341"/>
      <c r="I33" s="367"/>
      <c r="J33" s="341"/>
      <c r="K33" s="367"/>
      <c r="L33" s="341"/>
      <c r="M33" s="367"/>
      <c r="N33" s="274"/>
      <c r="O33" s="367"/>
      <c r="P33" s="551"/>
      <c r="Q33" s="367"/>
      <c r="R33" s="371"/>
      <c r="S33" s="367"/>
      <c r="T33" s="372"/>
      <c r="U33" s="367"/>
      <c r="V33" s="274"/>
      <c r="W33" s="261"/>
      <c r="X33" s="274"/>
      <c r="Y33" s="261"/>
      <c r="Z33" s="274"/>
      <c r="AA33" s="274"/>
      <c r="AB33" s="261"/>
      <c r="AC33" s="367"/>
      <c r="AD33" s="472"/>
      <c r="AE33" s="261"/>
      <c r="AF33" s="261"/>
      <c r="AG33" s="252"/>
      <c r="AH33" s="261"/>
      <c r="AI33" s="514"/>
      <c r="AJ33" s="249"/>
      <c r="AK33" s="1860"/>
      <c r="AL33" s="1860"/>
      <c r="AM33" s="2752"/>
    </row>
    <row r="34" spans="1:39" ht="15" customHeight="1">
      <c r="A34" s="352"/>
      <c r="B34" s="1784" t="s">
        <v>1220</v>
      </c>
      <c r="C34" s="223"/>
      <c r="D34" s="274">
        <v>0</v>
      </c>
      <c r="E34" s="367"/>
      <c r="F34" s="372"/>
      <c r="G34" s="367"/>
      <c r="H34" s="318"/>
      <c r="I34" s="367"/>
      <c r="J34" s="318"/>
      <c r="K34" s="367"/>
      <c r="L34" s="318"/>
      <c r="M34" s="367"/>
      <c r="N34" s="1190"/>
      <c r="O34" s="367"/>
      <c r="P34" s="1190"/>
      <c r="Q34" s="367"/>
      <c r="R34" s="1190"/>
      <c r="S34" s="367"/>
      <c r="T34" s="372"/>
      <c r="U34" s="367"/>
      <c r="V34" s="274"/>
      <c r="W34" s="261"/>
      <c r="X34" s="274"/>
      <c r="Y34" s="261"/>
      <c r="Z34" s="274"/>
      <c r="AA34" s="274"/>
      <c r="AB34" s="261">
        <v>0</v>
      </c>
      <c r="AC34" s="367"/>
      <c r="AD34" s="472"/>
      <c r="AE34" s="261">
        <f t="shared" ref="AE34:AE39" si="3">ROUND(SUM(D34:AB34),1)</f>
        <v>0</v>
      </c>
      <c r="AF34" s="261"/>
      <c r="AG34" s="252"/>
      <c r="AH34" s="261">
        <v>0</v>
      </c>
      <c r="AI34" s="514"/>
      <c r="AJ34" s="249"/>
      <c r="AK34" s="1860">
        <f t="shared" si="0"/>
        <v>0</v>
      </c>
      <c r="AL34" s="1860"/>
      <c r="AM34" s="2741">
        <f t="shared" ref="AM34:AM39" si="4">ROUND(IF(AH34=0,0,AK34/ABS(AH34)),3)</f>
        <v>0</v>
      </c>
    </row>
    <row r="35" spans="1:39" ht="15" customHeight="1">
      <c r="A35" s="352"/>
      <c r="B35" s="1784" t="s">
        <v>1221</v>
      </c>
      <c r="C35" s="223"/>
      <c r="D35" s="274">
        <v>0</v>
      </c>
      <c r="E35" s="367"/>
      <c r="F35" s="372"/>
      <c r="G35" s="367"/>
      <c r="H35" s="318"/>
      <c r="I35" s="367"/>
      <c r="J35" s="318"/>
      <c r="K35" s="367"/>
      <c r="L35" s="318"/>
      <c r="M35" s="367"/>
      <c r="N35" s="1190"/>
      <c r="O35" s="367"/>
      <c r="P35" s="1190"/>
      <c r="Q35" s="367"/>
      <c r="R35" s="1190"/>
      <c r="S35" s="367"/>
      <c r="T35" s="372"/>
      <c r="U35" s="367"/>
      <c r="V35" s="274"/>
      <c r="W35" s="261"/>
      <c r="X35" s="274"/>
      <c r="Y35" s="261"/>
      <c r="Z35" s="274"/>
      <c r="AA35" s="274"/>
      <c r="AB35" s="261">
        <v>0</v>
      </c>
      <c r="AC35" s="367"/>
      <c r="AD35" s="472"/>
      <c r="AE35" s="261">
        <f t="shared" si="3"/>
        <v>0</v>
      </c>
      <c r="AF35" s="261"/>
      <c r="AG35" s="252"/>
      <c r="AH35" s="261">
        <v>0</v>
      </c>
      <c r="AI35" s="514"/>
      <c r="AJ35" s="249"/>
      <c r="AK35" s="1860">
        <f t="shared" si="0"/>
        <v>0</v>
      </c>
      <c r="AL35" s="1860"/>
      <c r="AM35" s="2741">
        <f t="shared" si="4"/>
        <v>0</v>
      </c>
    </row>
    <row r="36" spans="1:39" ht="15" customHeight="1">
      <c r="A36" s="352"/>
      <c r="B36" s="1784" t="s">
        <v>1222</v>
      </c>
      <c r="C36" s="223"/>
      <c r="D36" s="274">
        <v>0</v>
      </c>
      <c r="E36" s="367"/>
      <c r="F36" s="372"/>
      <c r="G36" s="367"/>
      <c r="H36" s="318"/>
      <c r="I36" s="367"/>
      <c r="J36" s="318"/>
      <c r="K36" s="367"/>
      <c r="L36" s="318"/>
      <c r="M36" s="367"/>
      <c r="N36" s="1190"/>
      <c r="O36" s="367"/>
      <c r="P36" s="1190"/>
      <c r="Q36" s="367"/>
      <c r="R36" s="1190"/>
      <c r="S36" s="367"/>
      <c r="T36" s="372"/>
      <c r="U36" s="367"/>
      <c r="V36" s="274"/>
      <c r="W36" s="261"/>
      <c r="X36" s="274"/>
      <c r="Y36" s="261"/>
      <c r="Z36" s="274"/>
      <c r="AA36" s="274"/>
      <c r="AB36" s="261">
        <v>0</v>
      </c>
      <c r="AC36" s="367"/>
      <c r="AD36" s="472"/>
      <c r="AE36" s="261">
        <f t="shared" si="3"/>
        <v>0</v>
      </c>
      <c r="AF36" s="261"/>
      <c r="AG36" s="252"/>
      <c r="AH36" s="261">
        <v>0</v>
      </c>
      <c r="AI36" s="514"/>
      <c r="AJ36" s="249"/>
      <c r="AK36" s="1860">
        <f t="shared" si="0"/>
        <v>0</v>
      </c>
      <c r="AL36" s="1860"/>
      <c r="AM36" s="2741">
        <f t="shared" si="4"/>
        <v>0</v>
      </c>
    </row>
    <row r="37" spans="1:39" ht="15" customHeight="1">
      <c r="A37" s="352"/>
      <c r="B37" s="1784" t="s">
        <v>1223</v>
      </c>
      <c r="C37" s="223"/>
      <c r="D37" s="274">
        <v>0</v>
      </c>
      <c r="E37" s="367"/>
      <c r="F37" s="372"/>
      <c r="G37" s="367"/>
      <c r="H37" s="318"/>
      <c r="I37" s="367"/>
      <c r="J37" s="318"/>
      <c r="K37" s="367"/>
      <c r="L37" s="318"/>
      <c r="M37" s="367"/>
      <c r="N37" s="1190"/>
      <c r="O37" s="367"/>
      <c r="P37" s="1190"/>
      <c r="Q37" s="367"/>
      <c r="R37" s="1190"/>
      <c r="S37" s="367"/>
      <c r="T37" s="372"/>
      <c r="U37" s="367"/>
      <c r="V37" s="274"/>
      <c r="W37" s="261"/>
      <c r="X37" s="274"/>
      <c r="Y37" s="261"/>
      <c r="Z37" s="274"/>
      <c r="AA37" s="274"/>
      <c r="AB37" s="261">
        <v>0</v>
      </c>
      <c r="AC37" s="367"/>
      <c r="AD37" s="472"/>
      <c r="AE37" s="261">
        <f t="shared" si="3"/>
        <v>0</v>
      </c>
      <c r="AF37" s="261"/>
      <c r="AG37" s="252"/>
      <c r="AH37" s="261">
        <v>0</v>
      </c>
      <c r="AI37" s="514"/>
      <c r="AJ37" s="249"/>
      <c r="AK37" s="1860">
        <f t="shared" si="0"/>
        <v>0</v>
      </c>
      <c r="AL37" s="1860"/>
      <c r="AM37" s="2741">
        <f t="shared" si="4"/>
        <v>0</v>
      </c>
    </row>
    <row r="38" spans="1:39" ht="15" customHeight="1">
      <c r="A38" s="352"/>
      <c r="B38" s="1784" t="s">
        <v>1193</v>
      </c>
      <c r="C38" s="223"/>
      <c r="D38" s="274">
        <v>0</v>
      </c>
      <c r="E38" s="367"/>
      <c r="F38" s="372"/>
      <c r="G38" s="367"/>
      <c r="H38" s="318"/>
      <c r="I38" s="367"/>
      <c r="J38" s="318"/>
      <c r="K38" s="367"/>
      <c r="L38" s="318"/>
      <c r="M38" s="367"/>
      <c r="N38" s="1190"/>
      <c r="O38" s="367"/>
      <c r="P38" s="1190"/>
      <c r="Q38" s="367"/>
      <c r="R38" s="1190"/>
      <c r="S38" s="367"/>
      <c r="T38" s="372"/>
      <c r="U38" s="367"/>
      <c r="V38" s="274"/>
      <c r="W38" s="261"/>
      <c r="X38" s="274"/>
      <c r="Y38" s="261"/>
      <c r="Z38" s="274"/>
      <c r="AA38" s="274"/>
      <c r="AB38" s="261">
        <v>0</v>
      </c>
      <c r="AC38" s="367"/>
      <c r="AD38" s="472"/>
      <c r="AE38" s="261">
        <f t="shared" si="3"/>
        <v>0</v>
      </c>
      <c r="AF38" s="261"/>
      <c r="AG38" s="252"/>
      <c r="AH38" s="261">
        <v>0</v>
      </c>
      <c r="AI38" s="514"/>
      <c r="AJ38" s="249"/>
      <c r="AK38" s="1860">
        <f t="shared" si="0"/>
        <v>0</v>
      </c>
      <c r="AL38" s="1860"/>
      <c r="AM38" s="2741">
        <f t="shared" si="4"/>
        <v>0</v>
      </c>
    </row>
    <row r="39" spans="1:39" ht="15" customHeight="1">
      <c r="A39" s="352"/>
      <c r="B39" s="1784" t="s">
        <v>1194</v>
      </c>
      <c r="C39" s="223"/>
      <c r="D39" s="274">
        <v>0</v>
      </c>
      <c r="E39" s="367"/>
      <c r="F39" s="372"/>
      <c r="G39" s="367"/>
      <c r="H39" s="318"/>
      <c r="I39" s="367"/>
      <c r="J39" s="318"/>
      <c r="K39" s="367"/>
      <c r="L39" s="318"/>
      <c r="M39" s="367"/>
      <c r="N39" s="1190"/>
      <c r="O39" s="367"/>
      <c r="P39" s="1190"/>
      <c r="Q39" s="367"/>
      <c r="R39" s="1190"/>
      <c r="S39" s="367"/>
      <c r="T39" s="372"/>
      <c r="U39" s="367"/>
      <c r="V39" s="274"/>
      <c r="W39" s="261"/>
      <c r="X39" s="274"/>
      <c r="Y39" s="261"/>
      <c r="Z39" s="274"/>
      <c r="AA39" s="274"/>
      <c r="AB39" s="261">
        <v>0</v>
      </c>
      <c r="AC39" s="367"/>
      <c r="AD39" s="472"/>
      <c r="AE39" s="261">
        <f t="shared" si="3"/>
        <v>0</v>
      </c>
      <c r="AF39" s="261"/>
      <c r="AG39" s="252"/>
      <c r="AH39" s="261">
        <v>0</v>
      </c>
      <c r="AI39" s="514"/>
      <c r="AJ39" s="249"/>
      <c r="AK39" s="1860">
        <f t="shared" si="0"/>
        <v>0</v>
      </c>
      <c r="AL39" s="1860"/>
      <c r="AM39" s="2741">
        <f t="shared" si="4"/>
        <v>0</v>
      </c>
    </row>
    <row r="40" spans="1:39" ht="15" customHeight="1">
      <c r="A40" s="352"/>
      <c r="B40" s="1784" t="s">
        <v>1306</v>
      </c>
      <c r="C40" s="223"/>
      <c r="D40" s="274"/>
      <c r="E40" s="367"/>
      <c r="F40" s="372"/>
      <c r="G40" s="367"/>
      <c r="H40" s="341"/>
      <c r="I40" s="367"/>
      <c r="J40" s="341"/>
      <c r="K40" s="367"/>
      <c r="L40" s="341"/>
      <c r="M40" s="367"/>
      <c r="N40" s="274"/>
      <c r="O40" s="367"/>
      <c r="P40" s="551"/>
      <c r="Q40" s="367"/>
      <c r="R40" s="1190"/>
      <c r="S40" s="367"/>
      <c r="T40" s="372"/>
      <c r="U40" s="367"/>
      <c r="V40" s="274"/>
      <c r="W40" s="261"/>
      <c r="X40" s="274"/>
      <c r="Y40" s="261"/>
      <c r="Z40" s="274"/>
      <c r="AA40" s="274"/>
      <c r="AB40" s="261"/>
      <c r="AC40" s="367"/>
      <c r="AD40" s="472"/>
      <c r="AE40" s="261"/>
      <c r="AF40" s="261"/>
      <c r="AG40" s="252"/>
      <c r="AH40" s="261"/>
      <c r="AI40" s="514"/>
      <c r="AJ40" s="249"/>
      <c r="AK40" s="1860"/>
      <c r="AL40" s="1860"/>
      <c r="AM40" s="2752"/>
    </row>
    <row r="41" spans="1:39" ht="15" customHeight="1">
      <c r="A41" s="352"/>
      <c r="B41" s="1784" t="s">
        <v>1224</v>
      </c>
      <c r="C41" s="223"/>
      <c r="D41" s="274">
        <v>0</v>
      </c>
      <c r="E41" s="367"/>
      <c r="F41" s="372"/>
      <c r="G41" s="367"/>
      <c r="H41" s="318"/>
      <c r="I41" s="367"/>
      <c r="J41" s="318"/>
      <c r="K41" s="367"/>
      <c r="L41" s="318"/>
      <c r="M41" s="367"/>
      <c r="N41" s="1190"/>
      <c r="O41" s="367"/>
      <c r="P41" s="1190"/>
      <c r="Q41" s="367"/>
      <c r="R41" s="1190"/>
      <c r="S41" s="367"/>
      <c r="T41" s="372"/>
      <c r="U41" s="367"/>
      <c r="V41" s="274"/>
      <c r="W41" s="261"/>
      <c r="X41" s="274"/>
      <c r="Y41" s="261"/>
      <c r="Z41" s="274"/>
      <c r="AA41" s="274"/>
      <c r="AB41" s="261">
        <v>0</v>
      </c>
      <c r="AC41" s="367"/>
      <c r="AD41" s="472"/>
      <c r="AE41" s="261">
        <f>ROUND(SUM(D41:AB41),1)</f>
        <v>0</v>
      </c>
      <c r="AF41" s="261"/>
      <c r="AG41" s="252"/>
      <c r="AH41" s="261">
        <v>0.1</v>
      </c>
      <c r="AI41" s="514"/>
      <c r="AJ41" s="249"/>
      <c r="AK41" s="1860">
        <f t="shared" si="0"/>
        <v>-0.1</v>
      </c>
      <c r="AL41" s="1860"/>
      <c r="AM41" s="2741">
        <f>ROUND(IF(AH41=0,1,AK41/ABS(AH41)),3)</f>
        <v>-1</v>
      </c>
    </row>
    <row r="42" spans="1:39" ht="15" customHeight="1">
      <c r="A42" s="352"/>
      <c r="B42" s="1784" t="s">
        <v>1225</v>
      </c>
      <c r="C42" s="223"/>
      <c r="D42" s="274">
        <v>0</v>
      </c>
      <c r="E42" s="367"/>
      <c r="F42" s="372"/>
      <c r="G42" s="367"/>
      <c r="H42" s="318"/>
      <c r="I42" s="367"/>
      <c r="J42" s="318"/>
      <c r="K42" s="367"/>
      <c r="L42" s="318"/>
      <c r="M42" s="367"/>
      <c r="N42" s="1190"/>
      <c r="O42" s="367"/>
      <c r="P42" s="1190"/>
      <c r="Q42" s="367"/>
      <c r="R42" s="1190"/>
      <c r="S42" s="367"/>
      <c r="T42" s="372"/>
      <c r="U42" s="367"/>
      <c r="V42" s="274"/>
      <c r="W42" s="261"/>
      <c r="X42" s="274"/>
      <c r="Y42" s="261"/>
      <c r="Z42" s="274"/>
      <c r="AA42" s="274"/>
      <c r="AB42" s="261">
        <v>0</v>
      </c>
      <c r="AC42" s="367"/>
      <c r="AD42" s="472"/>
      <c r="AE42" s="261">
        <f t="shared" ref="AE42:AE51" si="5">ROUND(SUM(D42:AB42),1)</f>
        <v>0</v>
      </c>
      <c r="AF42" s="261"/>
      <c r="AG42" s="252"/>
      <c r="AH42" s="261">
        <v>0</v>
      </c>
      <c r="AI42" s="514"/>
      <c r="AJ42" s="249"/>
      <c r="AK42" s="1860">
        <f t="shared" si="0"/>
        <v>0</v>
      </c>
      <c r="AL42" s="1860"/>
      <c r="AM42" s="2741">
        <f>ROUND(IF(AH42=0,0,AK42/ABS(AH42)),3)</f>
        <v>0</v>
      </c>
    </row>
    <row r="43" spans="1:39" ht="15" customHeight="1">
      <c r="A43" s="352"/>
      <c r="B43" s="1784" t="s">
        <v>1226</v>
      </c>
      <c r="C43" s="223"/>
      <c r="D43" s="274">
        <v>0</v>
      </c>
      <c r="E43" s="367"/>
      <c r="F43" s="372"/>
      <c r="G43" s="367"/>
      <c r="H43" s="318"/>
      <c r="I43" s="367"/>
      <c r="J43" s="318"/>
      <c r="K43" s="367"/>
      <c r="L43" s="318"/>
      <c r="M43" s="367"/>
      <c r="N43" s="1190"/>
      <c r="O43" s="367"/>
      <c r="P43" s="1190"/>
      <c r="Q43" s="367"/>
      <c r="R43" s="1190"/>
      <c r="S43" s="367"/>
      <c r="T43" s="372"/>
      <c r="U43" s="367"/>
      <c r="V43" s="274"/>
      <c r="W43" s="261"/>
      <c r="X43" s="274"/>
      <c r="Y43" s="261"/>
      <c r="Z43" s="274"/>
      <c r="AA43" s="274"/>
      <c r="AB43" s="261">
        <v>0</v>
      </c>
      <c r="AC43" s="367"/>
      <c r="AD43" s="472"/>
      <c r="AE43" s="261">
        <f t="shared" si="5"/>
        <v>0</v>
      </c>
      <c r="AF43" s="261"/>
      <c r="AG43" s="252"/>
      <c r="AH43" s="261">
        <v>0</v>
      </c>
      <c r="AI43" s="514"/>
      <c r="AJ43" s="249"/>
      <c r="AK43" s="1860">
        <f t="shared" si="0"/>
        <v>0</v>
      </c>
      <c r="AL43" s="1860"/>
      <c r="AM43" s="2741">
        <f>ROUND(IF(AH43=0,0,AK43/ABS(AH43)),3)</f>
        <v>0</v>
      </c>
    </row>
    <row r="44" spans="1:39" ht="15" customHeight="1">
      <c r="A44" s="352"/>
      <c r="B44" s="1784" t="s">
        <v>1227</v>
      </c>
      <c r="C44" s="223"/>
      <c r="D44" s="274">
        <v>0</v>
      </c>
      <c r="E44" s="367"/>
      <c r="F44" s="372"/>
      <c r="G44" s="367"/>
      <c r="H44" s="318"/>
      <c r="I44" s="367"/>
      <c r="J44" s="318"/>
      <c r="K44" s="367"/>
      <c r="L44" s="318"/>
      <c r="M44" s="367"/>
      <c r="N44" s="1190"/>
      <c r="O44" s="367"/>
      <c r="P44" s="1190"/>
      <c r="Q44" s="367"/>
      <c r="R44" s="1190"/>
      <c r="S44" s="367"/>
      <c r="T44" s="372"/>
      <c r="U44" s="367"/>
      <c r="V44" s="274"/>
      <c r="W44" s="261"/>
      <c r="X44" s="274"/>
      <c r="Y44" s="261"/>
      <c r="Z44" s="274"/>
      <c r="AA44" s="274"/>
      <c r="AB44" s="261">
        <v>0</v>
      </c>
      <c r="AC44" s="367"/>
      <c r="AD44" s="472"/>
      <c r="AE44" s="261">
        <f t="shared" si="5"/>
        <v>0</v>
      </c>
      <c r="AF44" s="261"/>
      <c r="AG44" s="252"/>
      <c r="AH44" s="261">
        <v>0</v>
      </c>
      <c r="AI44" s="514"/>
      <c r="AJ44" s="249"/>
      <c r="AK44" s="1860">
        <f t="shared" si="0"/>
        <v>0</v>
      </c>
      <c r="AL44" s="1860"/>
      <c r="AM44" s="2741">
        <f>ROUND(IF(AH44=0,0,AK44/ABS(AH44)),3)</f>
        <v>0</v>
      </c>
    </row>
    <row r="45" spans="1:39" ht="15" customHeight="1">
      <c r="A45" s="352"/>
      <c r="B45" s="1784" t="s">
        <v>1228</v>
      </c>
      <c r="C45" s="223"/>
      <c r="D45" s="274">
        <v>0</v>
      </c>
      <c r="E45" s="367"/>
      <c r="F45" s="372"/>
      <c r="G45" s="367"/>
      <c r="H45" s="318"/>
      <c r="I45" s="367"/>
      <c r="J45" s="318"/>
      <c r="K45" s="367"/>
      <c r="L45" s="318"/>
      <c r="M45" s="367"/>
      <c r="N45" s="1190"/>
      <c r="O45" s="367"/>
      <c r="P45" s="1190"/>
      <c r="Q45" s="367"/>
      <c r="R45" s="1190"/>
      <c r="S45" s="367"/>
      <c r="T45" s="372"/>
      <c r="U45" s="367"/>
      <c r="V45" s="274"/>
      <c r="W45" s="261"/>
      <c r="X45" s="274"/>
      <c r="Y45" s="261"/>
      <c r="Z45" s="274"/>
      <c r="AA45" s="274"/>
      <c r="AB45" s="261">
        <v>0</v>
      </c>
      <c r="AC45" s="367"/>
      <c r="AD45" s="472"/>
      <c r="AE45" s="261">
        <f t="shared" si="5"/>
        <v>0</v>
      </c>
      <c r="AF45" s="261"/>
      <c r="AG45" s="252"/>
      <c r="AH45" s="261">
        <v>0</v>
      </c>
      <c r="AI45" s="514"/>
      <c r="AJ45" s="249"/>
      <c r="AK45" s="1860">
        <f t="shared" si="0"/>
        <v>0</v>
      </c>
      <c r="AL45" s="1860"/>
      <c r="AM45" s="2741">
        <f>ROUND(IF(AH45=0,0,AK45/ABS(AH45)),3)</f>
        <v>0</v>
      </c>
    </row>
    <row r="46" spans="1:39" ht="15" customHeight="1">
      <c r="A46" s="352"/>
      <c r="B46" s="1784" t="s">
        <v>1229</v>
      </c>
      <c r="C46" s="223"/>
      <c r="D46" s="274">
        <v>7.9</v>
      </c>
      <c r="E46" s="367"/>
      <c r="F46" s="372"/>
      <c r="G46" s="367"/>
      <c r="H46" s="318"/>
      <c r="I46" s="367"/>
      <c r="J46" s="318"/>
      <c r="K46" s="367"/>
      <c r="L46" s="318"/>
      <c r="M46" s="367"/>
      <c r="N46" s="1190"/>
      <c r="O46" s="367"/>
      <c r="P46" s="1190"/>
      <c r="Q46" s="367"/>
      <c r="R46" s="1190"/>
      <c r="S46" s="367"/>
      <c r="T46" s="372"/>
      <c r="U46" s="367"/>
      <c r="V46" s="274"/>
      <c r="W46" s="261"/>
      <c r="X46" s="274"/>
      <c r="Y46" s="261"/>
      <c r="Z46" s="274"/>
      <c r="AA46" s="274"/>
      <c r="AB46" s="261">
        <v>0</v>
      </c>
      <c r="AC46" s="367"/>
      <c r="AD46" s="472"/>
      <c r="AE46" s="261">
        <f>ROUND(SUM(D46:AB46),1)</f>
        <v>7.9</v>
      </c>
      <c r="AF46" s="261"/>
      <c r="AG46" s="252"/>
      <c r="AH46" s="261">
        <v>7.8</v>
      </c>
      <c r="AI46" s="514"/>
      <c r="AJ46" s="249"/>
      <c r="AK46" s="1860">
        <f t="shared" si="0"/>
        <v>0.1</v>
      </c>
      <c r="AL46" s="1860"/>
      <c r="AM46" s="2741">
        <f>ROUND(IF(AH46=0,0,AK46/ABS(AH46)),3)</f>
        <v>1.2999999999999999E-2</v>
      </c>
    </row>
    <row r="47" spans="1:39" ht="15" customHeight="1">
      <c r="A47" s="352"/>
      <c r="B47" s="1784" t="s">
        <v>1230</v>
      </c>
      <c r="C47" s="223"/>
      <c r="D47" s="274">
        <v>0</v>
      </c>
      <c r="E47" s="367"/>
      <c r="F47" s="372"/>
      <c r="G47" s="367"/>
      <c r="H47" s="1787"/>
      <c r="I47" s="367"/>
      <c r="J47" s="318"/>
      <c r="K47" s="367"/>
      <c r="L47" s="318"/>
      <c r="M47" s="367"/>
      <c r="N47" s="1190"/>
      <c r="O47" s="367"/>
      <c r="P47" s="1190"/>
      <c r="Q47" s="367"/>
      <c r="R47" s="1190"/>
      <c r="S47" s="367"/>
      <c r="T47" s="372"/>
      <c r="U47" s="367"/>
      <c r="V47" s="274"/>
      <c r="W47" s="261"/>
      <c r="X47" s="274"/>
      <c r="Y47" s="261"/>
      <c r="Z47" s="274"/>
      <c r="AA47" s="274"/>
      <c r="AB47" s="261">
        <v>0</v>
      </c>
      <c r="AC47" s="367"/>
      <c r="AD47" s="472"/>
      <c r="AE47" s="261">
        <f t="shared" si="5"/>
        <v>0</v>
      </c>
      <c r="AF47" s="261"/>
      <c r="AG47" s="252"/>
      <c r="AH47" s="261">
        <v>0.1</v>
      </c>
      <c r="AI47" s="514"/>
      <c r="AJ47" s="249"/>
      <c r="AK47" s="1860">
        <f t="shared" si="0"/>
        <v>-0.1</v>
      </c>
      <c r="AL47" s="1860"/>
      <c r="AM47" s="2741">
        <f>ROUND(IF(AH47=0,1,AK47/ABS(AH47)),3)</f>
        <v>-1</v>
      </c>
    </row>
    <row r="48" spans="1:39" ht="15" customHeight="1">
      <c r="A48" s="352"/>
      <c r="B48" s="1784" t="s">
        <v>1231</v>
      </c>
      <c r="C48" s="223"/>
      <c r="D48" s="274">
        <v>0</v>
      </c>
      <c r="E48" s="367"/>
      <c r="F48" s="372"/>
      <c r="G48" s="367"/>
      <c r="H48" s="318"/>
      <c r="I48" s="367"/>
      <c r="J48" s="318"/>
      <c r="K48" s="367"/>
      <c r="L48" s="318"/>
      <c r="M48" s="367"/>
      <c r="N48" s="1190"/>
      <c r="O48" s="367"/>
      <c r="P48" s="1190"/>
      <c r="Q48" s="367"/>
      <c r="R48" s="1190"/>
      <c r="S48" s="367"/>
      <c r="T48" s="372"/>
      <c r="U48" s="367"/>
      <c r="V48" s="274"/>
      <c r="W48" s="261"/>
      <c r="X48" s="274"/>
      <c r="Y48" s="261"/>
      <c r="Z48" s="274"/>
      <c r="AA48" s="274"/>
      <c r="AB48" s="261">
        <v>0</v>
      </c>
      <c r="AC48" s="367"/>
      <c r="AD48" s="472"/>
      <c r="AE48" s="261">
        <f t="shared" si="5"/>
        <v>0</v>
      </c>
      <c r="AF48" s="261"/>
      <c r="AG48" s="252"/>
      <c r="AH48" s="261">
        <v>0</v>
      </c>
      <c r="AI48" s="514"/>
      <c r="AJ48" s="249"/>
      <c r="AK48" s="1860">
        <f t="shared" si="0"/>
        <v>0</v>
      </c>
      <c r="AL48" s="1860"/>
      <c r="AM48" s="2741">
        <f>ROUND(IF(AH48=0,0,AK48/ABS(AH48)),3)</f>
        <v>0</v>
      </c>
    </row>
    <row r="49" spans="1:39" ht="15" customHeight="1">
      <c r="A49" s="352"/>
      <c r="B49" s="1784" t="s">
        <v>1232</v>
      </c>
      <c r="C49" s="223"/>
      <c r="D49" s="274">
        <v>0.1</v>
      </c>
      <c r="E49" s="367"/>
      <c r="F49" s="372"/>
      <c r="G49" s="367"/>
      <c r="H49" s="318"/>
      <c r="I49" s="367"/>
      <c r="J49" s="318"/>
      <c r="K49" s="367"/>
      <c r="L49" s="318"/>
      <c r="M49" s="367"/>
      <c r="N49" s="1190"/>
      <c r="O49" s="367"/>
      <c r="P49" s="1190"/>
      <c r="Q49" s="367"/>
      <c r="R49" s="1190"/>
      <c r="S49" s="367"/>
      <c r="T49" s="372"/>
      <c r="U49" s="367"/>
      <c r="V49" s="274"/>
      <c r="W49" s="261"/>
      <c r="X49" s="274"/>
      <c r="Y49" s="261"/>
      <c r="Z49" s="274"/>
      <c r="AA49" s="274"/>
      <c r="AB49" s="261">
        <v>0</v>
      </c>
      <c r="AC49" s="367"/>
      <c r="AD49" s="472"/>
      <c r="AE49" s="261">
        <f>ROUND(SUM(D49:AB49),1)</f>
        <v>0.1</v>
      </c>
      <c r="AF49" s="261"/>
      <c r="AG49" s="252"/>
      <c r="AH49" s="261">
        <v>0</v>
      </c>
      <c r="AI49" s="514"/>
      <c r="AJ49" s="249"/>
      <c r="AK49" s="1860">
        <f t="shared" si="0"/>
        <v>0.1</v>
      </c>
      <c r="AL49" s="1860"/>
      <c r="AM49" s="2741">
        <f>ROUND(IF(AH49=0,1,AK49/ABS(AH49)),3)</f>
        <v>1</v>
      </c>
    </row>
    <row r="50" spans="1:39" ht="15" customHeight="1">
      <c r="A50" s="352"/>
      <c r="B50" s="1784" t="s">
        <v>1204</v>
      </c>
      <c r="C50" s="223"/>
      <c r="D50" s="274">
        <v>0</v>
      </c>
      <c r="E50" s="367"/>
      <c r="F50" s="372"/>
      <c r="G50" s="367"/>
      <c r="H50" s="318"/>
      <c r="I50" s="367"/>
      <c r="J50" s="318"/>
      <c r="K50" s="367"/>
      <c r="L50" s="318"/>
      <c r="M50" s="367"/>
      <c r="N50" s="1190"/>
      <c r="O50" s="367"/>
      <c r="P50" s="1190"/>
      <c r="Q50" s="367"/>
      <c r="R50" s="1190"/>
      <c r="S50" s="367"/>
      <c r="T50" s="372"/>
      <c r="U50" s="367"/>
      <c r="V50" s="274"/>
      <c r="W50" s="261"/>
      <c r="X50" s="274"/>
      <c r="Y50" s="261"/>
      <c r="Z50" s="274"/>
      <c r="AA50" s="274"/>
      <c r="AB50" s="261">
        <v>0</v>
      </c>
      <c r="AC50" s="367"/>
      <c r="AD50" s="472"/>
      <c r="AE50" s="261">
        <f t="shared" si="5"/>
        <v>0</v>
      </c>
      <c r="AF50" s="261"/>
      <c r="AG50" s="252"/>
      <c r="AH50" s="261">
        <v>0</v>
      </c>
      <c r="AI50" s="514"/>
      <c r="AJ50" s="249"/>
      <c r="AK50" s="1860">
        <f t="shared" si="0"/>
        <v>0</v>
      </c>
      <c r="AL50" s="1860"/>
      <c r="AM50" s="2741">
        <f>ROUND(IF(AH50=0,0,AK50/ABS(AH50)),3)</f>
        <v>0</v>
      </c>
    </row>
    <row r="51" spans="1:39" ht="15" customHeight="1">
      <c r="A51" s="352"/>
      <c r="B51" s="1784" t="s">
        <v>1205</v>
      </c>
      <c r="C51" s="223"/>
      <c r="D51" s="274">
        <v>0</v>
      </c>
      <c r="E51" s="367"/>
      <c r="F51" s="372"/>
      <c r="G51" s="367"/>
      <c r="H51" s="318"/>
      <c r="I51" s="367"/>
      <c r="J51" s="318"/>
      <c r="K51" s="367"/>
      <c r="L51" s="318"/>
      <c r="M51" s="367"/>
      <c r="N51" s="1190"/>
      <c r="O51" s="367"/>
      <c r="P51" s="1190"/>
      <c r="Q51" s="367"/>
      <c r="R51" s="1190"/>
      <c r="S51" s="367"/>
      <c r="T51" s="372"/>
      <c r="U51" s="367"/>
      <c r="V51" s="274"/>
      <c r="W51" s="261"/>
      <c r="X51" s="274"/>
      <c r="Y51" s="261"/>
      <c r="Z51" s="274"/>
      <c r="AA51" s="274"/>
      <c r="AB51" s="261">
        <v>0</v>
      </c>
      <c r="AC51" s="367"/>
      <c r="AD51" s="472"/>
      <c r="AE51" s="261">
        <f t="shared" si="5"/>
        <v>0</v>
      </c>
      <c r="AF51" s="261"/>
      <c r="AG51" s="252"/>
      <c r="AH51" s="261">
        <v>0</v>
      </c>
      <c r="AI51" s="514"/>
      <c r="AJ51" s="249"/>
      <c r="AK51" s="1860">
        <f t="shared" si="0"/>
        <v>0</v>
      </c>
      <c r="AL51" s="1860"/>
      <c r="AM51" s="2741">
        <f>ROUND(IF(AH51=0,0,AK51/ABS(AH51)),3)</f>
        <v>0</v>
      </c>
    </row>
    <row r="52" spans="1:39" s="1779" customFormat="1" ht="15" customHeight="1">
      <c r="A52" s="2054"/>
      <c r="B52" s="588" t="s">
        <v>1357</v>
      </c>
      <c r="C52" s="307"/>
      <c r="D52" s="2059">
        <f>ROUND(SUM(D19:D51),1)</f>
        <v>13</v>
      </c>
      <c r="E52" s="341"/>
      <c r="F52" s="2059">
        <f>ROUND(SUM(F19:F51),1)</f>
        <v>0</v>
      </c>
      <c r="G52" s="341"/>
      <c r="H52" s="2059">
        <f>ROUND(SUM(H19:H51),1)</f>
        <v>0</v>
      </c>
      <c r="I52" s="341"/>
      <c r="J52" s="2059">
        <f>ROUND(SUM(J19:J51),1)</f>
        <v>0</v>
      </c>
      <c r="K52" s="341"/>
      <c r="L52" s="2059">
        <f>ROUND(SUM(L19:L51),1)</f>
        <v>0</v>
      </c>
      <c r="M52" s="341"/>
      <c r="N52" s="2059">
        <f>ROUND(SUM(N19:N51),1)</f>
        <v>0</v>
      </c>
      <c r="O52" s="341"/>
      <c r="P52" s="2059">
        <f>ROUND(SUM(P19:P51),1)</f>
        <v>0</v>
      </c>
      <c r="Q52" s="341"/>
      <c r="R52" s="2059">
        <f>ROUND(SUM(R19:R51),1)</f>
        <v>0</v>
      </c>
      <c r="S52" s="341"/>
      <c r="T52" s="2059">
        <f>ROUND(SUM(T19:T51),1)</f>
        <v>0</v>
      </c>
      <c r="U52" s="341"/>
      <c r="V52" s="2059">
        <f>ROUND(SUM(V19:V51),1)</f>
        <v>0</v>
      </c>
      <c r="W52" s="318"/>
      <c r="X52" s="2059">
        <f>ROUND(SUM(X19:X51),1)</f>
        <v>0</v>
      </c>
      <c r="Y52" s="318"/>
      <c r="Z52" s="2059">
        <f>ROUND(SUM(Z19:Z51),1)</f>
        <v>0</v>
      </c>
      <c r="AA52" s="2614"/>
      <c r="AB52" s="2059">
        <f>ROUND(SUM(AB19:AB51),1)</f>
        <v>0</v>
      </c>
      <c r="AC52" s="341"/>
      <c r="AD52" s="2056"/>
      <c r="AE52" s="2059">
        <f>ROUND(SUM(AE19:AE51),1)</f>
        <v>13</v>
      </c>
      <c r="AF52" s="318"/>
      <c r="AG52" s="2057"/>
      <c r="AH52" s="2059">
        <f>ROUND(SUM(AH19:AH51),1)</f>
        <v>12.4</v>
      </c>
      <c r="AI52" s="2058"/>
      <c r="AJ52" s="262"/>
      <c r="AK52" s="2059">
        <f>ROUND(SUM(AK19:AK51),1)</f>
        <v>0.6</v>
      </c>
      <c r="AL52" s="1996"/>
      <c r="AM52" s="2756">
        <f>ROUND(SUM((AE52-AH52)/ABS(AH52)),3)</f>
        <v>4.8000000000000001E-2</v>
      </c>
    </row>
    <row r="53" spans="1:39" s="1779" customFormat="1" ht="15" customHeight="1">
      <c r="A53" s="2054"/>
      <c r="B53" s="1784"/>
      <c r="C53" s="307"/>
      <c r="D53" s="319"/>
      <c r="E53" s="341"/>
      <c r="F53" s="686"/>
      <c r="G53" s="341"/>
      <c r="H53" s="318"/>
      <c r="I53" s="341"/>
      <c r="J53" s="318"/>
      <c r="K53" s="341"/>
      <c r="L53" s="318"/>
      <c r="M53" s="341"/>
      <c r="N53" s="341"/>
      <c r="O53" s="341"/>
      <c r="P53" s="551"/>
      <c r="Q53" s="341"/>
      <c r="R53" s="2055"/>
      <c r="S53" s="341"/>
      <c r="T53" s="686"/>
      <c r="U53" s="341"/>
      <c r="V53" s="319"/>
      <c r="W53" s="318"/>
      <c r="X53" s="319"/>
      <c r="Y53" s="318"/>
      <c r="Z53" s="319"/>
      <c r="AA53" s="319"/>
      <c r="AB53" s="319"/>
      <c r="AC53" s="341"/>
      <c r="AD53" s="2056"/>
      <c r="AE53" s="318"/>
      <c r="AF53" s="318"/>
      <c r="AG53" s="2057"/>
      <c r="AH53" s="318"/>
      <c r="AI53" s="2058"/>
      <c r="AJ53" s="262"/>
      <c r="AK53" s="1996"/>
      <c r="AL53" s="1996"/>
      <c r="AM53" s="2754"/>
    </row>
    <row r="54" spans="1:39" ht="15" customHeight="1">
      <c r="A54" s="352"/>
      <c r="B54" s="519" t="s">
        <v>155</v>
      </c>
      <c r="C54" s="223"/>
      <c r="D54" s="274">
        <v>3134.7</v>
      </c>
      <c r="E54" s="367"/>
      <c r="F54" s="372"/>
      <c r="G54" s="367"/>
      <c r="H54" s="341"/>
      <c r="I54" s="367"/>
      <c r="J54" s="341"/>
      <c r="K54" s="367"/>
      <c r="L54" s="341"/>
      <c r="M54" s="367"/>
      <c r="N54" s="318"/>
      <c r="O54" s="367"/>
      <c r="P54" s="551"/>
      <c r="Q54" s="367"/>
      <c r="R54" s="1190"/>
      <c r="S54" s="367"/>
      <c r="T54" s="372"/>
      <c r="U54" s="367"/>
      <c r="V54" s="274"/>
      <c r="W54" s="261"/>
      <c r="X54" s="274"/>
      <c r="Y54" s="261"/>
      <c r="Z54" s="274"/>
      <c r="AA54" s="274"/>
      <c r="AB54" s="274">
        <v>0</v>
      </c>
      <c r="AC54" s="367"/>
      <c r="AD54" s="472"/>
      <c r="AE54" s="261">
        <f>ROUND(SUM(D54:AB54),1)</f>
        <v>3134.7</v>
      </c>
      <c r="AF54" s="249"/>
      <c r="AG54" s="252"/>
      <c r="AH54" s="261">
        <v>1629</v>
      </c>
      <c r="AI54" s="514"/>
      <c r="AJ54" s="249"/>
      <c r="AK54" s="1860">
        <f>ROUND(SUM(+AE54-AH54),1)</f>
        <v>1505.7</v>
      </c>
      <c r="AL54" s="1860"/>
      <c r="AM54" s="2757">
        <f>ROUND(SUM((AE54-AH54)/ABS(AH54)),3)</f>
        <v>0.92400000000000004</v>
      </c>
    </row>
    <row r="55" spans="1:39" ht="15" customHeight="1">
      <c r="A55" s="352"/>
      <c r="B55" s="223"/>
      <c r="C55" s="223"/>
      <c r="D55" s="370"/>
      <c r="E55" s="367"/>
      <c r="F55" s="370"/>
      <c r="G55" s="367"/>
      <c r="H55" s="370"/>
      <c r="I55" s="367"/>
      <c r="J55" s="370"/>
      <c r="K55" s="367"/>
      <c r="L55" s="370"/>
      <c r="M55" s="367"/>
      <c r="N55" s="370"/>
      <c r="O55" s="367"/>
      <c r="P55" s="370"/>
      <c r="Q55" s="367"/>
      <c r="R55" s="370"/>
      <c r="S55" s="367"/>
      <c r="T55" s="288"/>
      <c r="U55" s="367"/>
      <c r="V55" s="288"/>
      <c r="W55" s="261"/>
      <c r="X55" s="288"/>
      <c r="Y55" s="261"/>
      <c r="Z55" s="288"/>
      <c r="AA55" s="249"/>
      <c r="AB55" s="288"/>
      <c r="AC55" s="367"/>
      <c r="AD55" s="472"/>
      <c r="AE55" s="288"/>
      <c r="AF55" s="249"/>
      <c r="AG55" s="252"/>
      <c r="AH55" s="288"/>
      <c r="AI55" s="514"/>
      <c r="AJ55" s="249"/>
      <c r="AK55" s="2691"/>
      <c r="AL55" s="2692"/>
      <c r="AM55" s="2758"/>
    </row>
    <row r="56" spans="1:39" ht="15" customHeight="1">
      <c r="A56" s="352"/>
      <c r="B56" s="221" t="s">
        <v>156</v>
      </c>
      <c r="C56" s="223"/>
      <c r="D56" s="257">
        <f>ROUND(SUM(+D52+D54),2)</f>
        <v>3147.7</v>
      </c>
      <c r="E56" s="409"/>
      <c r="F56" s="1838">
        <f>ROUND(SUM(+F52+F54),2)</f>
        <v>0</v>
      </c>
      <c r="G56" s="409"/>
      <c r="H56" s="1838">
        <f>ROUND(SUM(+H52+H54),2)</f>
        <v>0</v>
      </c>
      <c r="I56" s="409"/>
      <c r="J56" s="1838">
        <f>ROUND(SUM(+J52+J54),2)</f>
        <v>0</v>
      </c>
      <c r="K56" s="409"/>
      <c r="L56" s="1838">
        <f>ROUND(SUM(+L52+L54),2)</f>
        <v>0</v>
      </c>
      <c r="M56" s="409"/>
      <c r="N56" s="1838">
        <f>ROUND(SUM(+N52+N54),2)</f>
        <v>0</v>
      </c>
      <c r="O56" s="409"/>
      <c r="P56" s="1838">
        <f>ROUND(SUM(+P52+P54),2)</f>
        <v>0</v>
      </c>
      <c r="Q56" s="409"/>
      <c r="R56" s="1838">
        <f>ROUND(SUM(+R52+R54),2)</f>
        <v>0</v>
      </c>
      <c r="S56" s="409"/>
      <c r="T56" s="1838">
        <f>ROUND(SUM(+T52+T54),2)</f>
        <v>0</v>
      </c>
      <c r="U56" s="409"/>
      <c r="V56" s="1838">
        <f>ROUND(SUM(+V52+V54),2)</f>
        <v>0</v>
      </c>
      <c r="W56" s="257"/>
      <c r="X56" s="1838">
        <f>ROUND(SUM(+X52+X54),2)</f>
        <v>0</v>
      </c>
      <c r="Y56" s="257"/>
      <c r="Z56" s="1838">
        <f>ROUND(SUM(+Z52+Z54),2)</f>
        <v>0</v>
      </c>
      <c r="AA56" s="1838"/>
      <c r="AB56" s="1838">
        <f>ROUND(SUM(+AB52+AB54),2)</f>
        <v>0</v>
      </c>
      <c r="AC56" s="409"/>
      <c r="AD56" s="479"/>
      <c r="AE56" s="1838">
        <f>ROUND(SUM(+AE52+AE54),1)</f>
        <v>3147.7</v>
      </c>
      <c r="AF56" s="273"/>
      <c r="AG56" s="743"/>
      <c r="AH56" s="1838">
        <f>ROUND(SUM(+AH52+AH54),1)</f>
        <v>1641.4</v>
      </c>
      <c r="AI56" s="521"/>
      <c r="AJ56" s="273"/>
      <c r="AK56" s="1692">
        <f>ROUND(SUM(+AK52+AK54),1)</f>
        <v>1506.3</v>
      </c>
      <c r="AL56" s="523"/>
      <c r="AM56" s="2759">
        <f>ROUND(SUM((AE56-AH56)/ABS(AH56)),3)</f>
        <v>0.91800000000000004</v>
      </c>
    </row>
    <row r="57" spans="1:39" ht="15" customHeight="1">
      <c r="A57" s="352"/>
      <c r="B57" s="223"/>
      <c r="C57" s="223"/>
      <c r="D57" s="370"/>
      <c r="E57" s="367"/>
      <c r="F57" s="288"/>
      <c r="G57" s="367"/>
      <c r="H57" s="288"/>
      <c r="I57" s="367"/>
      <c r="J57" s="288"/>
      <c r="K57" s="367"/>
      <c r="L57" s="288"/>
      <c r="M57" s="367"/>
      <c r="N57" s="288"/>
      <c r="O57" s="367"/>
      <c r="P57" s="288"/>
      <c r="Q57" s="367"/>
      <c r="R57" s="288"/>
      <c r="S57" s="367"/>
      <c r="T57" s="288"/>
      <c r="U57" s="367"/>
      <c r="V57" s="288"/>
      <c r="W57" s="261"/>
      <c r="X57" s="288"/>
      <c r="Y57" s="261"/>
      <c r="Z57" s="288"/>
      <c r="AA57" s="249"/>
      <c r="AB57" s="288"/>
      <c r="AC57" s="367"/>
      <c r="AD57" s="472"/>
      <c r="AE57" s="370"/>
      <c r="AF57" s="253"/>
      <c r="AG57" s="540"/>
      <c r="AH57" s="370"/>
      <c r="AI57" s="541"/>
      <c r="AJ57" s="229"/>
      <c r="AK57" s="2692"/>
      <c r="AL57" s="2692"/>
      <c r="AM57" s="2760"/>
    </row>
    <row r="58" spans="1:39" ht="15" customHeight="1">
      <c r="A58" s="352"/>
      <c r="B58" s="375" t="s">
        <v>24</v>
      </c>
      <c r="C58" s="223"/>
      <c r="D58" s="367"/>
      <c r="E58" s="367"/>
      <c r="F58" s="261"/>
      <c r="G58" s="367"/>
      <c r="H58" s="261"/>
      <c r="I58" s="367"/>
      <c r="J58" s="261"/>
      <c r="K58" s="367"/>
      <c r="L58" s="261"/>
      <c r="M58" s="367"/>
      <c r="N58" s="261"/>
      <c r="O58" s="367"/>
      <c r="P58" s="261"/>
      <c r="Q58" s="367"/>
      <c r="R58" s="261"/>
      <c r="S58" s="367"/>
      <c r="T58" s="261"/>
      <c r="U58" s="367"/>
      <c r="V58" s="261"/>
      <c r="W58" s="261"/>
      <c r="X58" s="261"/>
      <c r="Y58" s="261"/>
      <c r="Z58" s="261"/>
      <c r="AA58" s="261"/>
      <c r="AB58" s="261"/>
      <c r="AC58" s="367"/>
      <c r="AD58" s="472"/>
      <c r="AE58" s="367"/>
      <c r="AF58" s="253"/>
      <c r="AG58" s="540"/>
      <c r="AH58" s="367"/>
      <c r="AI58" s="541"/>
      <c r="AJ58" s="229"/>
      <c r="AK58" s="2692"/>
      <c r="AL58" s="2692"/>
      <c r="AM58" s="2760"/>
    </row>
    <row r="59" spans="1:39" ht="15" customHeight="1">
      <c r="A59" s="352"/>
      <c r="B59" s="1343" t="s">
        <v>157</v>
      </c>
      <c r="C59" s="223"/>
      <c r="D59" s="274"/>
      <c r="E59" s="367"/>
      <c r="F59" s="274"/>
      <c r="G59" s="367"/>
      <c r="H59" s="319"/>
      <c r="I59" s="367"/>
      <c r="J59" s="319"/>
      <c r="K59" s="367"/>
      <c r="L59" s="319"/>
      <c r="M59" s="367"/>
      <c r="N59" s="319"/>
      <c r="O59" s="367"/>
      <c r="P59" s="320"/>
      <c r="Q59" s="367"/>
      <c r="R59" s="274"/>
      <c r="S59" s="367"/>
      <c r="T59" s="274"/>
      <c r="U59" s="367"/>
      <c r="V59" s="261"/>
      <c r="W59" s="261"/>
      <c r="X59" s="261"/>
      <c r="Y59" s="261"/>
      <c r="Z59" s="261"/>
      <c r="AA59" s="261"/>
      <c r="AB59" s="261"/>
      <c r="AC59" s="367"/>
      <c r="AD59" s="472"/>
      <c r="AE59" s="367"/>
      <c r="AF59" s="253"/>
      <c r="AG59" s="540"/>
      <c r="AH59" s="367"/>
      <c r="AI59" s="541"/>
      <c r="AJ59" s="229"/>
      <c r="AK59" s="2575"/>
      <c r="AL59" s="2692"/>
      <c r="AM59" s="2758"/>
    </row>
    <row r="60" spans="1:39" ht="15" customHeight="1">
      <c r="A60" s="352"/>
      <c r="B60" s="381" t="s">
        <v>26</v>
      </c>
      <c r="C60" s="223"/>
      <c r="D60" s="274">
        <v>268.39999999999998</v>
      </c>
      <c r="E60" s="367"/>
      <c r="F60" s="372"/>
      <c r="G60" s="367"/>
      <c r="H60" s="328"/>
      <c r="I60" s="367"/>
      <c r="J60" s="328"/>
      <c r="K60" s="367"/>
      <c r="L60" s="328"/>
      <c r="M60" s="367"/>
      <c r="N60" s="328"/>
      <c r="O60" s="367"/>
      <c r="P60" s="1190"/>
      <c r="Q60" s="367"/>
      <c r="R60" s="1190"/>
      <c r="S60" s="367"/>
      <c r="T60" s="372"/>
      <c r="U60" s="367"/>
      <c r="V60" s="274"/>
      <c r="W60" s="261"/>
      <c r="X60" s="274"/>
      <c r="Y60" s="261"/>
      <c r="Z60" s="261"/>
      <c r="AA60" s="261"/>
      <c r="AB60" s="261">
        <v>0</v>
      </c>
      <c r="AC60" s="367"/>
      <c r="AD60" s="472"/>
      <c r="AE60" s="261">
        <f>ROUND(SUM(D60:AB60),1)</f>
        <v>268.39999999999998</v>
      </c>
      <c r="AF60" s="249"/>
      <c r="AG60" s="252"/>
      <c r="AH60" s="318">
        <v>324.10000000000002</v>
      </c>
      <c r="AI60" s="514"/>
      <c r="AJ60" s="249"/>
      <c r="AK60" s="1159">
        <f>ROUND(SUM(+AE60-AH60),1)</f>
        <v>-55.7</v>
      </c>
      <c r="AL60" s="1159"/>
      <c r="AM60" s="2741">
        <f>ROUND(IF(AH60=0,0,AK60/ABS(AH60)),3)</f>
        <v>-0.17199999999999999</v>
      </c>
    </row>
    <row r="61" spans="1:39" ht="15" customHeight="1">
      <c r="A61" s="352"/>
      <c r="B61" s="381" t="s">
        <v>27</v>
      </c>
      <c r="C61" s="223"/>
      <c r="D61" s="515">
        <v>0.6</v>
      </c>
      <c r="E61" s="367"/>
      <c r="F61" s="372"/>
      <c r="G61" s="367"/>
      <c r="H61" s="328"/>
      <c r="I61" s="367"/>
      <c r="J61" s="328"/>
      <c r="K61" s="367"/>
      <c r="L61" s="328"/>
      <c r="M61" s="367"/>
      <c r="N61" s="372"/>
      <c r="O61" s="367"/>
      <c r="P61" s="1190"/>
      <c r="Q61" s="367"/>
      <c r="R61" s="1190"/>
      <c r="S61" s="367"/>
      <c r="T61" s="372"/>
      <c r="U61" s="367"/>
      <c r="V61" s="372"/>
      <c r="W61" s="261"/>
      <c r="X61" s="274"/>
      <c r="Y61" s="261"/>
      <c r="Z61" s="261"/>
      <c r="AA61" s="261"/>
      <c r="AB61" s="261">
        <v>0</v>
      </c>
      <c r="AC61" s="367"/>
      <c r="AD61" s="472"/>
      <c r="AE61" s="261">
        <f>ROUND(SUM(D61:AB61),1)</f>
        <v>0.6</v>
      </c>
      <c r="AF61" s="249"/>
      <c r="AG61" s="252"/>
      <c r="AH61" s="1263">
        <v>0.3</v>
      </c>
      <c r="AI61" s="514"/>
      <c r="AJ61" s="249"/>
      <c r="AK61" s="1159">
        <f>ROUND(SUM(+AE61-AH61),1)</f>
        <v>0.3</v>
      </c>
      <c r="AL61" s="1159"/>
      <c r="AM61" s="2749">
        <f>ROUND(IF(AH61=0,1,AK61/ABS(AH61)),3)</f>
        <v>1</v>
      </c>
    </row>
    <row r="62" spans="1:39" ht="15" customHeight="1">
      <c r="A62" s="352"/>
      <c r="B62" s="381" t="s">
        <v>28</v>
      </c>
      <c r="C62" s="223"/>
      <c r="D62" s="515">
        <v>0.8</v>
      </c>
      <c r="E62" s="367"/>
      <c r="F62" s="372"/>
      <c r="G62" s="367"/>
      <c r="H62" s="328"/>
      <c r="I62" s="367"/>
      <c r="J62" s="328"/>
      <c r="K62" s="367"/>
      <c r="L62" s="328"/>
      <c r="M62" s="367"/>
      <c r="N62" s="328"/>
      <c r="O62" s="367"/>
      <c r="P62" s="1190"/>
      <c r="Q62" s="367"/>
      <c r="R62" s="1190"/>
      <c r="S62" s="367"/>
      <c r="T62" s="372"/>
      <c r="U62" s="367"/>
      <c r="V62" s="274"/>
      <c r="W62" s="261"/>
      <c r="X62" s="274"/>
      <c r="Y62" s="261"/>
      <c r="Z62" s="261"/>
      <c r="AA62" s="261"/>
      <c r="AB62" s="261">
        <v>0</v>
      </c>
      <c r="AC62" s="367"/>
      <c r="AD62" s="472"/>
      <c r="AE62" s="261">
        <f>ROUND(SUM(D62:AB62),1)</f>
        <v>0.8</v>
      </c>
      <c r="AF62" s="249"/>
      <c r="AG62" s="252"/>
      <c r="AH62" s="1263">
        <v>0.8</v>
      </c>
      <c r="AI62" s="514"/>
      <c r="AJ62" s="249"/>
      <c r="AK62" s="1159">
        <f>ROUND(SUM(+AE62-AH62),1)</f>
        <v>0</v>
      </c>
      <c r="AL62" s="1159"/>
      <c r="AM62" s="2741">
        <f>ROUND(IF(AH62=0,0,AK62/ABS(AH62)),3)</f>
        <v>0</v>
      </c>
    </row>
    <row r="63" spans="1:39" ht="15" customHeight="1">
      <c r="A63" s="352"/>
      <c r="B63" s="381" t="s">
        <v>29</v>
      </c>
      <c r="C63" s="223"/>
      <c r="D63" s="274"/>
      <c r="E63" s="367"/>
      <c r="F63" s="274"/>
      <c r="G63" s="367"/>
      <c r="H63" s="319"/>
      <c r="I63" s="367"/>
      <c r="J63" s="319"/>
      <c r="K63" s="367"/>
      <c r="L63" s="319"/>
      <c r="M63" s="367"/>
      <c r="N63" s="319"/>
      <c r="O63" s="367"/>
      <c r="P63" s="320"/>
      <c r="Q63" s="367"/>
      <c r="R63" s="274"/>
      <c r="S63" s="367"/>
      <c r="T63" s="274"/>
      <c r="U63" s="367"/>
      <c r="V63" s="274"/>
      <c r="W63" s="261"/>
      <c r="X63" s="274"/>
      <c r="Y63" s="261"/>
      <c r="Z63" s="261"/>
      <c r="AA63" s="261"/>
      <c r="AB63" s="261"/>
      <c r="AC63" s="367"/>
      <c r="AD63" s="472"/>
      <c r="AE63" s="261"/>
      <c r="AF63" s="249"/>
      <c r="AG63" s="252"/>
      <c r="AH63" s="318"/>
      <c r="AI63" s="514"/>
      <c r="AJ63" s="249"/>
      <c r="AK63" s="1313"/>
      <c r="AL63" s="2575"/>
      <c r="AM63" s="2758"/>
    </row>
    <row r="64" spans="1:39" ht="15" customHeight="1">
      <c r="A64" s="352"/>
      <c r="B64" s="1675" t="s">
        <v>30</v>
      </c>
      <c r="C64" s="223"/>
      <c r="D64" s="274">
        <v>2243.8000000000002</v>
      </c>
      <c r="E64" s="367"/>
      <c r="F64" s="372"/>
      <c r="G64" s="367"/>
      <c r="H64" s="328"/>
      <c r="I64" s="367"/>
      <c r="J64" s="328"/>
      <c r="K64" s="367"/>
      <c r="L64" s="328"/>
      <c r="M64" s="367"/>
      <c r="N64" s="328"/>
      <c r="O64" s="367"/>
      <c r="P64" s="1190"/>
      <c r="Q64" s="367"/>
      <c r="R64" s="1190"/>
      <c r="S64" s="367"/>
      <c r="T64" s="372"/>
      <c r="U64" s="367"/>
      <c r="V64" s="274"/>
      <c r="W64" s="261"/>
      <c r="X64" s="274"/>
      <c r="Y64" s="261"/>
      <c r="Z64" s="261"/>
      <c r="AA64" s="261"/>
      <c r="AB64" s="261">
        <v>0</v>
      </c>
      <c r="AC64" s="367"/>
      <c r="AD64" s="472"/>
      <c r="AE64" s="261">
        <f t="shared" ref="AE64:AE69" si="6">ROUND(SUM(D64:AB64),1)</f>
        <v>2243.8000000000002</v>
      </c>
      <c r="AF64" s="249"/>
      <c r="AG64" s="252"/>
      <c r="AH64" s="318">
        <v>1558.6</v>
      </c>
      <c r="AI64" s="514"/>
      <c r="AJ64" s="249"/>
      <c r="AK64" s="1159">
        <f t="shared" ref="AK64:AK69" si="7">ROUND(SUM(+AE64-AH64),1)</f>
        <v>685.2</v>
      </c>
      <c r="AL64" s="1159"/>
      <c r="AM64" s="2741">
        <f t="shared" ref="AM64:AM69" si="8">ROUND(IF(AH64=0,0,AK64/ABS(AH64)),3)</f>
        <v>0.44</v>
      </c>
    </row>
    <row r="65" spans="1:39" ht="15" customHeight="1">
      <c r="A65" s="352"/>
      <c r="B65" s="381" t="s">
        <v>31</v>
      </c>
      <c r="C65" s="223"/>
      <c r="D65" s="274">
        <v>420.2</v>
      </c>
      <c r="E65" s="367"/>
      <c r="F65" s="372"/>
      <c r="G65" s="367"/>
      <c r="H65" s="328"/>
      <c r="I65" s="367"/>
      <c r="J65" s="328"/>
      <c r="K65" s="367"/>
      <c r="L65" s="328"/>
      <c r="M65" s="367"/>
      <c r="N65" s="328"/>
      <c r="O65" s="367"/>
      <c r="P65" s="1190"/>
      <c r="Q65" s="367"/>
      <c r="R65" s="1190"/>
      <c r="S65" s="367"/>
      <c r="T65" s="372"/>
      <c r="U65" s="367"/>
      <c r="V65" s="274"/>
      <c r="W65" s="261"/>
      <c r="X65" s="274"/>
      <c r="Y65" s="261"/>
      <c r="Z65" s="261"/>
      <c r="AA65" s="261"/>
      <c r="AB65" s="261">
        <v>0</v>
      </c>
      <c r="AC65" s="367"/>
      <c r="AD65" s="472"/>
      <c r="AE65" s="261">
        <f t="shared" si="6"/>
        <v>420.2</v>
      </c>
      <c r="AF65" s="249"/>
      <c r="AG65" s="252"/>
      <c r="AH65" s="318">
        <v>118.6</v>
      </c>
      <c r="AI65" s="514"/>
      <c r="AJ65" s="249"/>
      <c r="AK65" s="1159">
        <f t="shared" si="7"/>
        <v>301.60000000000002</v>
      </c>
      <c r="AL65" s="1159"/>
      <c r="AM65" s="2741">
        <f t="shared" si="8"/>
        <v>2.5430000000000001</v>
      </c>
    </row>
    <row r="66" spans="1:39" ht="15" customHeight="1">
      <c r="A66" s="352"/>
      <c r="B66" s="381" t="s">
        <v>32</v>
      </c>
      <c r="C66" s="223"/>
      <c r="D66" s="274">
        <v>73.2</v>
      </c>
      <c r="E66" s="367"/>
      <c r="F66" s="372"/>
      <c r="G66" s="367"/>
      <c r="H66" s="328"/>
      <c r="I66" s="367"/>
      <c r="J66" s="328"/>
      <c r="K66" s="367"/>
      <c r="L66" s="328"/>
      <c r="M66" s="367"/>
      <c r="N66" s="328"/>
      <c r="O66" s="367"/>
      <c r="P66" s="1190"/>
      <c r="Q66" s="367"/>
      <c r="R66" s="1190"/>
      <c r="S66" s="367"/>
      <c r="T66" s="372"/>
      <c r="U66" s="367"/>
      <c r="V66" s="274"/>
      <c r="W66" s="261"/>
      <c r="X66" s="274"/>
      <c r="Y66" s="261"/>
      <c r="Z66" s="261"/>
      <c r="AA66" s="261"/>
      <c r="AB66" s="261">
        <v>0</v>
      </c>
      <c r="AC66" s="367"/>
      <c r="AD66" s="472"/>
      <c r="AE66" s="261">
        <f t="shared" si="6"/>
        <v>73.2</v>
      </c>
      <c r="AF66" s="249"/>
      <c r="AG66" s="252"/>
      <c r="AH66" s="318">
        <v>157.80000000000001</v>
      </c>
      <c r="AI66" s="514"/>
      <c r="AJ66" s="249"/>
      <c r="AK66" s="1159">
        <f t="shared" si="7"/>
        <v>-84.6</v>
      </c>
      <c r="AL66" s="1159"/>
      <c r="AM66" s="2741">
        <f t="shared" si="8"/>
        <v>-0.53600000000000003</v>
      </c>
    </row>
    <row r="67" spans="1:39" ht="15" customHeight="1">
      <c r="A67" s="352"/>
      <c r="B67" s="381" t="s">
        <v>33</v>
      </c>
      <c r="C67" s="223"/>
      <c r="D67" s="274">
        <v>246.8</v>
      </c>
      <c r="E67" s="367"/>
      <c r="F67" s="372"/>
      <c r="G67" s="367"/>
      <c r="H67" s="328"/>
      <c r="I67" s="367"/>
      <c r="J67" s="328"/>
      <c r="K67" s="367"/>
      <c r="L67" s="328"/>
      <c r="M67" s="367"/>
      <c r="N67" s="328"/>
      <c r="O67" s="367"/>
      <c r="P67" s="1190"/>
      <c r="Q67" s="367"/>
      <c r="R67" s="1190"/>
      <c r="S67" s="367"/>
      <c r="T67" s="372"/>
      <c r="U67" s="367"/>
      <c r="V67" s="274"/>
      <c r="W67" s="261"/>
      <c r="X67" s="274"/>
      <c r="Y67" s="261"/>
      <c r="Z67" s="261"/>
      <c r="AA67" s="261"/>
      <c r="AB67" s="261">
        <v>0</v>
      </c>
      <c r="AC67" s="367"/>
      <c r="AD67" s="472"/>
      <c r="AE67" s="261">
        <f t="shared" si="6"/>
        <v>246.8</v>
      </c>
      <c r="AF67" s="249"/>
      <c r="AG67" s="252"/>
      <c r="AH67" s="318">
        <v>234.6</v>
      </c>
      <c r="AI67" s="514"/>
      <c r="AJ67" s="249"/>
      <c r="AK67" s="1159">
        <f t="shared" si="7"/>
        <v>12.2</v>
      </c>
      <c r="AL67" s="1159"/>
      <c r="AM67" s="2741">
        <f t="shared" si="8"/>
        <v>5.1999999999999998E-2</v>
      </c>
    </row>
    <row r="68" spans="1:39" ht="15" customHeight="1">
      <c r="A68" s="352"/>
      <c r="B68" s="381" t="s">
        <v>34</v>
      </c>
      <c r="C68" s="223"/>
      <c r="D68" s="515">
        <v>0</v>
      </c>
      <c r="E68" s="367"/>
      <c r="F68" s="372"/>
      <c r="G68" s="367"/>
      <c r="H68" s="328"/>
      <c r="I68" s="367"/>
      <c r="J68" s="328"/>
      <c r="K68" s="367"/>
      <c r="L68" s="328"/>
      <c r="M68" s="367"/>
      <c r="N68" s="328"/>
      <c r="O68" s="367"/>
      <c r="P68" s="1190"/>
      <c r="Q68" s="367"/>
      <c r="R68" s="1190"/>
      <c r="S68" s="367"/>
      <c r="T68" s="372"/>
      <c r="U68" s="367"/>
      <c r="V68" s="372"/>
      <c r="W68" s="261"/>
      <c r="X68" s="274"/>
      <c r="Y68" s="261"/>
      <c r="Z68" s="261"/>
      <c r="AA68" s="261"/>
      <c r="AB68" s="261">
        <v>0</v>
      </c>
      <c r="AC68" s="367"/>
      <c r="AD68" s="472"/>
      <c r="AE68" s="261">
        <f>ROUND(SUM(D68:AB68),1)</f>
        <v>0</v>
      </c>
      <c r="AF68" s="249"/>
      <c r="AG68" s="252"/>
      <c r="AH68" s="1263">
        <v>0</v>
      </c>
      <c r="AI68" s="514"/>
      <c r="AJ68" s="249"/>
      <c r="AK68" s="1159">
        <f t="shared" si="7"/>
        <v>0</v>
      </c>
      <c r="AL68" s="1159"/>
      <c r="AM68" s="2741">
        <f t="shared" si="8"/>
        <v>0</v>
      </c>
    </row>
    <row r="69" spans="1:39" ht="15" customHeight="1">
      <c r="A69" s="352"/>
      <c r="B69" s="381" t="s">
        <v>35</v>
      </c>
      <c r="C69" s="223"/>
      <c r="D69" s="274">
        <v>6.1</v>
      </c>
      <c r="E69" s="367"/>
      <c r="F69" s="372"/>
      <c r="G69" s="367"/>
      <c r="H69" s="328"/>
      <c r="I69" s="367"/>
      <c r="J69" s="328"/>
      <c r="K69" s="367"/>
      <c r="L69" s="328"/>
      <c r="M69" s="367"/>
      <c r="N69" s="328"/>
      <c r="O69" s="367"/>
      <c r="P69" s="1190"/>
      <c r="Q69" s="367"/>
      <c r="R69" s="1190"/>
      <c r="S69" s="367"/>
      <c r="T69" s="372"/>
      <c r="U69" s="367"/>
      <c r="V69" s="274"/>
      <c r="W69" s="261"/>
      <c r="X69" s="274"/>
      <c r="Y69" s="261"/>
      <c r="Z69" s="488"/>
      <c r="AA69" s="249"/>
      <c r="AB69" s="488">
        <v>0</v>
      </c>
      <c r="AC69" s="367"/>
      <c r="AD69" s="472"/>
      <c r="AE69" s="261">
        <f t="shared" si="6"/>
        <v>6.1</v>
      </c>
      <c r="AF69" s="249"/>
      <c r="AG69" s="252"/>
      <c r="AH69" s="525">
        <v>2.2000000000000002</v>
      </c>
      <c r="AI69" s="514"/>
      <c r="AJ69" s="249"/>
      <c r="AK69" s="1159">
        <f t="shared" si="7"/>
        <v>3.9</v>
      </c>
      <c r="AL69" s="1860"/>
      <c r="AM69" s="2744">
        <f t="shared" si="8"/>
        <v>1.7729999999999999</v>
      </c>
    </row>
    <row r="70" spans="1:39" ht="15" customHeight="1">
      <c r="A70" s="352"/>
      <c r="B70" s="221" t="s">
        <v>1360</v>
      </c>
      <c r="C70" s="223"/>
      <c r="D70" s="544">
        <f>ROUND(SUM(D60:D69),2)</f>
        <v>3259.9</v>
      </c>
      <c r="E70" s="409"/>
      <c r="F70" s="544">
        <f>ROUND(SUM(F60:F69),2)</f>
        <v>0</v>
      </c>
      <c r="G70" s="368"/>
      <c r="H70" s="544">
        <f>ROUND(SUM(H60:H69),2)</f>
        <v>0</v>
      </c>
      <c r="I70" s="409"/>
      <c r="J70" s="544">
        <f>ROUND(SUM(J60:J69),2)</f>
        <v>0</v>
      </c>
      <c r="K70" s="409"/>
      <c r="L70" s="544">
        <f>ROUND(SUM(L60:L69),2)</f>
        <v>0</v>
      </c>
      <c r="M70" s="409"/>
      <c r="N70" s="544">
        <f>ROUND(SUM(N60:N69),2)</f>
        <v>0</v>
      </c>
      <c r="O70" s="409"/>
      <c r="P70" s="544">
        <f>ROUND(SUM(P60:P69),2)</f>
        <v>0</v>
      </c>
      <c r="Q70" s="409"/>
      <c r="R70" s="544">
        <f>ROUND(SUM(R60:R69),2)</f>
        <v>0</v>
      </c>
      <c r="S70" s="409"/>
      <c r="T70" s="544">
        <f>ROUND(SUM(T60:T69),2)</f>
        <v>0</v>
      </c>
      <c r="U70" s="409"/>
      <c r="V70" s="544">
        <f>ROUND(SUM(V60:V69),2)</f>
        <v>0</v>
      </c>
      <c r="W70" s="257"/>
      <c r="X70" s="544">
        <f>ROUND(SUM(X60:X69),2)</f>
        <v>0</v>
      </c>
      <c r="Y70" s="257"/>
      <c r="Z70" s="544">
        <f>ROUND(SUM(Z60:Z69),2)</f>
        <v>0</v>
      </c>
      <c r="AA70" s="273"/>
      <c r="AB70" s="544">
        <f>ROUND(SUM(AB60:AB69),2)</f>
        <v>0</v>
      </c>
      <c r="AC70" s="409"/>
      <c r="AD70" s="479"/>
      <c r="AE70" s="544">
        <f>ROUND(SUM(AE60:AE69),2)</f>
        <v>3259.9</v>
      </c>
      <c r="AF70" s="273"/>
      <c r="AG70" s="743"/>
      <c r="AH70" s="526">
        <f>ROUND(SUM(AH60:AH69),1)</f>
        <v>2397</v>
      </c>
      <c r="AI70" s="521"/>
      <c r="AJ70" s="273"/>
      <c r="AK70" s="1344">
        <f>ROUND(SUM(AE70-AH70),1)</f>
        <v>862.9</v>
      </c>
      <c r="AL70" s="523"/>
      <c r="AM70" s="2756">
        <f>ROUND(SUM((AE70-AH70)/ABS(AH70)),3)</f>
        <v>0.36</v>
      </c>
    </row>
    <row r="71" spans="1:39" ht="15" customHeight="1">
      <c r="A71" s="352"/>
      <c r="B71" s="223" t="s">
        <v>158</v>
      </c>
      <c r="C71" s="223"/>
      <c r="D71" s="367"/>
      <c r="E71" s="367"/>
      <c r="F71" s="261"/>
      <c r="G71" s="367"/>
      <c r="H71" s="261"/>
      <c r="I71" s="367"/>
      <c r="J71" s="261"/>
      <c r="K71" s="367"/>
      <c r="L71" s="261"/>
      <c r="M71" s="367"/>
      <c r="N71" s="261"/>
      <c r="O71" s="367"/>
      <c r="P71" s="261"/>
      <c r="Q71" s="367"/>
      <c r="R71" s="261"/>
      <c r="S71" s="367"/>
      <c r="T71" s="261"/>
      <c r="U71" s="367"/>
      <c r="V71" s="261"/>
      <c r="W71" s="261"/>
      <c r="X71" s="261"/>
      <c r="Y71" s="261"/>
      <c r="Z71" s="261"/>
      <c r="AA71" s="261"/>
      <c r="AB71" s="261"/>
      <c r="AC71" s="367"/>
      <c r="AD71" s="472"/>
      <c r="AE71" s="367"/>
      <c r="AF71" s="253"/>
      <c r="AG71" s="540"/>
      <c r="AH71" s="367"/>
      <c r="AI71" s="541"/>
      <c r="AJ71" s="229"/>
      <c r="AK71" s="2692"/>
      <c r="AL71" s="2692"/>
      <c r="AM71" s="2760"/>
    </row>
    <row r="72" spans="1:39" ht="15" customHeight="1">
      <c r="A72" s="352"/>
      <c r="B72" s="223" t="s">
        <v>159</v>
      </c>
      <c r="C72" s="223"/>
      <c r="D72" s="274">
        <v>48.8</v>
      </c>
      <c r="E72" s="367"/>
      <c r="F72" s="372"/>
      <c r="G72" s="367"/>
      <c r="H72" s="328"/>
      <c r="I72" s="367"/>
      <c r="J72" s="328"/>
      <c r="K72" s="367"/>
      <c r="L72" s="328"/>
      <c r="M72" s="367"/>
      <c r="N72" s="328"/>
      <c r="O72" s="367"/>
      <c r="P72" s="1190"/>
      <c r="Q72" s="367"/>
      <c r="R72" s="1190"/>
      <c r="S72" s="367"/>
      <c r="T72" s="372"/>
      <c r="U72" s="367"/>
      <c r="V72" s="274"/>
      <c r="W72" s="261"/>
      <c r="X72" s="274"/>
      <c r="Y72" s="261"/>
      <c r="Z72" s="261"/>
      <c r="AA72" s="261"/>
      <c r="AB72" s="261">
        <v>0</v>
      </c>
      <c r="AC72" s="367"/>
      <c r="AD72" s="472"/>
      <c r="AE72" s="261">
        <f>ROUND(SUM(D72:AB72),1)</f>
        <v>48.8</v>
      </c>
      <c r="AF72" s="1345"/>
      <c r="AG72" s="252"/>
      <c r="AH72" s="261">
        <v>50.8</v>
      </c>
      <c r="AI72" s="514"/>
      <c r="AJ72" s="249"/>
      <c r="AK72" s="1159">
        <f>ROUND(SUM(+AE72-AH72),1)</f>
        <v>-2</v>
      </c>
      <c r="AL72" s="1159"/>
      <c r="AM72" s="2741">
        <f>ROUND(IF(AH72=0,0,AK72/ABS(AH72)),3)</f>
        <v>-3.9E-2</v>
      </c>
    </row>
    <row r="73" spans="1:39" ht="15" customHeight="1">
      <c r="A73" s="352"/>
      <c r="B73" s="223" t="s">
        <v>186</v>
      </c>
      <c r="C73" s="223"/>
      <c r="D73" s="274">
        <v>45.6</v>
      </c>
      <c r="E73" s="367"/>
      <c r="F73" s="372"/>
      <c r="G73" s="367"/>
      <c r="H73" s="328"/>
      <c r="I73" s="367"/>
      <c r="J73" s="328"/>
      <c r="K73" s="367"/>
      <c r="L73" s="328"/>
      <c r="M73" s="367"/>
      <c r="N73" s="328"/>
      <c r="O73" s="367"/>
      <c r="P73" s="1190"/>
      <c r="Q73" s="367"/>
      <c r="R73" s="1190"/>
      <c r="S73" s="367"/>
      <c r="T73" s="372"/>
      <c r="U73" s="367"/>
      <c r="V73" s="274"/>
      <c r="W73" s="261"/>
      <c r="X73" s="274"/>
      <c r="Y73" s="261"/>
      <c r="Z73" s="261"/>
      <c r="AA73" s="261"/>
      <c r="AB73" s="261">
        <v>0</v>
      </c>
      <c r="AC73" s="367"/>
      <c r="AD73" s="472"/>
      <c r="AE73" s="261">
        <f>ROUND(SUM(D73:AB73),1)</f>
        <v>45.6</v>
      </c>
      <c r="AF73" s="1345"/>
      <c r="AG73" s="252"/>
      <c r="AH73" s="261">
        <v>57.3</v>
      </c>
      <c r="AI73" s="514"/>
      <c r="AJ73" s="249"/>
      <c r="AK73" s="1159">
        <f>ROUND(SUM(+AE73-AH73),1)</f>
        <v>-11.7</v>
      </c>
      <c r="AL73" s="1159"/>
      <c r="AM73" s="2741">
        <f>ROUND(IF(AH73=0,0,AK73/ABS(AH73)),3)</f>
        <v>-0.20399999999999999</v>
      </c>
    </row>
    <row r="74" spans="1:39" ht="15" customHeight="1">
      <c r="A74" s="352"/>
      <c r="B74" s="223" t="s">
        <v>161</v>
      </c>
      <c r="C74" s="223"/>
      <c r="D74" s="515">
        <v>10.5</v>
      </c>
      <c r="E74" s="367"/>
      <c r="F74" s="372"/>
      <c r="G74" s="367"/>
      <c r="H74" s="328"/>
      <c r="I74" s="367"/>
      <c r="J74" s="328"/>
      <c r="K74" s="367"/>
      <c r="L74" s="328"/>
      <c r="M74" s="367"/>
      <c r="N74" s="328"/>
      <c r="O74" s="367"/>
      <c r="P74" s="1190"/>
      <c r="Q74" s="367"/>
      <c r="R74" s="1190"/>
      <c r="S74" s="367"/>
      <c r="T74" s="372"/>
      <c r="U74" s="367"/>
      <c r="V74" s="274"/>
      <c r="W74" s="261"/>
      <c r="X74" s="274"/>
      <c r="Y74" s="261"/>
      <c r="Z74" s="261"/>
      <c r="AA74" s="261"/>
      <c r="AB74" s="261">
        <v>0</v>
      </c>
      <c r="AC74" s="367"/>
      <c r="AD74" s="472"/>
      <c r="AE74" s="261">
        <f>ROUND(SUM(D74:AB74),1)</f>
        <v>10.5</v>
      </c>
      <c r="AF74" s="1345"/>
      <c r="AG74" s="252"/>
      <c r="AH74" s="264">
        <v>13.3</v>
      </c>
      <c r="AI74" s="514"/>
      <c r="AJ74" s="249"/>
      <c r="AK74" s="1159">
        <f>ROUND(SUM(+AE74-AH74),1)</f>
        <v>-2.8</v>
      </c>
      <c r="AL74" s="1159"/>
      <c r="AM74" s="2741">
        <f>ROUND(IF(AH74=0,0,AK74/ABS(AH74)),3)</f>
        <v>-0.21099999999999999</v>
      </c>
    </row>
    <row r="75" spans="1:39" ht="15" customHeight="1">
      <c r="A75" s="352"/>
      <c r="B75" s="223" t="s">
        <v>187</v>
      </c>
      <c r="C75" s="223"/>
      <c r="D75" s="372">
        <v>0</v>
      </c>
      <c r="E75" s="367"/>
      <c r="F75" s="372"/>
      <c r="G75" s="367"/>
      <c r="H75" s="265"/>
      <c r="I75" s="367"/>
      <c r="J75" s="372"/>
      <c r="K75" s="367"/>
      <c r="L75" s="372"/>
      <c r="M75" s="367"/>
      <c r="N75" s="372"/>
      <c r="O75" s="367"/>
      <c r="P75" s="1190"/>
      <c r="Q75" s="367"/>
      <c r="R75" s="1190"/>
      <c r="S75" s="367"/>
      <c r="T75" s="372"/>
      <c r="U75" s="367"/>
      <c r="V75" s="372"/>
      <c r="W75" s="261"/>
      <c r="X75" s="274"/>
      <c r="Y75" s="261"/>
      <c r="Z75" s="279"/>
      <c r="AA75" s="265"/>
      <c r="AB75" s="279">
        <v>0</v>
      </c>
      <c r="AC75" s="367"/>
      <c r="AD75" s="472"/>
      <c r="AE75" s="261">
        <f>ROUND(SUM(D75:AB75),1)</f>
        <v>0</v>
      </c>
      <c r="AF75" s="255"/>
      <c r="AG75" s="1346"/>
      <c r="AH75" s="372">
        <v>0</v>
      </c>
      <c r="AI75" s="514"/>
      <c r="AJ75" s="249"/>
      <c r="AK75" s="1159">
        <f>ROUND(SUM(+AE75-AH75),1)</f>
        <v>0</v>
      </c>
      <c r="AL75" s="1860"/>
      <c r="AM75" s="2744">
        <f>ROUND(IF(AH75=0,0,AK75/ABS(AH75)),3)</f>
        <v>0</v>
      </c>
    </row>
    <row r="76" spans="1:39" ht="15" customHeight="1">
      <c r="A76" s="352"/>
      <c r="B76" s="223"/>
      <c r="C76" s="223"/>
      <c r="D76" s="370"/>
      <c r="E76" s="367"/>
      <c r="F76" s="288"/>
      <c r="G76" s="367"/>
      <c r="H76" s="288"/>
      <c r="I76" s="367"/>
      <c r="J76" s="288"/>
      <c r="K76" s="367"/>
      <c r="L76" s="288"/>
      <c r="M76" s="367"/>
      <c r="N76" s="288"/>
      <c r="O76" s="367"/>
      <c r="P76" s="288"/>
      <c r="Q76" s="367"/>
      <c r="R76" s="288"/>
      <c r="S76" s="367"/>
      <c r="T76" s="288"/>
      <c r="U76" s="367"/>
      <c r="V76" s="288"/>
      <c r="W76" s="261"/>
      <c r="X76" s="288"/>
      <c r="Y76" s="261"/>
      <c r="Z76" s="288"/>
      <c r="AA76" s="249"/>
      <c r="AB76" s="288"/>
      <c r="AC76" s="367"/>
      <c r="AD76" s="472"/>
      <c r="AE76" s="288"/>
      <c r="AF76" s="249"/>
      <c r="AG76" s="252"/>
      <c r="AH76" s="288"/>
      <c r="AI76" s="514"/>
      <c r="AJ76" s="249"/>
      <c r="AK76" s="1341"/>
      <c r="AL76" s="2692"/>
      <c r="AM76" s="2752"/>
    </row>
    <row r="77" spans="1:39" ht="15" customHeight="1">
      <c r="A77" s="352"/>
      <c r="B77" s="221" t="s">
        <v>162</v>
      </c>
      <c r="C77" s="223"/>
      <c r="D77" s="257">
        <f>ROUND(SUM(D70:D75),1)</f>
        <v>3364.8</v>
      </c>
      <c r="E77" s="409"/>
      <c r="F77" s="257">
        <f>ROUND(SUM(F70:F75),1)</f>
        <v>0</v>
      </c>
      <c r="G77" s="409"/>
      <c r="H77" s="257">
        <f>ROUND(SUM(H70:H75),1)</f>
        <v>0</v>
      </c>
      <c r="I77" s="409"/>
      <c r="J77" s="257">
        <f>ROUND(SUM(J70:J75),1)</f>
        <v>0</v>
      </c>
      <c r="K77" s="409"/>
      <c r="L77" s="1838">
        <f>ROUND(SUM(L70:L75),1)</f>
        <v>0</v>
      </c>
      <c r="M77" s="409"/>
      <c r="N77" s="257">
        <f>ROUND(SUM(N70:N75),1)</f>
        <v>0</v>
      </c>
      <c r="O77" s="409"/>
      <c r="P77" s="257">
        <f>ROUND(SUM(P70:P75),1)</f>
        <v>0</v>
      </c>
      <c r="Q77" s="409"/>
      <c r="R77" s="257">
        <f>ROUND(SUM(R70:R75),1)</f>
        <v>0</v>
      </c>
      <c r="S77" s="409"/>
      <c r="T77" s="257">
        <f>ROUND(SUM(T70:T75),1)</f>
        <v>0</v>
      </c>
      <c r="U77" s="409"/>
      <c r="V77" s="257">
        <f>ROUND(SUM(V70:V75),1)</f>
        <v>0</v>
      </c>
      <c r="W77" s="257"/>
      <c r="X77" s="257">
        <f>ROUND(SUM(X70:X75),1)</f>
        <v>0</v>
      </c>
      <c r="Y77" s="257"/>
      <c r="Z77" s="257">
        <f>ROUND(SUM(Z70:Z75),1)</f>
        <v>0</v>
      </c>
      <c r="AA77" s="1838"/>
      <c r="AB77" s="1838">
        <f>ROUND(SUM(AB70:AB75),1)</f>
        <v>0</v>
      </c>
      <c r="AC77" s="409"/>
      <c r="AD77" s="479"/>
      <c r="AE77" s="257">
        <f>ROUND(SUM(AE70:AE75),1)</f>
        <v>3364.8</v>
      </c>
      <c r="AF77" s="273"/>
      <c r="AG77" s="743"/>
      <c r="AH77" s="257">
        <f>ROUND(SUM(AH70:AH75),1)</f>
        <v>2518.4</v>
      </c>
      <c r="AI77" s="521"/>
      <c r="AJ77" s="273"/>
      <c r="AK77" s="522">
        <f>ROUND(SUM(AE77-AH77),1)</f>
        <v>846.4</v>
      </c>
      <c r="AL77" s="553"/>
      <c r="AM77" s="2761">
        <f>ROUND(SUM((AE77-AH77)/ABS(AH77)),3)</f>
        <v>0.33600000000000002</v>
      </c>
    </row>
    <row r="78" spans="1:39" ht="15" customHeight="1">
      <c r="A78" s="352"/>
      <c r="B78" s="223"/>
      <c r="C78" s="223"/>
      <c r="D78" s="370"/>
      <c r="E78" s="367"/>
      <c r="F78" s="288"/>
      <c r="G78" s="367"/>
      <c r="H78" s="288"/>
      <c r="I78" s="367"/>
      <c r="J78" s="288"/>
      <c r="K78" s="367"/>
      <c r="L78" s="288"/>
      <c r="M78" s="367"/>
      <c r="N78" s="288"/>
      <c r="O78" s="367"/>
      <c r="P78" s="288"/>
      <c r="Q78" s="367"/>
      <c r="R78" s="288"/>
      <c r="S78" s="367"/>
      <c r="T78" s="288"/>
      <c r="U78" s="367"/>
      <c r="V78" s="288"/>
      <c r="W78" s="261"/>
      <c r="X78" s="288"/>
      <c r="Y78" s="261"/>
      <c r="Z78" s="288"/>
      <c r="AA78" s="249"/>
      <c r="AB78" s="288"/>
      <c r="AC78" s="367"/>
      <c r="AD78" s="472"/>
      <c r="AE78" s="288"/>
      <c r="AF78" s="249"/>
      <c r="AG78" s="252"/>
      <c r="AH78" s="288"/>
      <c r="AI78" s="514"/>
      <c r="AJ78" s="1347"/>
      <c r="AK78" s="1313"/>
      <c r="AL78" s="2692"/>
      <c r="AM78" s="2760"/>
    </row>
    <row r="79" spans="1:39" ht="15" customHeight="1">
      <c r="A79" s="352"/>
      <c r="B79" s="221" t="s">
        <v>163</v>
      </c>
      <c r="C79" s="223"/>
      <c r="D79" s="367"/>
      <c r="E79" s="367"/>
      <c r="F79" s="261"/>
      <c r="G79" s="367"/>
      <c r="H79" s="261"/>
      <c r="I79" s="367"/>
      <c r="J79" s="261"/>
      <c r="K79" s="367"/>
      <c r="L79" s="261"/>
      <c r="M79" s="367"/>
      <c r="N79" s="261"/>
      <c r="O79" s="367"/>
      <c r="P79" s="261"/>
      <c r="Q79" s="367"/>
      <c r="R79" s="261"/>
      <c r="S79" s="367"/>
      <c r="T79" s="261"/>
      <c r="U79" s="367"/>
      <c r="V79" s="261"/>
      <c r="W79" s="261"/>
      <c r="X79" s="261"/>
      <c r="Y79" s="261"/>
      <c r="Z79" s="261"/>
      <c r="AA79" s="261"/>
      <c r="AB79" s="261"/>
      <c r="AC79" s="367"/>
      <c r="AD79" s="472"/>
      <c r="AE79" s="261" t="s">
        <v>164</v>
      </c>
      <c r="AF79" s="1572"/>
      <c r="AG79" s="1573"/>
      <c r="AH79" s="249"/>
      <c r="AI79" s="514"/>
      <c r="AJ79" s="1569"/>
      <c r="AK79" s="1313"/>
      <c r="AL79" s="2692"/>
      <c r="AM79" s="2760"/>
    </row>
    <row r="80" spans="1:39" ht="15" customHeight="1">
      <c r="A80" s="352"/>
      <c r="B80" s="221" t="s">
        <v>46</v>
      </c>
      <c r="C80" s="223"/>
      <c r="D80" s="257">
        <f>ROUND(SUM(D56-D77),1)</f>
        <v>-217.1</v>
      </c>
      <c r="E80" s="409"/>
      <c r="F80" s="1838">
        <f>ROUND(SUM(F56-F77),1)</f>
        <v>0</v>
      </c>
      <c r="G80" s="409"/>
      <c r="H80" s="1838">
        <f>ROUND(SUM(H56-H77),1)</f>
        <v>0</v>
      </c>
      <c r="I80" s="409"/>
      <c r="J80" s="1838">
        <f>ROUND(SUM(J56-J77),1)</f>
        <v>0</v>
      </c>
      <c r="K80" s="409"/>
      <c r="L80" s="1838">
        <f>ROUND(SUM(L56-L77),1)</f>
        <v>0</v>
      </c>
      <c r="M80" s="409"/>
      <c r="N80" s="1838">
        <f>ROUND(SUM(N56-N77),1)</f>
        <v>0</v>
      </c>
      <c r="O80" s="409"/>
      <c r="P80" s="1838">
        <f>ROUND(SUM(P56-P77),1)</f>
        <v>0</v>
      </c>
      <c r="Q80" s="409"/>
      <c r="R80" s="1838">
        <f>ROUND(SUM(R56-R77),1)</f>
        <v>0</v>
      </c>
      <c r="S80" s="409"/>
      <c r="T80" s="1838">
        <f>ROUND(SUM(T56-T77),1)</f>
        <v>0</v>
      </c>
      <c r="U80" s="409"/>
      <c r="V80" s="1838">
        <f>ROUND(SUM(V56-V77),1)</f>
        <v>0</v>
      </c>
      <c r="W80" s="257"/>
      <c r="X80" s="1838">
        <f>ROUND(SUM(X56-X77),1)</f>
        <v>0</v>
      </c>
      <c r="Y80" s="257"/>
      <c r="Z80" s="1838">
        <f>ROUND(SUM(Z56-Z77),1)</f>
        <v>0</v>
      </c>
      <c r="AA80" s="1838"/>
      <c r="AB80" s="1838">
        <f>ROUND(SUM(AB56-AB77),1)</f>
        <v>0</v>
      </c>
      <c r="AC80" s="409"/>
      <c r="AD80" s="479"/>
      <c r="AE80" s="257">
        <f>ROUND(SUM(AE56-AE77),1)</f>
        <v>-217.1</v>
      </c>
      <c r="AF80" s="273"/>
      <c r="AG80" s="743"/>
      <c r="AH80" s="257">
        <f>ROUND(SUM(AH56-AH77),1)</f>
        <v>-877</v>
      </c>
      <c r="AI80" s="521"/>
      <c r="AJ80" s="273"/>
      <c r="AK80" s="522">
        <f>ROUND(SUM(AE80-AH80),1)</f>
        <v>659.9</v>
      </c>
      <c r="AL80" s="411"/>
      <c r="AM80" s="2761">
        <f>ROUND(SUM((AE80-AH80)/ABS(AH80)),3)</f>
        <v>0.752</v>
      </c>
    </row>
    <row r="81" spans="1:52" ht="15" customHeight="1">
      <c r="A81" s="352"/>
      <c r="B81" s="223"/>
      <c r="C81" s="223"/>
      <c r="D81" s="370"/>
      <c r="E81" s="367"/>
      <c r="F81" s="288"/>
      <c r="G81" s="367"/>
      <c r="H81" s="288"/>
      <c r="I81" s="367"/>
      <c r="J81" s="288"/>
      <c r="K81" s="367"/>
      <c r="L81" s="288"/>
      <c r="M81" s="367"/>
      <c r="N81" s="288"/>
      <c r="O81" s="367"/>
      <c r="P81" s="288"/>
      <c r="Q81" s="367"/>
      <c r="R81" s="288"/>
      <c r="S81" s="367"/>
      <c r="T81" s="288"/>
      <c r="U81" s="367"/>
      <c r="V81" s="288"/>
      <c r="W81" s="261"/>
      <c r="X81" s="288"/>
      <c r="Y81" s="261"/>
      <c r="Z81" s="288"/>
      <c r="AA81" s="249"/>
      <c r="AB81" s="288"/>
      <c r="AC81" s="367"/>
      <c r="AD81" s="472"/>
      <c r="AE81" s="288"/>
      <c r="AF81" s="249"/>
      <c r="AG81" s="252"/>
      <c r="AH81" s="288"/>
      <c r="AI81" s="514"/>
      <c r="AJ81" s="249"/>
      <c r="AK81" s="1313"/>
      <c r="AL81" s="2692"/>
      <c r="AM81" s="2760"/>
    </row>
    <row r="82" spans="1:52" ht="15" customHeight="1">
      <c r="A82" s="352"/>
      <c r="B82" s="221" t="s">
        <v>47</v>
      </c>
      <c r="C82" s="223"/>
      <c r="D82" s="367"/>
      <c r="E82" s="367"/>
      <c r="F82" s="261"/>
      <c r="G82" s="367"/>
      <c r="H82" s="261"/>
      <c r="I82" s="367"/>
      <c r="J82" s="261"/>
      <c r="K82" s="367"/>
      <c r="L82" s="261"/>
      <c r="M82" s="367"/>
      <c r="N82" s="261"/>
      <c r="O82" s="367"/>
      <c r="P82" s="261"/>
      <c r="Q82" s="367"/>
      <c r="R82" s="261"/>
      <c r="S82" s="367"/>
      <c r="T82" s="261"/>
      <c r="U82" s="367"/>
      <c r="V82" s="261"/>
      <c r="W82" s="261"/>
      <c r="X82" s="261"/>
      <c r="Y82" s="261"/>
      <c r="Z82" s="261"/>
      <c r="AA82" s="261"/>
      <c r="AB82" s="261"/>
      <c r="AC82" s="367"/>
      <c r="AD82" s="472"/>
      <c r="AE82" s="261"/>
      <c r="AF82" s="249"/>
      <c r="AG82" s="252"/>
      <c r="AH82" s="261"/>
      <c r="AI82" s="514"/>
      <c r="AJ82" s="249"/>
      <c r="AK82" s="1313"/>
      <c r="AL82" s="2692"/>
      <c r="AM82" s="2760"/>
    </row>
    <row r="83" spans="1:52" ht="15" customHeight="1">
      <c r="A83" s="352"/>
      <c r="B83" s="223" t="s">
        <v>188</v>
      </c>
      <c r="C83" s="223"/>
      <c r="D83" s="372">
        <v>0</v>
      </c>
      <c r="E83" s="367"/>
      <c r="F83" s="372">
        <v>0</v>
      </c>
      <c r="G83" s="367"/>
      <c r="H83" s="372">
        <v>0</v>
      </c>
      <c r="I83" s="367"/>
      <c r="J83" s="372">
        <v>0</v>
      </c>
      <c r="K83" s="367"/>
      <c r="L83" s="372">
        <v>0</v>
      </c>
      <c r="M83" s="367"/>
      <c r="N83" s="372">
        <v>0</v>
      </c>
      <c r="O83" s="367"/>
      <c r="P83" s="1190">
        <v>0</v>
      </c>
      <c r="Q83" s="373"/>
      <c r="R83" s="1190">
        <v>0</v>
      </c>
      <c r="S83" s="367"/>
      <c r="T83" s="372">
        <v>0</v>
      </c>
      <c r="U83" s="367"/>
      <c r="V83" s="372">
        <v>0</v>
      </c>
      <c r="W83" s="261"/>
      <c r="X83" s="274">
        <v>0</v>
      </c>
      <c r="Y83" s="261"/>
      <c r="Z83" s="372"/>
      <c r="AA83" s="372"/>
      <c r="AB83" s="372">
        <v>0</v>
      </c>
      <c r="AC83" s="367"/>
      <c r="AD83" s="472"/>
      <c r="AE83" s="261">
        <f>ROUND(SUM(D83:AB83),1)</f>
        <v>0</v>
      </c>
      <c r="AF83" s="255"/>
      <c r="AG83" s="252"/>
      <c r="AH83" s="372">
        <v>0</v>
      </c>
      <c r="AI83" s="514"/>
      <c r="AJ83" s="249"/>
      <c r="AK83" s="1340">
        <f>ROUND(SUM(+AE83-AH83),1)</f>
        <v>0</v>
      </c>
      <c r="AL83" s="1860"/>
      <c r="AM83" s="2741">
        <f>ROUND(IF(AH83=0,0,AK83/ABS(AH83)),3)</f>
        <v>0</v>
      </c>
    </row>
    <row r="84" spans="1:52" ht="15" customHeight="1">
      <c r="A84" s="352"/>
      <c r="B84" s="223" t="s">
        <v>189</v>
      </c>
      <c r="C84" s="223"/>
      <c r="D84" s="274">
        <v>-99.5</v>
      </c>
      <c r="E84" s="367"/>
      <c r="F84" s="372"/>
      <c r="G84" s="367"/>
      <c r="H84" s="328"/>
      <c r="I84" s="367"/>
      <c r="J84" s="2018"/>
      <c r="K84" s="367"/>
      <c r="L84" s="328"/>
      <c r="M84" s="367"/>
      <c r="N84" s="328"/>
      <c r="O84" s="367"/>
      <c r="P84" s="1190"/>
      <c r="Q84" s="367"/>
      <c r="R84" s="1190"/>
      <c r="S84" s="367"/>
      <c r="T84" s="372"/>
      <c r="U84" s="367"/>
      <c r="V84" s="274"/>
      <c r="W84" s="261"/>
      <c r="X84" s="274"/>
      <c r="Y84" s="261"/>
      <c r="Z84" s="274"/>
      <c r="AA84" s="274"/>
      <c r="AB84" s="274">
        <v>14.1</v>
      </c>
      <c r="AC84" s="367"/>
      <c r="AD84" s="472"/>
      <c r="AE84" s="261">
        <f>ROUND(SUM(D84:AB84),1)</f>
        <v>-85.4</v>
      </c>
      <c r="AF84" s="249"/>
      <c r="AG84" s="252"/>
      <c r="AH84" s="261">
        <v>-147.80000000000001</v>
      </c>
      <c r="AI84" s="514"/>
      <c r="AJ84" s="249"/>
      <c r="AK84" s="1860">
        <f>ROUND(SUM(+AE84-AH84)*-1,1)</f>
        <v>-62.4</v>
      </c>
      <c r="AL84" s="1860"/>
      <c r="AM84" s="2741">
        <f>ROUND(IF(AH84=0,0,AK84/ABS(AH84)),3)</f>
        <v>-0.42199999999999999</v>
      </c>
    </row>
    <row r="85" spans="1:52" ht="15" customHeight="1">
      <c r="A85" s="352"/>
      <c r="B85" s="223"/>
      <c r="C85" s="223"/>
      <c r="D85" s="370"/>
      <c r="E85" s="367"/>
      <c r="F85" s="288"/>
      <c r="G85" s="367"/>
      <c r="H85" s="288"/>
      <c r="I85" s="367"/>
      <c r="J85" s="288"/>
      <c r="K85" s="367"/>
      <c r="L85" s="288"/>
      <c r="M85" s="367"/>
      <c r="N85" s="288"/>
      <c r="O85" s="367"/>
      <c r="P85" s="288"/>
      <c r="Q85" s="367"/>
      <c r="R85" s="288"/>
      <c r="S85" s="367"/>
      <c r="T85" s="288"/>
      <c r="U85" s="367"/>
      <c r="V85" s="288"/>
      <c r="W85" s="261"/>
      <c r="X85" s="288"/>
      <c r="Y85" s="261"/>
      <c r="Z85" s="288"/>
      <c r="AA85" s="249"/>
      <c r="AB85" s="288"/>
      <c r="AC85" s="367"/>
      <c r="AD85" s="472"/>
      <c r="AE85" s="288"/>
      <c r="AF85" s="249"/>
      <c r="AG85" s="252"/>
      <c r="AH85" s="288"/>
      <c r="AI85" s="514"/>
      <c r="AJ85" s="249"/>
      <c r="AK85" s="2691"/>
      <c r="AL85" s="2692"/>
      <c r="AM85" s="2762"/>
    </row>
    <row r="86" spans="1:52" ht="15" customHeight="1">
      <c r="A86" s="352"/>
      <c r="B86" s="221" t="s">
        <v>1354</v>
      </c>
      <c r="C86" s="223"/>
      <c r="D86" s="257">
        <f>ROUND(SUM(D83:D85),1)</f>
        <v>-99.5</v>
      </c>
      <c r="E86" s="409"/>
      <c r="F86" s="257">
        <f>ROUND(SUM(F83:F85),1)</f>
        <v>0</v>
      </c>
      <c r="G86" s="409"/>
      <c r="H86" s="257">
        <f>ROUND(SUM(H83:H85),1)</f>
        <v>0</v>
      </c>
      <c r="I86" s="409"/>
      <c r="J86" s="257">
        <f>ROUND(SUM(J83:J85),1)</f>
        <v>0</v>
      </c>
      <c r="K86" s="409"/>
      <c r="L86" s="1838">
        <f>ROUND(SUM(L83:L85),1)</f>
        <v>0</v>
      </c>
      <c r="M86" s="409"/>
      <c r="N86" s="257">
        <f>ROUND(SUM(N83:N85),1)</f>
        <v>0</v>
      </c>
      <c r="O86" s="409"/>
      <c r="P86" s="257">
        <f>ROUND(SUM(P83:P85),1)</f>
        <v>0</v>
      </c>
      <c r="Q86" s="409"/>
      <c r="R86" s="257">
        <f>ROUND(SUM(R83:R85),1)</f>
        <v>0</v>
      </c>
      <c r="S86" s="409"/>
      <c r="T86" s="257">
        <f>ROUND(SUM(T83:T85),1)</f>
        <v>0</v>
      </c>
      <c r="U86" s="409"/>
      <c r="V86" s="257">
        <f>ROUND(SUM(V83:V85),1)</f>
        <v>0</v>
      </c>
      <c r="W86" s="257"/>
      <c r="X86" s="257">
        <f>ROUND(SUM(X83:X85),1)</f>
        <v>0</v>
      </c>
      <c r="Y86" s="257"/>
      <c r="Z86" s="257">
        <f>ROUND(SUM(Z83:Z85),1)</f>
        <v>0</v>
      </c>
      <c r="AA86" s="1838"/>
      <c r="AB86" s="1838">
        <f>ROUND(SUM(AB83:AB85),1)</f>
        <v>14.1</v>
      </c>
      <c r="AC86" s="409"/>
      <c r="AD86" s="479"/>
      <c r="AE86" s="257">
        <f>ROUND(SUM(AE83:AE85),1)</f>
        <v>-85.4</v>
      </c>
      <c r="AF86" s="273"/>
      <c r="AG86" s="743"/>
      <c r="AH86" s="257">
        <f>ROUND(SUM(AH83:AH84),1)</f>
        <v>-147.80000000000001</v>
      </c>
      <c r="AI86" s="521"/>
      <c r="AJ86" s="273"/>
      <c r="AK86" s="522">
        <f>-ROUND(SUM(AE86-AH86),1)</f>
        <v>-62.4</v>
      </c>
      <c r="AL86" s="523"/>
      <c r="AM86" s="2761">
        <f>ROUND(SUM((AE86-AH86)/(AH86)),3)</f>
        <v>-0.42199999999999999</v>
      </c>
    </row>
    <row r="87" spans="1:52" ht="15" customHeight="1">
      <c r="A87" s="352"/>
      <c r="B87" s="223"/>
      <c r="C87" s="223"/>
      <c r="D87" s="370"/>
      <c r="E87" s="367"/>
      <c r="F87" s="370"/>
      <c r="G87" s="367"/>
      <c r="H87" s="370"/>
      <c r="I87" s="367"/>
      <c r="J87" s="370"/>
      <c r="K87" s="367"/>
      <c r="L87" s="370"/>
      <c r="M87" s="367"/>
      <c r="N87" s="370"/>
      <c r="O87" s="367"/>
      <c r="P87" s="370"/>
      <c r="Q87" s="367"/>
      <c r="R87" s="370"/>
      <c r="S87" s="367"/>
      <c r="T87" s="370"/>
      <c r="U87" s="367"/>
      <c r="V87" s="288"/>
      <c r="W87" s="261"/>
      <c r="X87" s="288"/>
      <c r="Y87" s="261"/>
      <c r="Z87" s="288"/>
      <c r="AA87" s="249"/>
      <c r="AB87" s="288"/>
      <c r="AC87" s="367"/>
      <c r="AD87" s="472"/>
      <c r="AE87" s="288"/>
      <c r="AF87" s="249"/>
      <c r="AG87" s="252"/>
      <c r="AH87" s="288"/>
      <c r="AI87" s="514"/>
      <c r="AJ87" s="249"/>
      <c r="AK87" s="1313"/>
      <c r="AL87" s="2692"/>
      <c r="AM87" s="2760"/>
    </row>
    <row r="88" spans="1:52" ht="15" customHeight="1">
      <c r="A88" s="352"/>
      <c r="B88" s="221" t="s">
        <v>172</v>
      </c>
      <c r="C88" s="223"/>
      <c r="D88" s="367"/>
      <c r="E88" s="367"/>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472"/>
      <c r="AE88" s="367"/>
      <c r="AF88" s="253"/>
      <c r="AG88" s="540"/>
      <c r="AH88" s="367"/>
      <c r="AI88" s="541"/>
      <c r="AJ88" s="229"/>
      <c r="AK88" s="2692"/>
      <c r="AL88" s="2692"/>
      <c r="AM88" s="2760"/>
    </row>
    <row r="89" spans="1:52" ht="15" customHeight="1">
      <c r="A89" s="352"/>
      <c r="B89" s="221" t="s">
        <v>173</v>
      </c>
      <c r="C89" s="223"/>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472"/>
      <c r="AE89" s="367"/>
      <c r="AF89" s="253"/>
      <c r="AG89" s="540"/>
      <c r="AH89" s="423"/>
      <c r="AI89" s="541"/>
      <c r="AJ89" s="229"/>
      <c r="AK89" s="2692"/>
      <c r="AL89" s="2692"/>
      <c r="AM89" s="2760"/>
    </row>
    <row r="90" spans="1:52" ht="15" customHeight="1" thickBot="1">
      <c r="A90" s="352"/>
      <c r="B90" s="221" t="s">
        <v>1355</v>
      </c>
      <c r="C90" s="223"/>
      <c r="D90" s="502">
        <f>ROUND(SUM(D80+D86),1)</f>
        <v>-316.60000000000002</v>
      </c>
      <c r="E90" s="367"/>
      <c r="F90" s="502">
        <f>ROUND(SUM(F80+F86),1)</f>
        <v>0</v>
      </c>
      <c r="G90" s="367"/>
      <c r="H90" s="502">
        <f>ROUND(SUM(H80+H86),1)</f>
        <v>0</v>
      </c>
      <c r="I90" s="367"/>
      <c r="J90" s="502">
        <f>ROUND(SUM(J80+J86),1)</f>
        <v>0</v>
      </c>
      <c r="K90" s="367"/>
      <c r="L90" s="502">
        <f>ROUND(SUM(L80+L86),1)</f>
        <v>0</v>
      </c>
      <c r="M90" s="261"/>
      <c r="N90" s="502">
        <f>ROUND(SUM(N80+N86),1)</f>
        <v>0</v>
      </c>
      <c r="O90" s="261"/>
      <c r="P90" s="502">
        <f>ROUND(SUM(P80+P86),1)</f>
        <v>0</v>
      </c>
      <c r="Q90" s="261"/>
      <c r="R90" s="502">
        <f>ROUND(SUM(R80+R86),1)</f>
        <v>0</v>
      </c>
      <c r="S90" s="261"/>
      <c r="T90" s="502">
        <f>ROUND(SUM(T80+T86),1)</f>
        <v>0</v>
      </c>
      <c r="U90" s="261"/>
      <c r="V90" s="502">
        <f>ROUND(SUM(V80+V86),1)</f>
        <v>0</v>
      </c>
      <c r="W90" s="261"/>
      <c r="X90" s="502">
        <f>ROUND(SUM(X80+X86),1)</f>
        <v>0</v>
      </c>
      <c r="Y90" s="261"/>
      <c r="Z90" s="502">
        <f>ROUND(SUM(Z80+Z86),1)</f>
        <v>0</v>
      </c>
      <c r="AA90" s="423"/>
      <c r="AB90" s="502">
        <f>ROUND(SUM(AB80+AB86),1)</f>
        <v>14.1</v>
      </c>
      <c r="AC90" s="367"/>
      <c r="AD90" s="472"/>
      <c r="AE90" s="502">
        <f>ROUND(SUM(AE80+AE86),1)</f>
        <v>-302.5</v>
      </c>
      <c r="AF90" s="253"/>
      <c r="AG90" s="540"/>
      <c r="AH90" s="502">
        <f>ROUND(SUM(AH80+AH86),1)</f>
        <v>-1024.8</v>
      </c>
      <c r="AI90" s="541"/>
      <c r="AJ90" s="229"/>
      <c r="AK90" s="502">
        <f>ROUND(SUM(AK80-AK86),1)</f>
        <v>722.3</v>
      </c>
      <c r="AL90" s="2692"/>
      <c r="AM90" s="3375">
        <f>ROUND(SUM((AE90-AH90)/ABS(AH90)),3)</f>
        <v>0.70499999999999996</v>
      </c>
    </row>
    <row r="91" spans="1:52" ht="15" customHeight="1" thickTop="1">
      <c r="A91" s="352"/>
      <c r="B91" s="223"/>
      <c r="C91" s="223"/>
      <c r="D91" s="229"/>
      <c r="E91" s="222"/>
      <c r="F91" s="229"/>
      <c r="G91" s="222"/>
      <c r="H91" s="229"/>
      <c r="I91" s="222"/>
      <c r="J91" s="229"/>
      <c r="K91" s="222"/>
      <c r="L91" s="229"/>
      <c r="M91" s="222"/>
      <c r="N91" s="229"/>
      <c r="O91" s="222"/>
      <c r="P91" s="229"/>
      <c r="Q91" s="222"/>
      <c r="R91" s="229"/>
      <c r="S91" s="222"/>
      <c r="T91" s="2329"/>
      <c r="U91" s="222"/>
      <c r="V91" s="229"/>
      <c r="W91" s="222"/>
      <c r="X91" s="229"/>
      <c r="Y91" s="222"/>
      <c r="Z91" s="229"/>
      <c r="AA91" s="229"/>
      <c r="AB91" s="229"/>
      <c r="AC91" s="222"/>
      <c r="AD91" s="229"/>
      <c r="AE91" s="229"/>
      <c r="AF91" s="229"/>
      <c r="AG91" s="229"/>
      <c r="AH91" s="229"/>
      <c r="AI91" s="229"/>
      <c r="AJ91" s="229"/>
      <c r="AK91" s="2693"/>
      <c r="AL91" s="2692"/>
      <c r="AM91" s="2760" t="s">
        <v>16</v>
      </c>
    </row>
    <row r="92" spans="1:52" ht="15" customHeight="1">
      <c r="B92" s="222"/>
      <c r="C92" s="222"/>
      <c r="D92" s="505"/>
      <c r="E92" s="505"/>
      <c r="F92" s="505"/>
      <c r="G92" s="505"/>
      <c r="H92" s="505"/>
      <c r="I92" s="505"/>
      <c r="J92" s="505"/>
      <c r="K92" s="505"/>
      <c r="L92" s="505"/>
      <c r="M92" s="505"/>
      <c r="N92" s="505"/>
      <c r="O92" s="505"/>
      <c r="P92" s="505"/>
      <c r="Q92" s="505"/>
      <c r="R92" s="505"/>
      <c r="S92" s="505"/>
      <c r="T92" s="505"/>
      <c r="U92" s="505"/>
      <c r="V92" s="505"/>
      <c r="W92" s="505"/>
      <c r="X92" s="505"/>
      <c r="Y92" s="505"/>
      <c r="Z92" s="505"/>
      <c r="AA92" s="505"/>
      <c r="AB92" s="505"/>
      <c r="AC92" s="505"/>
      <c r="AD92" s="505"/>
      <c r="AE92" s="505"/>
      <c r="AF92" s="505"/>
      <c r="AG92" s="505"/>
      <c r="AH92" s="505"/>
      <c r="AI92" s="505"/>
      <c r="AJ92" s="505"/>
      <c r="AK92" s="2677"/>
      <c r="AL92" s="2677"/>
      <c r="AM92" s="2732"/>
      <c r="AN92" s="547"/>
      <c r="AO92" s="547"/>
      <c r="AP92" s="547"/>
      <c r="AQ92" s="547"/>
      <c r="AR92" s="547"/>
      <c r="AS92" s="547"/>
      <c r="AT92" s="547"/>
      <c r="AU92" s="547"/>
      <c r="AV92" s="547"/>
      <c r="AW92" s="547"/>
      <c r="AX92" s="547"/>
      <c r="AY92" s="547"/>
      <c r="AZ92" s="547"/>
    </row>
    <row r="93" spans="1:52" ht="15" customHeight="1">
      <c r="B93" s="1834" t="s">
        <v>1375</v>
      </c>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1834"/>
      <c r="AL93" s="1834"/>
      <c r="AM93" s="2732"/>
    </row>
    <row r="94" spans="1:52" ht="15" customHeight="1">
      <c r="B94" s="222"/>
      <c r="AM94" s="2755"/>
    </row>
    <row r="95" spans="1:52" ht="15" customHeight="1">
      <c r="B95" s="222"/>
      <c r="AM95" s="2755"/>
    </row>
    <row r="96" spans="1:52" ht="15" customHeight="1">
      <c r="AM96" s="2755"/>
    </row>
    <row r="97" spans="39:39" ht="15" customHeight="1">
      <c r="AM97" s="2755"/>
    </row>
    <row r="98" spans="39:39" ht="15" customHeight="1">
      <c r="AM98" s="2755"/>
    </row>
    <row r="99" spans="39:39" ht="15" customHeight="1">
      <c r="AM99" s="2755"/>
    </row>
    <row r="100" spans="39:39" ht="15" customHeight="1">
      <c r="AM100" s="2755"/>
    </row>
    <row r="101" spans="39:39" ht="15" customHeight="1">
      <c r="AM101" s="2755"/>
    </row>
    <row r="102" spans="39:39" ht="15" customHeight="1">
      <c r="AM102" s="2755"/>
    </row>
    <row r="103" spans="39:39" ht="15" customHeight="1">
      <c r="AM103" s="2755"/>
    </row>
    <row r="104" spans="39:39" ht="15" customHeight="1">
      <c r="AM104" s="2755"/>
    </row>
    <row r="105" spans="39:39" ht="15" customHeight="1">
      <c r="AM105" s="2755"/>
    </row>
    <row r="106" spans="39:39" ht="15" customHeight="1">
      <c r="AM106" s="2755"/>
    </row>
    <row r="107" spans="39:39" ht="15" customHeight="1">
      <c r="AM107" s="2755"/>
    </row>
    <row r="108" spans="39:39" ht="15" customHeight="1">
      <c r="AM108" s="2755"/>
    </row>
    <row r="109" spans="39:39" ht="15" customHeight="1">
      <c r="AM109" s="2755"/>
    </row>
    <row r="110" spans="39:39" ht="15" customHeight="1">
      <c r="AM110" s="2755"/>
    </row>
    <row r="111" spans="39:39" ht="15" customHeight="1">
      <c r="AM111" s="2755"/>
    </row>
    <row r="112" spans="39:39" ht="15" customHeight="1">
      <c r="AM112" s="2755"/>
    </row>
    <row r="113" spans="39:39" ht="15" customHeight="1">
      <c r="AM113" s="2755"/>
    </row>
    <row r="114" spans="39:39" ht="15" customHeight="1">
      <c r="AM114" s="2755"/>
    </row>
    <row r="115" spans="39:39" ht="15" customHeight="1">
      <c r="AM115" s="2755"/>
    </row>
    <row r="116" spans="39:39" ht="15" customHeight="1">
      <c r="AM116" s="2755"/>
    </row>
    <row r="117" spans="39:39" ht="15" customHeight="1">
      <c r="AM117" s="2755"/>
    </row>
    <row r="118" spans="39:39" ht="15" customHeight="1">
      <c r="AM118" s="2755"/>
    </row>
    <row r="119" spans="39:39" ht="15" customHeight="1">
      <c r="AM119" s="2755"/>
    </row>
    <row r="120" spans="39:39" ht="15" customHeight="1">
      <c r="AM120" s="2755"/>
    </row>
    <row r="121" spans="39:39" ht="15" customHeight="1">
      <c r="AM121" s="2755"/>
    </row>
    <row r="122" spans="39:39" ht="15" customHeight="1">
      <c r="AM122" s="2755"/>
    </row>
    <row r="123" spans="39:39" ht="15" customHeight="1">
      <c r="AM123" s="2755"/>
    </row>
    <row r="124" spans="39:39" ht="15" customHeight="1">
      <c r="AM124" s="2755"/>
    </row>
    <row r="125" spans="39:39" ht="15" customHeight="1">
      <c r="AM125" s="2755"/>
    </row>
    <row r="126" spans="39:39" ht="15" customHeight="1">
      <c r="AM126" s="2755"/>
    </row>
    <row r="127" spans="39:39" ht="15" customHeight="1">
      <c r="AM127" s="2755"/>
    </row>
    <row r="128" spans="39:39" ht="15" customHeight="1">
      <c r="AM128" s="2755"/>
    </row>
    <row r="129" spans="39:39" ht="15" customHeight="1">
      <c r="AM129" s="2755"/>
    </row>
    <row r="130" spans="39:39" ht="15" customHeight="1">
      <c r="AM130" s="2755"/>
    </row>
    <row r="131" spans="39:39" ht="15" customHeight="1">
      <c r="AM131" s="2755"/>
    </row>
    <row r="132" spans="39:39" ht="15" customHeight="1"/>
    <row r="133" spans="39:39" ht="15" customHeight="1"/>
    <row r="134" spans="39:39" ht="15" customHeight="1"/>
    <row r="135" spans="39:39" ht="15" customHeight="1"/>
    <row r="136" spans="39:39" ht="15" customHeight="1"/>
    <row r="137" spans="39:39" ht="15" customHeight="1"/>
    <row r="138" spans="39:39" ht="15" customHeight="1"/>
    <row r="139" spans="39:39" ht="15" customHeight="1"/>
  </sheetData>
  <customSheetViews>
    <customSheetView guid="{8EE6466D-211E-4E05-9F84-CC0A1C6F79F4}" scale="70" showGridLines="0" outlineSymbols="0" topLeftCell="A4">
      <selection activeCell="N19" sqref="N19"/>
      <rowBreaks count="1" manualBreakCount="1">
        <brk id="61" min="1" max="36" man="1"/>
      </rowBreaks>
      <pageMargins left="0.25" right="0.25" top="0.5" bottom="0.25" header="0" footer="0.25"/>
      <pageSetup scale="41" firstPageNumber="26"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6" fitToHeight="2" orientation="landscape" useFirstPageNumber="1" r:id="rId2"/>
  <headerFooter scaleWithDoc="0" alignWithMargins="0">
    <oddFooter>&amp;C&amp;8&amp;P</oddFooter>
  </headerFooter>
  <rowBreaks count="1" manualBreakCount="1">
    <brk id="61" min="1" max="38" man="1"/>
  </rowBreaks>
  <ignoredErrors>
    <ignoredError sqref="AM16:AM18 AM20 AM33 AM40 AM53 AM57 AM55" unlockedFormula="1"/>
    <ignoredError sqref="AM61:AM67 AM47:AM49"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257"/>
  <sheetViews>
    <sheetView zoomScale="70" zoomScaleNormal="70" workbookViewId="0"/>
  </sheetViews>
  <sheetFormatPr defaultRowHeight="13.2"/>
  <cols>
    <col min="1" max="1" width="40.453125" style="557" customWidth="1"/>
    <col min="2" max="2" width="10.453125" style="557" customWidth="1"/>
    <col min="3" max="3" width="1.36328125" style="557" customWidth="1"/>
    <col min="4" max="4" width="10" style="557" customWidth="1"/>
    <col min="5" max="5" width="1.36328125" style="557" customWidth="1"/>
    <col min="6" max="6" width="9.36328125" style="556" customWidth="1"/>
    <col min="7" max="7" width="1.36328125" style="557" customWidth="1"/>
    <col min="8" max="8" width="10" style="557" customWidth="1"/>
    <col min="9" max="9" width="1.36328125" style="557" customWidth="1"/>
    <col min="10" max="10" width="9.08984375" style="557" customWidth="1"/>
    <col min="11" max="11" width="1.36328125" style="557" customWidth="1"/>
    <col min="12" max="12" width="11.36328125" style="557" customWidth="1"/>
    <col min="13" max="13" width="1.36328125" style="557" customWidth="1"/>
    <col min="14" max="14" width="9.08984375" style="557" customWidth="1"/>
    <col min="15" max="15" width="1.6328125" style="557" customWidth="1"/>
    <col min="16" max="16" width="11" style="557" customWidth="1"/>
    <col min="17" max="17" width="1.36328125" style="557" customWidth="1"/>
    <col min="18" max="18" width="10.81640625" style="557" customWidth="1"/>
    <col min="19" max="19" width="1.36328125" style="557" customWidth="1"/>
    <col min="20" max="20" width="10" style="557" customWidth="1"/>
    <col min="21" max="21" width="1.36328125" style="557" customWidth="1"/>
    <col min="22" max="22" width="9.36328125" style="557" customWidth="1"/>
    <col min="23" max="23" width="1.36328125" style="557" customWidth="1"/>
    <col min="24" max="24" width="9.08984375" style="557" bestFit="1" customWidth="1"/>
    <col min="25" max="25" width="1.36328125" style="557" customWidth="1"/>
    <col min="26" max="26" width="0.81640625" style="557" customWidth="1"/>
    <col min="27" max="27" width="10.54296875" style="557" customWidth="1"/>
    <col min="28" max="28" width="2.1796875" style="557" customWidth="1"/>
    <col min="29" max="29" width="0.90625" style="557" customWidth="1"/>
    <col min="30" max="30" width="11" style="557" bestFit="1" customWidth="1"/>
    <col min="31" max="32" width="0.6328125" style="557" customWidth="1"/>
    <col min="33" max="33" width="9.6328125" style="557" customWidth="1"/>
    <col min="34" max="34" width="1.08984375" style="557" customWidth="1"/>
    <col min="35" max="35" width="11" style="557" customWidth="1"/>
    <col min="36" max="36" width="14.54296875" style="1021" customWidth="1"/>
    <col min="37" max="252" width="8.90625" style="557"/>
    <col min="253" max="253" width="38.453125" style="557" customWidth="1"/>
    <col min="254" max="254" width="8.54296875" style="557" customWidth="1"/>
    <col min="255" max="255" width="1.36328125" style="557" customWidth="1"/>
    <col min="256" max="256" width="8.90625" style="557" customWidth="1"/>
    <col min="257" max="257" width="1.36328125" style="557" customWidth="1"/>
    <col min="258" max="258" width="9.36328125" style="557" customWidth="1"/>
    <col min="259" max="259" width="1.36328125" style="557" customWidth="1"/>
    <col min="260" max="260" width="10" style="557" customWidth="1"/>
    <col min="261" max="261" width="1.36328125" style="557" customWidth="1"/>
    <col min="262" max="262" width="9.08984375" style="557" customWidth="1"/>
    <col min="263" max="263" width="1.36328125" style="557" customWidth="1"/>
    <col min="264" max="264" width="11.36328125" style="557" customWidth="1"/>
    <col min="265" max="265" width="1.36328125" style="557" customWidth="1"/>
    <col min="266" max="266" width="9.08984375" style="557" customWidth="1"/>
    <col min="267" max="267" width="1.6328125" style="557" customWidth="1"/>
    <col min="268" max="268" width="11" style="557" customWidth="1"/>
    <col min="269" max="269" width="1.36328125" style="557" customWidth="1"/>
    <col min="270" max="270" width="10.81640625" style="557" customWidth="1"/>
    <col min="271" max="271" width="1.36328125" style="557" customWidth="1"/>
    <col min="272" max="272" width="10" style="557" customWidth="1"/>
    <col min="273" max="273" width="1.36328125" style="557" customWidth="1"/>
    <col min="274" max="274" width="9.36328125" style="557" customWidth="1"/>
    <col min="275" max="275" width="1.36328125" style="557" customWidth="1"/>
    <col min="276" max="276" width="7.81640625" style="557" customWidth="1"/>
    <col min="277" max="277" width="1.36328125" style="557" customWidth="1"/>
    <col min="278" max="278" width="0.81640625" style="557" customWidth="1"/>
    <col min="279" max="279" width="9.36328125" style="557" customWidth="1"/>
    <col min="280" max="280" width="1.36328125" style="557" customWidth="1"/>
    <col min="281" max="281" width="0.90625" style="557" customWidth="1"/>
    <col min="282" max="282" width="9.54296875" style="557" bestFit="1" customWidth="1"/>
    <col min="283" max="284" width="0.6328125" style="557" customWidth="1"/>
    <col min="285" max="285" width="9.6328125" style="557" customWidth="1"/>
    <col min="286" max="286" width="1.08984375" style="557" customWidth="1"/>
    <col min="287" max="287" width="8.54296875" style="557" customWidth="1"/>
    <col min="288" max="288" width="14.54296875" style="557" customWidth="1"/>
    <col min="289" max="289" width="10" style="557" customWidth="1"/>
    <col min="290" max="290" width="7.81640625" style="557" bestFit="1" customWidth="1"/>
    <col min="291" max="291" width="9.90625" style="557" customWidth="1"/>
    <col min="292" max="508" width="8.90625" style="557"/>
    <col min="509" max="509" width="38.453125" style="557" customWidth="1"/>
    <col min="510" max="510" width="8.54296875" style="557" customWidth="1"/>
    <col min="511" max="511" width="1.36328125" style="557" customWidth="1"/>
    <col min="512" max="512" width="8.90625" style="557" customWidth="1"/>
    <col min="513" max="513" width="1.36328125" style="557" customWidth="1"/>
    <col min="514" max="514" width="9.36328125" style="557" customWidth="1"/>
    <col min="515" max="515" width="1.36328125" style="557" customWidth="1"/>
    <col min="516" max="516" width="10" style="557" customWidth="1"/>
    <col min="517" max="517" width="1.36328125" style="557" customWidth="1"/>
    <col min="518" max="518" width="9.08984375" style="557" customWidth="1"/>
    <col min="519" max="519" width="1.36328125" style="557" customWidth="1"/>
    <col min="520" max="520" width="11.36328125" style="557" customWidth="1"/>
    <col min="521" max="521" width="1.36328125" style="557" customWidth="1"/>
    <col min="522" max="522" width="9.08984375" style="557" customWidth="1"/>
    <col min="523" max="523" width="1.6328125" style="557" customWidth="1"/>
    <col min="524" max="524" width="11" style="557" customWidth="1"/>
    <col min="525" max="525" width="1.36328125" style="557" customWidth="1"/>
    <col min="526" max="526" width="10.81640625" style="557" customWidth="1"/>
    <col min="527" max="527" width="1.36328125" style="557" customWidth="1"/>
    <col min="528" max="528" width="10" style="557" customWidth="1"/>
    <col min="529" max="529" width="1.36328125" style="557" customWidth="1"/>
    <col min="530" max="530" width="9.36328125" style="557" customWidth="1"/>
    <col min="531" max="531" width="1.36328125" style="557" customWidth="1"/>
    <col min="532" max="532" width="7.81640625" style="557" customWidth="1"/>
    <col min="533" max="533" width="1.36328125" style="557" customWidth="1"/>
    <col min="534" max="534" width="0.81640625" style="557" customWidth="1"/>
    <col min="535" max="535" width="9.36328125" style="557" customWidth="1"/>
    <col min="536" max="536" width="1.36328125" style="557" customWidth="1"/>
    <col min="537" max="537" width="0.90625" style="557" customWidth="1"/>
    <col min="538" max="538" width="9.54296875" style="557" bestFit="1" customWidth="1"/>
    <col min="539" max="540" width="0.6328125" style="557" customWidth="1"/>
    <col min="541" max="541" width="9.6328125" style="557" customWidth="1"/>
    <col min="542" max="542" width="1.08984375" style="557" customWidth="1"/>
    <col min="543" max="543" width="8.54296875" style="557" customWidth="1"/>
    <col min="544" max="544" width="14.54296875" style="557" customWidth="1"/>
    <col min="545" max="545" width="10" style="557" customWidth="1"/>
    <col min="546" max="546" width="7.81640625" style="557" bestFit="1" customWidth="1"/>
    <col min="547" max="547" width="9.90625" style="557" customWidth="1"/>
    <col min="548" max="764" width="8.90625" style="557"/>
    <col min="765" max="765" width="38.453125" style="557" customWidth="1"/>
    <col min="766" max="766" width="8.54296875" style="557" customWidth="1"/>
    <col min="767" max="767" width="1.36328125" style="557" customWidth="1"/>
    <col min="768" max="768" width="8.90625" style="557" customWidth="1"/>
    <col min="769" max="769" width="1.36328125" style="557" customWidth="1"/>
    <col min="770" max="770" width="9.36328125" style="557" customWidth="1"/>
    <col min="771" max="771" width="1.36328125" style="557" customWidth="1"/>
    <col min="772" max="772" width="10" style="557" customWidth="1"/>
    <col min="773" max="773" width="1.36328125" style="557" customWidth="1"/>
    <col min="774" max="774" width="9.08984375" style="557" customWidth="1"/>
    <col min="775" max="775" width="1.36328125" style="557" customWidth="1"/>
    <col min="776" max="776" width="11.36328125" style="557" customWidth="1"/>
    <col min="777" max="777" width="1.36328125" style="557" customWidth="1"/>
    <col min="778" max="778" width="9.08984375" style="557" customWidth="1"/>
    <col min="779" max="779" width="1.6328125" style="557" customWidth="1"/>
    <col min="780" max="780" width="11" style="557" customWidth="1"/>
    <col min="781" max="781" width="1.36328125" style="557" customWidth="1"/>
    <col min="782" max="782" width="10.81640625" style="557" customWidth="1"/>
    <col min="783" max="783" width="1.36328125" style="557" customWidth="1"/>
    <col min="784" max="784" width="10" style="557" customWidth="1"/>
    <col min="785" max="785" width="1.36328125" style="557" customWidth="1"/>
    <col min="786" max="786" width="9.36328125" style="557" customWidth="1"/>
    <col min="787" max="787" width="1.36328125" style="557" customWidth="1"/>
    <col min="788" max="788" width="7.81640625" style="557" customWidth="1"/>
    <col min="789" max="789" width="1.36328125" style="557" customWidth="1"/>
    <col min="790" max="790" width="0.81640625" style="557" customWidth="1"/>
    <col min="791" max="791" width="9.36328125" style="557" customWidth="1"/>
    <col min="792" max="792" width="1.36328125" style="557" customWidth="1"/>
    <col min="793" max="793" width="0.90625" style="557" customWidth="1"/>
    <col min="794" max="794" width="9.54296875" style="557" bestFit="1" customWidth="1"/>
    <col min="795" max="796" width="0.6328125" style="557" customWidth="1"/>
    <col min="797" max="797" width="9.6328125" style="557" customWidth="1"/>
    <col min="798" max="798" width="1.08984375" style="557" customWidth="1"/>
    <col min="799" max="799" width="8.54296875" style="557" customWidth="1"/>
    <col min="800" max="800" width="14.54296875" style="557" customWidth="1"/>
    <col min="801" max="801" width="10" style="557" customWidth="1"/>
    <col min="802" max="802" width="7.81640625" style="557" bestFit="1" customWidth="1"/>
    <col min="803" max="803" width="9.90625" style="557" customWidth="1"/>
    <col min="804" max="1020" width="8.90625" style="557"/>
    <col min="1021" max="1021" width="38.453125" style="557" customWidth="1"/>
    <col min="1022" max="1022" width="8.54296875" style="557" customWidth="1"/>
    <col min="1023" max="1023" width="1.36328125" style="557" customWidth="1"/>
    <col min="1024" max="1024" width="8.90625" style="557" customWidth="1"/>
    <col min="1025" max="1025" width="1.36328125" style="557" customWidth="1"/>
    <col min="1026" max="1026" width="9.36328125" style="557" customWidth="1"/>
    <col min="1027" max="1027" width="1.36328125" style="557" customWidth="1"/>
    <col min="1028" max="1028" width="10" style="557" customWidth="1"/>
    <col min="1029" max="1029" width="1.36328125" style="557" customWidth="1"/>
    <col min="1030" max="1030" width="9.08984375" style="557" customWidth="1"/>
    <col min="1031" max="1031" width="1.36328125" style="557" customWidth="1"/>
    <col min="1032" max="1032" width="11.36328125" style="557" customWidth="1"/>
    <col min="1033" max="1033" width="1.36328125" style="557" customWidth="1"/>
    <col min="1034" max="1034" width="9.08984375" style="557" customWidth="1"/>
    <col min="1035" max="1035" width="1.6328125" style="557" customWidth="1"/>
    <col min="1036" max="1036" width="11" style="557" customWidth="1"/>
    <col min="1037" max="1037" width="1.36328125" style="557" customWidth="1"/>
    <col min="1038" max="1038" width="10.81640625" style="557" customWidth="1"/>
    <col min="1039" max="1039" width="1.36328125" style="557" customWidth="1"/>
    <col min="1040" max="1040" width="10" style="557" customWidth="1"/>
    <col min="1041" max="1041" width="1.36328125" style="557" customWidth="1"/>
    <col min="1042" max="1042" width="9.36328125" style="557" customWidth="1"/>
    <col min="1043" max="1043" width="1.36328125" style="557" customWidth="1"/>
    <col min="1044" max="1044" width="7.81640625" style="557" customWidth="1"/>
    <col min="1045" max="1045" width="1.36328125" style="557" customWidth="1"/>
    <col min="1046" max="1046" width="0.81640625" style="557" customWidth="1"/>
    <col min="1047" max="1047" width="9.36328125" style="557" customWidth="1"/>
    <col min="1048" max="1048" width="1.36328125" style="557" customWidth="1"/>
    <col min="1049" max="1049" width="0.90625" style="557" customWidth="1"/>
    <col min="1050" max="1050" width="9.54296875" style="557" bestFit="1" customWidth="1"/>
    <col min="1051" max="1052" width="0.6328125" style="557" customWidth="1"/>
    <col min="1053" max="1053" width="9.6328125" style="557" customWidth="1"/>
    <col min="1054" max="1054" width="1.08984375" style="557" customWidth="1"/>
    <col min="1055" max="1055" width="8.54296875" style="557" customWidth="1"/>
    <col min="1056" max="1056" width="14.54296875" style="557" customWidth="1"/>
    <col min="1057" max="1057" width="10" style="557" customWidth="1"/>
    <col min="1058" max="1058" width="7.81640625" style="557" bestFit="1" customWidth="1"/>
    <col min="1059" max="1059" width="9.90625" style="557" customWidth="1"/>
    <col min="1060" max="1276" width="8.90625" style="557"/>
    <col min="1277" max="1277" width="38.453125" style="557" customWidth="1"/>
    <col min="1278" max="1278" width="8.54296875" style="557" customWidth="1"/>
    <col min="1279" max="1279" width="1.36328125" style="557" customWidth="1"/>
    <col min="1280" max="1280" width="8.90625" style="557" customWidth="1"/>
    <col min="1281" max="1281" width="1.36328125" style="557" customWidth="1"/>
    <col min="1282" max="1282" width="9.36328125" style="557" customWidth="1"/>
    <col min="1283" max="1283" width="1.36328125" style="557" customWidth="1"/>
    <col min="1284" max="1284" width="10" style="557" customWidth="1"/>
    <col min="1285" max="1285" width="1.36328125" style="557" customWidth="1"/>
    <col min="1286" max="1286" width="9.08984375" style="557" customWidth="1"/>
    <col min="1287" max="1287" width="1.36328125" style="557" customWidth="1"/>
    <col min="1288" max="1288" width="11.36328125" style="557" customWidth="1"/>
    <col min="1289" max="1289" width="1.36328125" style="557" customWidth="1"/>
    <col min="1290" max="1290" width="9.08984375" style="557" customWidth="1"/>
    <col min="1291" max="1291" width="1.6328125" style="557" customWidth="1"/>
    <col min="1292" max="1292" width="11" style="557" customWidth="1"/>
    <col min="1293" max="1293" width="1.36328125" style="557" customWidth="1"/>
    <col min="1294" max="1294" width="10.81640625" style="557" customWidth="1"/>
    <col min="1295" max="1295" width="1.36328125" style="557" customWidth="1"/>
    <col min="1296" max="1296" width="10" style="557" customWidth="1"/>
    <col min="1297" max="1297" width="1.36328125" style="557" customWidth="1"/>
    <col min="1298" max="1298" width="9.36328125" style="557" customWidth="1"/>
    <col min="1299" max="1299" width="1.36328125" style="557" customWidth="1"/>
    <col min="1300" max="1300" width="7.81640625" style="557" customWidth="1"/>
    <col min="1301" max="1301" width="1.36328125" style="557" customWidth="1"/>
    <col min="1302" max="1302" width="0.81640625" style="557" customWidth="1"/>
    <col min="1303" max="1303" width="9.36328125" style="557" customWidth="1"/>
    <col min="1304" max="1304" width="1.36328125" style="557" customWidth="1"/>
    <col min="1305" max="1305" width="0.90625" style="557" customWidth="1"/>
    <col min="1306" max="1306" width="9.54296875" style="557" bestFit="1" customWidth="1"/>
    <col min="1307" max="1308" width="0.6328125" style="557" customWidth="1"/>
    <col min="1309" max="1309" width="9.6328125" style="557" customWidth="1"/>
    <col min="1310" max="1310" width="1.08984375" style="557" customWidth="1"/>
    <col min="1311" max="1311" width="8.54296875" style="557" customWidth="1"/>
    <col min="1312" max="1312" width="14.54296875" style="557" customWidth="1"/>
    <col min="1313" max="1313" width="10" style="557" customWidth="1"/>
    <col min="1314" max="1314" width="7.81640625" style="557" bestFit="1" customWidth="1"/>
    <col min="1315" max="1315" width="9.90625" style="557" customWidth="1"/>
    <col min="1316" max="1532" width="8.90625" style="557"/>
    <col min="1533" max="1533" width="38.453125" style="557" customWidth="1"/>
    <col min="1534" max="1534" width="8.54296875" style="557" customWidth="1"/>
    <col min="1535" max="1535" width="1.36328125" style="557" customWidth="1"/>
    <col min="1536" max="1536" width="8.90625" style="557" customWidth="1"/>
    <col min="1537" max="1537" width="1.36328125" style="557" customWidth="1"/>
    <col min="1538" max="1538" width="9.36328125" style="557" customWidth="1"/>
    <col min="1539" max="1539" width="1.36328125" style="557" customWidth="1"/>
    <col min="1540" max="1540" width="10" style="557" customWidth="1"/>
    <col min="1541" max="1541" width="1.36328125" style="557" customWidth="1"/>
    <col min="1542" max="1542" width="9.08984375" style="557" customWidth="1"/>
    <col min="1543" max="1543" width="1.36328125" style="557" customWidth="1"/>
    <col min="1544" max="1544" width="11.36328125" style="557" customWidth="1"/>
    <col min="1545" max="1545" width="1.36328125" style="557" customWidth="1"/>
    <col min="1546" max="1546" width="9.08984375" style="557" customWidth="1"/>
    <col min="1547" max="1547" width="1.6328125" style="557" customWidth="1"/>
    <col min="1548" max="1548" width="11" style="557" customWidth="1"/>
    <col min="1549" max="1549" width="1.36328125" style="557" customWidth="1"/>
    <col min="1550" max="1550" width="10.81640625" style="557" customWidth="1"/>
    <col min="1551" max="1551" width="1.36328125" style="557" customWidth="1"/>
    <col min="1552" max="1552" width="10" style="557" customWidth="1"/>
    <col min="1553" max="1553" width="1.36328125" style="557" customWidth="1"/>
    <col min="1554" max="1554" width="9.36328125" style="557" customWidth="1"/>
    <col min="1555" max="1555" width="1.36328125" style="557" customWidth="1"/>
    <col min="1556" max="1556" width="7.81640625" style="557" customWidth="1"/>
    <col min="1557" max="1557" width="1.36328125" style="557" customWidth="1"/>
    <col min="1558" max="1558" width="0.81640625" style="557" customWidth="1"/>
    <col min="1559" max="1559" width="9.36328125" style="557" customWidth="1"/>
    <col min="1560" max="1560" width="1.36328125" style="557" customWidth="1"/>
    <col min="1561" max="1561" width="0.90625" style="557" customWidth="1"/>
    <col min="1562" max="1562" width="9.54296875" style="557" bestFit="1" customWidth="1"/>
    <col min="1563" max="1564" width="0.6328125" style="557" customWidth="1"/>
    <col min="1565" max="1565" width="9.6328125" style="557" customWidth="1"/>
    <col min="1566" max="1566" width="1.08984375" style="557" customWidth="1"/>
    <col min="1567" max="1567" width="8.54296875" style="557" customWidth="1"/>
    <col min="1568" max="1568" width="14.54296875" style="557" customWidth="1"/>
    <col min="1569" max="1569" width="10" style="557" customWidth="1"/>
    <col min="1570" max="1570" width="7.81640625" style="557" bestFit="1" customWidth="1"/>
    <col min="1571" max="1571" width="9.90625" style="557" customWidth="1"/>
    <col min="1572" max="1788" width="8.90625" style="557"/>
    <col min="1789" max="1789" width="38.453125" style="557" customWidth="1"/>
    <col min="1790" max="1790" width="8.54296875" style="557" customWidth="1"/>
    <col min="1791" max="1791" width="1.36328125" style="557" customWidth="1"/>
    <col min="1792" max="1792" width="8.90625" style="557" customWidth="1"/>
    <col min="1793" max="1793" width="1.36328125" style="557" customWidth="1"/>
    <col min="1794" max="1794" width="9.36328125" style="557" customWidth="1"/>
    <col min="1795" max="1795" width="1.36328125" style="557" customWidth="1"/>
    <col min="1796" max="1796" width="10" style="557" customWidth="1"/>
    <col min="1797" max="1797" width="1.36328125" style="557" customWidth="1"/>
    <col min="1798" max="1798" width="9.08984375" style="557" customWidth="1"/>
    <col min="1799" max="1799" width="1.36328125" style="557" customWidth="1"/>
    <col min="1800" max="1800" width="11.36328125" style="557" customWidth="1"/>
    <col min="1801" max="1801" width="1.36328125" style="557" customWidth="1"/>
    <col min="1802" max="1802" width="9.08984375" style="557" customWidth="1"/>
    <col min="1803" max="1803" width="1.6328125" style="557" customWidth="1"/>
    <col min="1804" max="1804" width="11" style="557" customWidth="1"/>
    <col min="1805" max="1805" width="1.36328125" style="557" customWidth="1"/>
    <col min="1806" max="1806" width="10.81640625" style="557" customWidth="1"/>
    <col min="1807" max="1807" width="1.36328125" style="557" customWidth="1"/>
    <col min="1808" max="1808" width="10" style="557" customWidth="1"/>
    <col min="1809" max="1809" width="1.36328125" style="557" customWidth="1"/>
    <col min="1810" max="1810" width="9.36328125" style="557" customWidth="1"/>
    <col min="1811" max="1811" width="1.36328125" style="557" customWidth="1"/>
    <col min="1812" max="1812" width="7.81640625" style="557" customWidth="1"/>
    <col min="1813" max="1813" width="1.36328125" style="557" customWidth="1"/>
    <col min="1814" max="1814" width="0.81640625" style="557" customWidth="1"/>
    <col min="1815" max="1815" width="9.36328125" style="557" customWidth="1"/>
    <col min="1816" max="1816" width="1.36328125" style="557" customWidth="1"/>
    <col min="1817" max="1817" width="0.90625" style="557" customWidth="1"/>
    <col min="1818" max="1818" width="9.54296875" style="557" bestFit="1" customWidth="1"/>
    <col min="1819" max="1820" width="0.6328125" style="557" customWidth="1"/>
    <col min="1821" max="1821" width="9.6328125" style="557" customWidth="1"/>
    <col min="1822" max="1822" width="1.08984375" style="557" customWidth="1"/>
    <col min="1823" max="1823" width="8.54296875" style="557" customWidth="1"/>
    <col min="1824" max="1824" width="14.54296875" style="557" customWidth="1"/>
    <col min="1825" max="1825" width="10" style="557" customWidth="1"/>
    <col min="1826" max="1826" width="7.81640625" style="557" bestFit="1" customWidth="1"/>
    <col min="1827" max="1827" width="9.90625" style="557" customWidth="1"/>
    <col min="1828" max="2044" width="8.90625" style="557"/>
    <col min="2045" max="2045" width="38.453125" style="557" customWidth="1"/>
    <col min="2046" max="2046" width="8.54296875" style="557" customWidth="1"/>
    <col min="2047" max="2047" width="1.36328125" style="557" customWidth="1"/>
    <col min="2048" max="2048" width="8.90625" style="557" customWidth="1"/>
    <col min="2049" max="2049" width="1.36328125" style="557" customWidth="1"/>
    <col min="2050" max="2050" width="9.36328125" style="557" customWidth="1"/>
    <col min="2051" max="2051" width="1.36328125" style="557" customWidth="1"/>
    <col min="2052" max="2052" width="10" style="557" customWidth="1"/>
    <col min="2053" max="2053" width="1.36328125" style="557" customWidth="1"/>
    <col min="2054" max="2054" width="9.08984375" style="557" customWidth="1"/>
    <col min="2055" max="2055" width="1.36328125" style="557" customWidth="1"/>
    <col min="2056" max="2056" width="11.36328125" style="557" customWidth="1"/>
    <col min="2057" max="2057" width="1.36328125" style="557" customWidth="1"/>
    <col min="2058" max="2058" width="9.08984375" style="557" customWidth="1"/>
    <col min="2059" max="2059" width="1.6328125" style="557" customWidth="1"/>
    <col min="2060" max="2060" width="11" style="557" customWidth="1"/>
    <col min="2061" max="2061" width="1.36328125" style="557" customWidth="1"/>
    <col min="2062" max="2062" width="10.81640625" style="557" customWidth="1"/>
    <col min="2063" max="2063" width="1.36328125" style="557" customWidth="1"/>
    <col min="2064" max="2064" width="10" style="557" customWidth="1"/>
    <col min="2065" max="2065" width="1.36328125" style="557" customWidth="1"/>
    <col min="2066" max="2066" width="9.36328125" style="557" customWidth="1"/>
    <col min="2067" max="2067" width="1.36328125" style="557" customWidth="1"/>
    <col min="2068" max="2068" width="7.81640625" style="557" customWidth="1"/>
    <col min="2069" max="2069" width="1.36328125" style="557" customWidth="1"/>
    <col min="2070" max="2070" width="0.81640625" style="557" customWidth="1"/>
    <col min="2071" max="2071" width="9.36328125" style="557" customWidth="1"/>
    <col min="2072" max="2072" width="1.36328125" style="557" customWidth="1"/>
    <col min="2073" max="2073" width="0.90625" style="557" customWidth="1"/>
    <col min="2074" max="2074" width="9.54296875" style="557" bestFit="1" customWidth="1"/>
    <col min="2075" max="2076" width="0.6328125" style="557" customWidth="1"/>
    <col min="2077" max="2077" width="9.6328125" style="557" customWidth="1"/>
    <col min="2078" max="2078" width="1.08984375" style="557" customWidth="1"/>
    <col min="2079" max="2079" width="8.54296875" style="557" customWidth="1"/>
    <col min="2080" max="2080" width="14.54296875" style="557" customWidth="1"/>
    <col min="2081" max="2081" width="10" style="557" customWidth="1"/>
    <col min="2082" max="2082" width="7.81640625" style="557" bestFit="1" customWidth="1"/>
    <col min="2083" max="2083" width="9.90625" style="557" customWidth="1"/>
    <col min="2084" max="2300" width="8.90625" style="557"/>
    <col min="2301" max="2301" width="38.453125" style="557" customWidth="1"/>
    <col min="2302" max="2302" width="8.54296875" style="557" customWidth="1"/>
    <col min="2303" max="2303" width="1.36328125" style="557" customWidth="1"/>
    <col min="2304" max="2304" width="8.90625" style="557" customWidth="1"/>
    <col min="2305" max="2305" width="1.36328125" style="557" customWidth="1"/>
    <col min="2306" max="2306" width="9.36328125" style="557" customWidth="1"/>
    <col min="2307" max="2307" width="1.36328125" style="557" customWidth="1"/>
    <col min="2308" max="2308" width="10" style="557" customWidth="1"/>
    <col min="2309" max="2309" width="1.36328125" style="557" customWidth="1"/>
    <col min="2310" max="2310" width="9.08984375" style="557" customWidth="1"/>
    <col min="2311" max="2311" width="1.36328125" style="557" customWidth="1"/>
    <col min="2312" max="2312" width="11.36328125" style="557" customWidth="1"/>
    <col min="2313" max="2313" width="1.36328125" style="557" customWidth="1"/>
    <col min="2314" max="2314" width="9.08984375" style="557" customWidth="1"/>
    <col min="2315" max="2315" width="1.6328125" style="557" customWidth="1"/>
    <col min="2316" max="2316" width="11" style="557" customWidth="1"/>
    <col min="2317" max="2317" width="1.36328125" style="557" customWidth="1"/>
    <col min="2318" max="2318" width="10.81640625" style="557" customWidth="1"/>
    <col min="2319" max="2319" width="1.36328125" style="557" customWidth="1"/>
    <col min="2320" max="2320" width="10" style="557" customWidth="1"/>
    <col min="2321" max="2321" width="1.36328125" style="557" customWidth="1"/>
    <col min="2322" max="2322" width="9.36328125" style="557" customWidth="1"/>
    <col min="2323" max="2323" width="1.36328125" style="557" customWidth="1"/>
    <col min="2324" max="2324" width="7.81640625" style="557" customWidth="1"/>
    <col min="2325" max="2325" width="1.36328125" style="557" customWidth="1"/>
    <col min="2326" max="2326" width="0.81640625" style="557" customWidth="1"/>
    <col min="2327" max="2327" width="9.36328125" style="557" customWidth="1"/>
    <col min="2328" max="2328" width="1.36328125" style="557" customWidth="1"/>
    <col min="2329" max="2329" width="0.90625" style="557" customWidth="1"/>
    <col min="2330" max="2330" width="9.54296875" style="557" bestFit="1" customWidth="1"/>
    <col min="2331" max="2332" width="0.6328125" style="557" customWidth="1"/>
    <col min="2333" max="2333" width="9.6328125" style="557" customWidth="1"/>
    <col min="2334" max="2334" width="1.08984375" style="557" customWidth="1"/>
    <col min="2335" max="2335" width="8.54296875" style="557" customWidth="1"/>
    <col min="2336" max="2336" width="14.54296875" style="557" customWidth="1"/>
    <col min="2337" max="2337" width="10" style="557" customWidth="1"/>
    <col min="2338" max="2338" width="7.81640625" style="557" bestFit="1" customWidth="1"/>
    <col min="2339" max="2339" width="9.90625" style="557" customWidth="1"/>
    <col min="2340" max="2556" width="8.90625" style="557"/>
    <col min="2557" max="2557" width="38.453125" style="557" customWidth="1"/>
    <col min="2558" max="2558" width="8.54296875" style="557" customWidth="1"/>
    <col min="2559" max="2559" width="1.36328125" style="557" customWidth="1"/>
    <col min="2560" max="2560" width="8.90625" style="557" customWidth="1"/>
    <col min="2561" max="2561" width="1.36328125" style="557" customWidth="1"/>
    <col min="2562" max="2562" width="9.36328125" style="557" customWidth="1"/>
    <col min="2563" max="2563" width="1.36328125" style="557" customWidth="1"/>
    <col min="2564" max="2564" width="10" style="557" customWidth="1"/>
    <col min="2565" max="2565" width="1.36328125" style="557" customWidth="1"/>
    <col min="2566" max="2566" width="9.08984375" style="557" customWidth="1"/>
    <col min="2567" max="2567" width="1.36328125" style="557" customWidth="1"/>
    <col min="2568" max="2568" width="11.36328125" style="557" customWidth="1"/>
    <col min="2569" max="2569" width="1.36328125" style="557" customWidth="1"/>
    <col min="2570" max="2570" width="9.08984375" style="557" customWidth="1"/>
    <col min="2571" max="2571" width="1.6328125" style="557" customWidth="1"/>
    <col min="2572" max="2572" width="11" style="557" customWidth="1"/>
    <col min="2573" max="2573" width="1.36328125" style="557" customWidth="1"/>
    <col min="2574" max="2574" width="10.81640625" style="557" customWidth="1"/>
    <col min="2575" max="2575" width="1.36328125" style="557" customWidth="1"/>
    <col min="2576" max="2576" width="10" style="557" customWidth="1"/>
    <col min="2577" max="2577" width="1.36328125" style="557" customWidth="1"/>
    <col min="2578" max="2578" width="9.36328125" style="557" customWidth="1"/>
    <col min="2579" max="2579" width="1.36328125" style="557" customWidth="1"/>
    <col min="2580" max="2580" width="7.81640625" style="557" customWidth="1"/>
    <col min="2581" max="2581" width="1.36328125" style="557" customWidth="1"/>
    <col min="2582" max="2582" width="0.81640625" style="557" customWidth="1"/>
    <col min="2583" max="2583" width="9.36328125" style="557" customWidth="1"/>
    <col min="2584" max="2584" width="1.36328125" style="557" customWidth="1"/>
    <col min="2585" max="2585" width="0.90625" style="557" customWidth="1"/>
    <col min="2586" max="2586" width="9.54296875" style="557" bestFit="1" customWidth="1"/>
    <col min="2587" max="2588" width="0.6328125" style="557" customWidth="1"/>
    <col min="2589" max="2589" width="9.6328125" style="557" customWidth="1"/>
    <col min="2590" max="2590" width="1.08984375" style="557" customWidth="1"/>
    <col min="2591" max="2591" width="8.54296875" style="557" customWidth="1"/>
    <col min="2592" max="2592" width="14.54296875" style="557" customWidth="1"/>
    <col min="2593" max="2593" width="10" style="557" customWidth="1"/>
    <col min="2594" max="2594" width="7.81640625" style="557" bestFit="1" customWidth="1"/>
    <col min="2595" max="2595" width="9.90625" style="557" customWidth="1"/>
    <col min="2596" max="2812" width="8.90625" style="557"/>
    <col min="2813" max="2813" width="38.453125" style="557" customWidth="1"/>
    <col min="2814" max="2814" width="8.54296875" style="557" customWidth="1"/>
    <col min="2815" max="2815" width="1.36328125" style="557" customWidth="1"/>
    <col min="2816" max="2816" width="8.90625" style="557" customWidth="1"/>
    <col min="2817" max="2817" width="1.36328125" style="557" customWidth="1"/>
    <col min="2818" max="2818" width="9.36328125" style="557" customWidth="1"/>
    <col min="2819" max="2819" width="1.36328125" style="557" customWidth="1"/>
    <col min="2820" max="2820" width="10" style="557" customWidth="1"/>
    <col min="2821" max="2821" width="1.36328125" style="557" customWidth="1"/>
    <col min="2822" max="2822" width="9.08984375" style="557" customWidth="1"/>
    <col min="2823" max="2823" width="1.36328125" style="557" customWidth="1"/>
    <col min="2824" max="2824" width="11.36328125" style="557" customWidth="1"/>
    <col min="2825" max="2825" width="1.36328125" style="557" customWidth="1"/>
    <col min="2826" max="2826" width="9.08984375" style="557" customWidth="1"/>
    <col min="2827" max="2827" width="1.6328125" style="557" customWidth="1"/>
    <col min="2828" max="2828" width="11" style="557" customWidth="1"/>
    <col min="2829" max="2829" width="1.36328125" style="557" customWidth="1"/>
    <col min="2830" max="2830" width="10.81640625" style="557" customWidth="1"/>
    <col min="2831" max="2831" width="1.36328125" style="557" customWidth="1"/>
    <col min="2832" max="2832" width="10" style="557" customWidth="1"/>
    <col min="2833" max="2833" width="1.36328125" style="557" customWidth="1"/>
    <col min="2834" max="2834" width="9.36328125" style="557" customWidth="1"/>
    <col min="2835" max="2835" width="1.36328125" style="557" customWidth="1"/>
    <col min="2836" max="2836" width="7.81640625" style="557" customWidth="1"/>
    <col min="2837" max="2837" width="1.36328125" style="557" customWidth="1"/>
    <col min="2838" max="2838" width="0.81640625" style="557" customWidth="1"/>
    <col min="2839" max="2839" width="9.36328125" style="557" customWidth="1"/>
    <col min="2840" max="2840" width="1.36328125" style="557" customWidth="1"/>
    <col min="2841" max="2841" width="0.90625" style="557" customWidth="1"/>
    <col min="2842" max="2842" width="9.54296875" style="557" bestFit="1" customWidth="1"/>
    <col min="2843" max="2844" width="0.6328125" style="557" customWidth="1"/>
    <col min="2845" max="2845" width="9.6328125" style="557" customWidth="1"/>
    <col min="2846" max="2846" width="1.08984375" style="557" customWidth="1"/>
    <col min="2847" max="2847" width="8.54296875" style="557" customWidth="1"/>
    <col min="2848" max="2848" width="14.54296875" style="557" customWidth="1"/>
    <col min="2849" max="2849" width="10" style="557" customWidth="1"/>
    <col min="2850" max="2850" width="7.81640625" style="557" bestFit="1" customWidth="1"/>
    <col min="2851" max="2851" width="9.90625" style="557" customWidth="1"/>
    <col min="2852" max="3068" width="8.90625" style="557"/>
    <col min="3069" max="3069" width="38.453125" style="557" customWidth="1"/>
    <col min="3070" max="3070" width="8.54296875" style="557" customWidth="1"/>
    <col min="3071" max="3071" width="1.36328125" style="557" customWidth="1"/>
    <col min="3072" max="3072" width="8.90625" style="557" customWidth="1"/>
    <col min="3073" max="3073" width="1.36328125" style="557" customWidth="1"/>
    <col min="3074" max="3074" width="9.36328125" style="557" customWidth="1"/>
    <col min="3075" max="3075" width="1.36328125" style="557" customWidth="1"/>
    <col min="3076" max="3076" width="10" style="557" customWidth="1"/>
    <col min="3077" max="3077" width="1.36328125" style="557" customWidth="1"/>
    <col min="3078" max="3078" width="9.08984375" style="557" customWidth="1"/>
    <col min="3079" max="3079" width="1.36328125" style="557" customWidth="1"/>
    <col min="3080" max="3080" width="11.36328125" style="557" customWidth="1"/>
    <col min="3081" max="3081" width="1.36328125" style="557" customWidth="1"/>
    <col min="3082" max="3082" width="9.08984375" style="557" customWidth="1"/>
    <col min="3083" max="3083" width="1.6328125" style="557" customWidth="1"/>
    <col min="3084" max="3084" width="11" style="557" customWidth="1"/>
    <col min="3085" max="3085" width="1.36328125" style="557" customWidth="1"/>
    <col min="3086" max="3086" width="10.81640625" style="557" customWidth="1"/>
    <col min="3087" max="3087" width="1.36328125" style="557" customWidth="1"/>
    <col min="3088" max="3088" width="10" style="557" customWidth="1"/>
    <col min="3089" max="3089" width="1.36328125" style="557" customWidth="1"/>
    <col min="3090" max="3090" width="9.36328125" style="557" customWidth="1"/>
    <col min="3091" max="3091" width="1.36328125" style="557" customWidth="1"/>
    <col min="3092" max="3092" width="7.81640625" style="557" customWidth="1"/>
    <col min="3093" max="3093" width="1.36328125" style="557" customWidth="1"/>
    <col min="3094" max="3094" width="0.81640625" style="557" customWidth="1"/>
    <col min="3095" max="3095" width="9.36328125" style="557" customWidth="1"/>
    <col min="3096" max="3096" width="1.36328125" style="557" customWidth="1"/>
    <col min="3097" max="3097" width="0.90625" style="557" customWidth="1"/>
    <col min="3098" max="3098" width="9.54296875" style="557" bestFit="1" customWidth="1"/>
    <col min="3099" max="3100" width="0.6328125" style="557" customWidth="1"/>
    <col min="3101" max="3101" width="9.6328125" style="557" customWidth="1"/>
    <col min="3102" max="3102" width="1.08984375" style="557" customWidth="1"/>
    <col min="3103" max="3103" width="8.54296875" style="557" customWidth="1"/>
    <col min="3104" max="3104" width="14.54296875" style="557" customWidth="1"/>
    <col min="3105" max="3105" width="10" style="557" customWidth="1"/>
    <col min="3106" max="3106" width="7.81640625" style="557" bestFit="1" customWidth="1"/>
    <col min="3107" max="3107" width="9.90625" style="557" customWidth="1"/>
    <col min="3108" max="3324" width="8.90625" style="557"/>
    <col min="3325" max="3325" width="38.453125" style="557" customWidth="1"/>
    <col min="3326" max="3326" width="8.54296875" style="557" customWidth="1"/>
    <col min="3327" max="3327" width="1.36328125" style="557" customWidth="1"/>
    <col min="3328" max="3328" width="8.90625" style="557" customWidth="1"/>
    <col min="3329" max="3329" width="1.36328125" style="557" customWidth="1"/>
    <col min="3330" max="3330" width="9.36328125" style="557" customWidth="1"/>
    <col min="3331" max="3331" width="1.36328125" style="557" customWidth="1"/>
    <col min="3332" max="3332" width="10" style="557" customWidth="1"/>
    <col min="3333" max="3333" width="1.36328125" style="557" customWidth="1"/>
    <col min="3334" max="3334" width="9.08984375" style="557" customWidth="1"/>
    <col min="3335" max="3335" width="1.36328125" style="557" customWidth="1"/>
    <col min="3336" max="3336" width="11.36328125" style="557" customWidth="1"/>
    <col min="3337" max="3337" width="1.36328125" style="557" customWidth="1"/>
    <col min="3338" max="3338" width="9.08984375" style="557" customWidth="1"/>
    <col min="3339" max="3339" width="1.6328125" style="557" customWidth="1"/>
    <col min="3340" max="3340" width="11" style="557" customWidth="1"/>
    <col min="3341" max="3341" width="1.36328125" style="557" customWidth="1"/>
    <col min="3342" max="3342" width="10.81640625" style="557" customWidth="1"/>
    <col min="3343" max="3343" width="1.36328125" style="557" customWidth="1"/>
    <col min="3344" max="3344" width="10" style="557" customWidth="1"/>
    <col min="3345" max="3345" width="1.36328125" style="557" customWidth="1"/>
    <col min="3346" max="3346" width="9.36328125" style="557" customWidth="1"/>
    <col min="3347" max="3347" width="1.36328125" style="557" customWidth="1"/>
    <col min="3348" max="3348" width="7.81640625" style="557" customWidth="1"/>
    <col min="3349" max="3349" width="1.36328125" style="557" customWidth="1"/>
    <col min="3350" max="3350" width="0.81640625" style="557" customWidth="1"/>
    <col min="3351" max="3351" width="9.36328125" style="557" customWidth="1"/>
    <col min="3352" max="3352" width="1.36328125" style="557" customWidth="1"/>
    <col min="3353" max="3353" width="0.90625" style="557" customWidth="1"/>
    <col min="3354" max="3354" width="9.54296875" style="557" bestFit="1" customWidth="1"/>
    <col min="3355" max="3356" width="0.6328125" style="557" customWidth="1"/>
    <col min="3357" max="3357" width="9.6328125" style="557" customWidth="1"/>
    <col min="3358" max="3358" width="1.08984375" style="557" customWidth="1"/>
    <col min="3359" max="3359" width="8.54296875" style="557" customWidth="1"/>
    <col min="3360" max="3360" width="14.54296875" style="557" customWidth="1"/>
    <col min="3361" max="3361" width="10" style="557" customWidth="1"/>
    <col min="3362" max="3362" width="7.81640625" style="557" bestFit="1" customWidth="1"/>
    <col min="3363" max="3363" width="9.90625" style="557" customWidth="1"/>
    <col min="3364" max="3580" width="8.90625" style="557"/>
    <col min="3581" max="3581" width="38.453125" style="557" customWidth="1"/>
    <col min="3582" max="3582" width="8.54296875" style="557" customWidth="1"/>
    <col min="3583" max="3583" width="1.36328125" style="557" customWidth="1"/>
    <col min="3584" max="3584" width="8.90625" style="557" customWidth="1"/>
    <col min="3585" max="3585" width="1.36328125" style="557" customWidth="1"/>
    <col min="3586" max="3586" width="9.36328125" style="557" customWidth="1"/>
    <col min="3587" max="3587" width="1.36328125" style="557" customWidth="1"/>
    <col min="3588" max="3588" width="10" style="557" customWidth="1"/>
    <col min="3589" max="3589" width="1.36328125" style="557" customWidth="1"/>
    <col min="3590" max="3590" width="9.08984375" style="557" customWidth="1"/>
    <col min="3591" max="3591" width="1.36328125" style="557" customWidth="1"/>
    <col min="3592" max="3592" width="11.36328125" style="557" customWidth="1"/>
    <col min="3593" max="3593" width="1.36328125" style="557" customWidth="1"/>
    <col min="3594" max="3594" width="9.08984375" style="557" customWidth="1"/>
    <col min="3595" max="3595" width="1.6328125" style="557" customWidth="1"/>
    <col min="3596" max="3596" width="11" style="557" customWidth="1"/>
    <col min="3597" max="3597" width="1.36328125" style="557" customWidth="1"/>
    <col min="3598" max="3598" width="10.81640625" style="557" customWidth="1"/>
    <col min="3599" max="3599" width="1.36328125" style="557" customWidth="1"/>
    <col min="3600" max="3600" width="10" style="557" customWidth="1"/>
    <col min="3601" max="3601" width="1.36328125" style="557" customWidth="1"/>
    <col min="3602" max="3602" width="9.36328125" style="557" customWidth="1"/>
    <col min="3603" max="3603" width="1.36328125" style="557" customWidth="1"/>
    <col min="3604" max="3604" width="7.81640625" style="557" customWidth="1"/>
    <col min="3605" max="3605" width="1.36328125" style="557" customWidth="1"/>
    <col min="3606" max="3606" width="0.81640625" style="557" customWidth="1"/>
    <col min="3607" max="3607" width="9.36328125" style="557" customWidth="1"/>
    <col min="3608" max="3608" width="1.36328125" style="557" customWidth="1"/>
    <col min="3609" max="3609" width="0.90625" style="557" customWidth="1"/>
    <col min="3610" max="3610" width="9.54296875" style="557" bestFit="1" customWidth="1"/>
    <col min="3611" max="3612" width="0.6328125" style="557" customWidth="1"/>
    <col min="3613" max="3613" width="9.6328125" style="557" customWidth="1"/>
    <col min="3614" max="3614" width="1.08984375" style="557" customWidth="1"/>
    <col min="3615" max="3615" width="8.54296875" style="557" customWidth="1"/>
    <col min="3616" max="3616" width="14.54296875" style="557" customWidth="1"/>
    <col min="3617" max="3617" width="10" style="557" customWidth="1"/>
    <col min="3618" max="3618" width="7.81640625" style="557" bestFit="1" customWidth="1"/>
    <col min="3619" max="3619" width="9.90625" style="557" customWidth="1"/>
    <col min="3620" max="3836" width="8.90625" style="557"/>
    <col min="3837" max="3837" width="38.453125" style="557" customWidth="1"/>
    <col min="3838" max="3838" width="8.54296875" style="557" customWidth="1"/>
    <col min="3839" max="3839" width="1.36328125" style="557" customWidth="1"/>
    <col min="3840" max="3840" width="8.90625" style="557" customWidth="1"/>
    <col min="3841" max="3841" width="1.36328125" style="557" customWidth="1"/>
    <col min="3842" max="3842" width="9.36328125" style="557" customWidth="1"/>
    <col min="3843" max="3843" width="1.36328125" style="557" customWidth="1"/>
    <col min="3844" max="3844" width="10" style="557" customWidth="1"/>
    <col min="3845" max="3845" width="1.36328125" style="557" customWidth="1"/>
    <col min="3846" max="3846" width="9.08984375" style="557" customWidth="1"/>
    <col min="3847" max="3847" width="1.36328125" style="557" customWidth="1"/>
    <col min="3848" max="3848" width="11.36328125" style="557" customWidth="1"/>
    <col min="3849" max="3849" width="1.36328125" style="557" customWidth="1"/>
    <col min="3850" max="3850" width="9.08984375" style="557" customWidth="1"/>
    <col min="3851" max="3851" width="1.6328125" style="557" customWidth="1"/>
    <col min="3852" max="3852" width="11" style="557" customWidth="1"/>
    <col min="3853" max="3853" width="1.36328125" style="557" customWidth="1"/>
    <col min="3854" max="3854" width="10.81640625" style="557" customWidth="1"/>
    <col min="3855" max="3855" width="1.36328125" style="557" customWidth="1"/>
    <col min="3856" max="3856" width="10" style="557" customWidth="1"/>
    <col min="3857" max="3857" width="1.36328125" style="557" customWidth="1"/>
    <col min="3858" max="3858" width="9.36328125" style="557" customWidth="1"/>
    <col min="3859" max="3859" width="1.36328125" style="557" customWidth="1"/>
    <col min="3860" max="3860" width="7.81640625" style="557" customWidth="1"/>
    <col min="3861" max="3861" width="1.36328125" style="557" customWidth="1"/>
    <col min="3862" max="3862" width="0.81640625" style="557" customWidth="1"/>
    <col min="3863" max="3863" width="9.36328125" style="557" customWidth="1"/>
    <col min="3864" max="3864" width="1.36328125" style="557" customWidth="1"/>
    <col min="3865" max="3865" width="0.90625" style="557" customWidth="1"/>
    <col min="3866" max="3866" width="9.54296875" style="557" bestFit="1" customWidth="1"/>
    <col min="3867" max="3868" width="0.6328125" style="557" customWidth="1"/>
    <col min="3869" max="3869" width="9.6328125" style="557" customWidth="1"/>
    <col min="3870" max="3870" width="1.08984375" style="557" customWidth="1"/>
    <col min="3871" max="3871" width="8.54296875" style="557" customWidth="1"/>
    <col min="3872" max="3872" width="14.54296875" style="557" customWidth="1"/>
    <col min="3873" max="3873" width="10" style="557" customWidth="1"/>
    <col min="3874" max="3874" width="7.81640625" style="557" bestFit="1" customWidth="1"/>
    <col min="3875" max="3875" width="9.90625" style="557" customWidth="1"/>
    <col min="3876" max="4092" width="8.90625" style="557"/>
    <col min="4093" max="4093" width="38.453125" style="557" customWidth="1"/>
    <col min="4094" max="4094" width="8.54296875" style="557" customWidth="1"/>
    <col min="4095" max="4095" width="1.36328125" style="557" customWidth="1"/>
    <col min="4096" max="4096" width="8.90625" style="557" customWidth="1"/>
    <col min="4097" max="4097" width="1.36328125" style="557" customWidth="1"/>
    <col min="4098" max="4098" width="9.36328125" style="557" customWidth="1"/>
    <col min="4099" max="4099" width="1.36328125" style="557" customWidth="1"/>
    <col min="4100" max="4100" width="10" style="557" customWidth="1"/>
    <col min="4101" max="4101" width="1.36328125" style="557" customWidth="1"/>
    <col min="4102" max="4102" width="9.08984375" style="557" customWidth="1"/>
    <col min="4103" max="4103" width="1.36328125" style="557" customWidth="1"/>
    <col min="4104" max="4104" width="11.36328125" style="557" customWidth="1"/>
    <col min="4105" max="4105" width="1.36328125" style="557" customWidth="1"/>
    <col min="4106" max="4106" width="9.08984375" style="557" customWidth="1"/>
    <col min="4107" max="4107" width="1.6328125" style="557" customWidth="1"/>
    <col min="4108" max="4108" width="11" style="557" customWidth="1"/>
    <col min="4109" max="4109" width="1.36328125" style="557" customWidth="1"/>
    <col min="4110" max="4110" width="10.81640625" style="557" customWidth="1"/>
    <col min="4111" max="4111" width="1.36328125" style="557" customWidth="1"/>
    <col min="4112" max="4112" width="10" style="557" customWidth="1"/>
    <col min="4113" max="4113" width="1.36328125" style="557" customWidth="1"/>
    <col min="4114" max="4114" width="9.36328125" style="557" customWidth="1"/>
    <col min="4115" max="4115" width="1.36328125" style="557" customWidth="1"/>
    <col min="4116" max="4116" width="7.81640625" style="557" customWidth="1"/>
    <col min="4117" max="4117" width="1.36328125" style="557" customWidth="1"/>
    <col min="4118" max="4118" width="0.81640625" style="557" customWidth="1"/>
    <col min="4119" max="4119" width="9.36328125" style="557" customWidth="1"/>
    <col min="4120" max="4120" width="1.36328125" style="557" customWidth="1"/>
    <col min="4121" max="4121" width="0.90625" style="557" customWidth="1"/>
    <col min="4122" max="4122" width="9.54296875" style="557" bestFit="1" customWidth="1"/>
    <col min="4123" max="4124" width="0.6328125" style="557" customWidth="1"/>
    <col min="4125" max="4125" width="9.6328125" style="557" customWidth="1"/>
    <col min="4126" max="4126" width="1.08984375" style="557" customWidth="1"/>
    <col min="4127" max="4127" width="8.54296875" style="557" customWidth="1"/>
    <col min="4128" max="4128" width="14.54296875" style="557" customWidth="1"/>
    <col min="4129" max="4129" width="10" style="557" customWidth="1"/>
    <col min="4130" max="4130" width="7.81640625" style="557" bestFit="1" customWidth="1"/>
    <col min="4131" max="4131" width="9.90625" style="557" customWidth="1"/>
    <col min="4132" max="4348" width="8.90625" style="557"/>
    <col min="4349" max="4349" width="38.453125" style="557" customWidth="1"/>
    <col min="4350" max="4350" width="8.54296875" style="557" customWidth="1"/>
    <col min="4351" max="4351" width="1.36328125" style="557" customWidth="1"/>
    <col min="4352" max="4352" width="8.90625" style="557" customWidth="1"/>
    <col min="4353" max="4353" width="1.36328125" style="557" customWidth="1"/>
    <col min="4354" max="4354" width="9.36328125" style="557" customWidth="1"/>
    <col min="4355" max="4355" width="1.36328125" style="557" customWidth="1"/>
    <col min="4356" max="4356" width="10" style="557" customWidth="1"/>
    <col min="4357" max="4357" width="1.36328125" style="557" customWidth="1"/>
    <col min="4358" max="4358" width="9.08984375" style="557" customWidth="1"/>
    <col min="4359" max="4359" width="1.36328125" style="557" customWidth="1"/>
    <col min="4360" max="4360" width="11.36328125" style="557" customWidth="1"/>
    <col min="4361" max="4361" width="1.36328125" style="557" customWidth="1"/>
    <col min="4362" max="4362" width="9.08984375" style="557" customWidth="1"/>
    <col min="4363" max="4363" width="1.6328125" style="557" customWidth="1"/>
    <col min="4364" max="4364" width="11" style="557" customWidth="1"/>
    <col min="4365" max="4365" width="1.36328125" style="557" customWidth="1"/>
    <col min="4366" max="4366" width="10.81640625" style="557" customWidth="1"/>
    <col min="4367" max="4367" width="1.36328125" style="557" customWidth="1"/>
    <col min="4368" max="4368" width="10" style="557" customWidth="1"/>
    <col min="4369" max="4369" width="1.36328125" style="557" customWidth="1"/>
    <col min="4370" max="4370" width="9.36328125" style="557" customWidth="1"/>
    <col min="4371" max="4371" width="1.36328125" style="557" customWidth="1"/>
    <col min="4372" max="4372" width="7.81640625" style="557" customWidth="1"/>
    <col min="4373" max="4373" width="1.36328125" style="557" customWidth="1"/>
    <col min="4374" max="4374" width="0.81640625" style="557" customWidth="1"/>
    <col min="4375" max="4375" width="9.36328125" style="557" customWidth="1"/>
    <col min="4376" max="4376" width="1.36328125" style="557" customWidth="1"/>
    <col min="4377" max="4377" width="0.90625" style="557" customWidth="1"/>
    <col min="4378" max="4378" width="9.54296875" style="557" bestFit="1" customWidth="1"/>
    <col min="4379" max="4380" width="0.6328125" style="557" customWidth="1"/>
    <col min="4381" max="4381" width="9.6328125" style="557" customWidth="1"/>
    <col min="4382" max="4382" width="1.08984375" style="557" customWidth="1"/>
    <col min="4383" max="4383" width="8.54296875" style="557" customWidth="1"/>
    <col min="4384" max="4384" width="14.54296875" style="557" customWidth="1"/>
    <col min="4385" max="4385" width="10" style="557" customWidth="1"/>
    <col min="4386" max="4386" width="7.81640625" style="557" bestFit="1" customWidth="1"/>
    <col min="4387" max="4387" width="9.90625" style="557" customWidth="1"/>
    <col min="4388" max="4604" width="8.90625" style="557"/>
    <col min="4605" max="4605" width="38.453125" style="557" customWidth="1"/>
    <col min="4606" max="4606" width="8.54296875" style="557" customWidth="1"/>
    <col min="4607" max="4607" width="1.36328125" style="557" customWidth="1"/>
    <col min="4608" max="4608" width="8.90625" style="557" customWidth="1"/>
    <col min="4609" max="4609" width="1.36328125" style="557" customWidth="1"/>
    <col min="4610" max="4610" width="9.36328125" style="557" customWidth="1"/>
    <col min="4611" max="4611" width="1.36328125" style="557" customWidth="1"/>
    <col min="4612" max="4612" width="10" style="557" customWidth="1"/>
    <col min="4613" max="4613" width="1.36328125" style="557" customWidth="1"/>
    <col min="4614" max="4614" width="9.08984375" style="557" customWidth="1"/>
    <col min="4615" max="4615" width="1.36328125" style="557" customWidth="1"/>
    <col min="4616" max="4616" width="11.36328125" style="557" customWidth="1"/>
    <col min="4617" max="4617" width="1.36328125" style="557" customWidth="1"/>
    <col min="4618" max="4618" width="9.08984375" style="557" customWidth="1"/>
    <col min="4619" max="4619" width="1.6328125" style="557" customWidth="1"/>
    <col min="4620" max="4620" width="11" style="557" customWidth="1"/>
    <col min="4621" max="4621" width="1.36328125" style="557" customWidth="1"/>
    <col min="4622" max="4622" width="10.81640625" style="557" customWidth="1"/>
    <col min="4623" max="4623" width="1.36328125" style="557" customWidth="1"/>
    <col min="4624" max="4624" width="10" style="557" customWidth="1"/>
    <col min="4625" max="4625" width="1.36328125" style="557" customWidth="1"/>
    <col min="4626" max="4626" width="9.36328125" style="557" customWidth="1"/>
    <col min="4627" max="4627" width="1.36328125" style="557" customWidth="1"/>
    <col min="4628" max="4628" width="7.81640625" style="557" customWidth="1"/>
    <col min="4629" max="4629" width="1.36328125" style="557" customWidth="1"/>
    <col min="4630" max="4630" width="0.81640625" style="557" customWidth="1"/>
    <col min="4631" max="4631" width="9.36328125" style="557" customWidth="1"/>
    <col min="4632" max="4632" width="1.36328125" style="557" customWidth="1"/>
    <col min="4633" max="4633" width="0.90625" style="557" customWidth="1"/>
    <col min="4634" max="4634" width="9.54296875" style="557" bestFit="1" customWidth="1"/>
    <col min="4635" max="4636" width="0.6328125" style="557" customWidth="1"/>
    <col min="4637" max="4637" width="9.6328125" style="557" customWidth="1"/>
    <col min="4638" max="4638" width="1.08984375" style="557" customWidth="1"/>
    <col min="4639" max="4639" width="8.54296875" style="557" customWidth="1"/>
    <col min="4640" max="4640" width="14.54296875" style="557" customWidth="1"/>
    <col min="4641" max="4641" width="10" style="557" customWidth="1"/>
    <col min="4642" max="4642" width="7.81640625" style="557" bestFit="1" customWidth="1"/>
    <col min="4643" max="4643" width="9.90625" style="557" customWidth="1"/>
    <col min="4644" max="4860" width="8.90625" style="557"/>
    <col min="4861" max="4861" width="38.453125" style="557" customWidth="1"/>
    <col min="4862" max="4862" width="8.54296875" style="557" customWidth="1"/>
    <col min="4863" max="4863" width="1.36328125" style="557" customWidth="1"/>
    <col min="4864" max="4864" width="8.90625" style="557" customWidth="1"/>
    <col min="4865" max="4865" width="1.36328125" style="557" customWidth="1"/>
    <col min="4866" max="4866" width="9.36328125" style="557" customWidth="1"/>
    <col min="4867" max="4867" width="1.36328125" style="557" customWidth="1"/>
    <col min="4868" max="4868" width="10" style="557" customWidth="1"/>
    <col min="4869" max="4869" width="1.36328125" style="557" customWidth="1"/>
    <col min="4870" max="4870" width="9.08984375" style="557" customWidth="1"/>
    <col min="4871" max="4871" width="1.36328125" style="557" customWidth="1"/>
    <col min="4872" max="4872" width="11.36328125" style="557" customWidth="1"/>
    <col min="4873" max="4873" width="1.36328125" style="557" customWidth="1"/>
    <col min="4874" max="4874" width="9.08984375" style="557" customWidth="1"/>
    <col min="4875" max="4875" width="1.6328125" style="557" customWidth="1"/>
    <col min="4876" max="4876" width="11" style="557" customWidth="1"/>
    <col min="4877" max="4877" width="1.36328125" style="557" customWidth="1"/>
    <col min="4878" max="4878" width="10.81640625" style="557" customWidth="1"/>
    <col min="4879" max="4879" width="1.36328125" style="557" customWidth="1"/>
    <col min="4880" max="4880" width="10" style="557" customWidth="1"/>
    <col min="4881" max="4881" width="1.36328125" style="557" customWidth="1"/>
    <col min="4882" max="4882" width="9.36328125" style="557" customWidth="1"/>
    <col min="4883" max="4883" width="1.36328125" style="557" customWidth="1"/>
    <col min="4884" max="4884" width="7.81640625" style="557" customWidth="1"/>
    <col min="4885" max="4885" width="1.36328125" style="557" customWidth="1"/>
    <col min="4886" max="4886" width="0.81640625" style="557" customWidth="1"/>
    <col min="4887" max="4887" width="9.36328125" style="557" customWidth="1"/>
    <col min="4888" max="4888" width="1.36328125" style="557" customWidth="1"/>
    <col min="4889" max="4889" width="0.90625" style="557" customWidth="1"/>
    <col min="4890" max="4890" width="9.54296875" style="557" bestFit="1" customWidth="1"/>
    <col min="4891" max="4892" width="0.6328125" style="557" customWidth="1"/>
    <col min="4893" max="4893" width="9.6328125" style="557" customWidth="1"/>
    <col min="4894" max="4894" width="1.08984375" style="557" customWidth="1"/>
    <col min="4895" max="4895" width="8.54296875" style="557" customWidth="1"/>
    <col min="4896" max="4896" width="14.54296875" style="557" customWidth="1"/>
    <col min="4897" max="4897" width="10" style="557" customWidth="1"/>
    <col min="4898" max="4898" width="7.81640625" style="557" bestFit="1" customWidth="1"/>
    <col min="4899" max="4899" width="9.90625" style="557" customWidth="1"/>
    <col min="4900" max="5116" width="8.90625" style="557"/>
    <col min="5117" max="5117" width="38.453125" style="557" customWidth="1"/>
    <col min="5118" max="5118" width="8.54296875" style="557" customWidth="1"/>
    <col min="5119" max="5119" width="1.36328125" style="557" customWidth="1"/>
    <col min="5120" max="5120" width="8.90625" style="557" customWidth="1"/>
    <col min="5121" max="5121" width="1.36328125" style="557" customWidth="1"/>
    <col min="5122" max="5122" width="9.36328125" style="557" customWidth="1"/>
    <col min="5123" max="5123" width="1.36328125" style="557" customWidth="1"/>
    <col min="5124" max="5124" width="10" style="557" customWidth="1"/>
    <col min="5125" max="5125" width="1.36328125" style="557" customWidth="1"/>
    <col min="5126" max="5126" width="9.08984375" style="557" customWidth="1"/>
    <col min="5127" max="5127" width="1.36328125" style="557" customWidth="1"/>
    <col min="5128" max="5128" width="11.36328125" style="557" customWidth="1"/>
    <col min="5129" max="5129" width="1.36328125" style="557" customWidth="1"/>
    <col min="5130" max="5130" width="9.08984375" style="557" customWidth="1"/>
    <col min="5131" max="5131" width="1.6328125" style="557" customWidth="1"/>
    <col min="5132" max="5132" width="11" style="557" customWidth="1"/>
    <col min="5133" max="5133" width="1.36328125" style="557" customWidth="1"/>
    <col min="5134" max="5134" width="10.81640625" style="557" customWidth="1"/>
    <col min="5135" max="5135" width="1.36328125" style="557" customWidth="1"/>
    <col min="5136" max="5136" width="10" style="557" customWidth="1"/>
    <col min="5137" max="5137" width="1.36328125" style="557" customWidth="1"/>
    <col min="5138" max="5138" width="9.36328125" style="557" customWidth="1"/>
    <col min="5139" max="5139" width="1.36328125" style="557" customWidth="1"/>
    <col min="5140" max="5140" width="7.81640625" style="557" customWidth="1"/>
    <col min="5141" max="5141" width="1.36328125" style="557" customWidth="1"/>
    <col min="5142" max="5142" width="0.81640625" style="557" customWidth="1"/>
    <col min="5143" max="5143" width="9.36328125" style="557" customWidth="1"/>
    <col min="5144" max="5144" width="1.36328125" style="557" customWidth="1"/>
    <col min="5145" max="5145" width="0.90625" style="557" customWidth="1"/>
    <col min="5146" max="5146" width="9.54296875" style="557" bestFit="1" customWidth="1"/>
    <col min="5147" max="5148" width="0.6328125" style="557" customWidth="1"/>
    <col min="5149" max="5149" width="9.6328125" style="557" customWidth="1"/>
    <col min="5150" max="5150" width="1.08984375" style="557" customWidth="1"/>
    <col min="5151" max="5151" width="8.54296875" style="557" customWidth="1"/>
    <col min="5152" max="5152" width="14.54296875" style="557" customWidth="1"/>
    <col min="5153" max="5153" width="10" style="557" customWidth="1"/>
    <col min="5154" max="5154" width="7.81640625" style="557" bestFit="1" customWidth="1"/>
    <col min="5155" max="5155" width="9.90625" style="557" customWidth="1"/>
    <col min="5156" max="5372" width="8.90625" style="557"/>
    <col min="5373" max="5373" width="38.453125" style="557" customWidth="1"/>
    <col min="5374" max="5374" width="8.54296875" style="557" customWidth="1"/>
    <col min="5375" max="5375" width="1.36328125" style="557" customWidth="1"/>
    <col min="5376" max="5376" width="8.90625" style="557" customWidth="1"/>
    <col min="5377" max="5377" width="1.36328125" style="557" customWidth="1"/>
    <col min="5378" max="5378" width="9.36328125" style="557" customWidth="1"/>
    <col min="5379" max="5379" width="1.36328125" style="557" customWidth="1"/>
    <col min="5380" max="5380" width="10" style="557" customWidth="1"/>
    <col min="5381" max="5381" width="1.36328125" style="557" customWidth="1"/>
    <col min="5382" max="5382" width="9.08984375" style="557" customWidth="1"/>
    <col min="5383" max="5383" width="1.36328125" style="557" customWidth="1"/>
    <col min="5384" max="5384" width="11.36328125" style="557" customWidth="1"/>
    <col min="5385" max="5385" width="1.36328125" style="557" customWidth="1"/>
    <col min="5386" max="5386" width="9.08984375" style="557" customWidth="1"/>
    <col min="5387" max="5387" width="1.6328125" style="557" customWidth="1"/>
    <col min="5388" max="5388" width="11" style="557" customWidth="1"/>
    <col min="5389" max="5389" width="1.36328125" style="557" customWidth="1"/>
    <col min="5390" max="5390" width="10.81640625" style="557" customWidth="1"/>
    <col min="5391" max="5391" width="1.36328125" style="557" customWidth="1"/>
    <col min="5392" max="5392" width="10" style="557" customWidth="1"/>
    <col min="5393" max="5393" width="1.36328125" style="557" customWidth="1"/>
    <col min="5394" max="5394" width="9.36328125" style="557" customWidth="1"/>
    <col min="5395" max="5395" width="1.36328125" style="557" customWidth="1"/>
    <col min="5396" max="5396" width="7.81640625" style="557" customWidth="1"/>
    <col min="5397" max="5397" width="1.36328125" style="557" customWidth="1"/>
    <col min="5398" max="5398" width="0.81640625" style="557" customWidth="1"/>
    <col min="5399" max="5399" width="9.36328125" style="557" customWidth="1"/>
    <col min="5400" max="5400" width="1.36328125" style="557" customWidth="1"/>
    <col min="5401" max="5401" width="0.90625" style="557" customWidth="1"/>
    <col min="5402" max="5402" width="9.54296875" style="557" bestFit="1" customWidth="1"/>
    <col min="5403" max="5404" width="0.6328125" style="557" customWidth="1"/>
    <col min="5405" max="5405" width="9.6328125" style="557" customWidth="1"/>
    <col min="5406" max="5406" width="1.08984375" style="557" customWidth="1"/>
    <col min="5407" max="5407" width="8.54296875" style="557" customWidth="1"/>
    <col min="5408" max="5408" width="14.54296875" style="557" customWidth="1"/>
    <col min="5409" max="5409" width="10" style="557" customWidth="1"/>
    <col min="5410" max="5410" width="7.81640625" style="557" bestFit="1" customWidth="1"/>
    <col min="5411" max="5411" width="9.90625" style="557" customWidth="1"/>
    <col min="5412" max="5628" width="8.90625" style="557"/>
    <col min="5629" max="5629" width="38.453125" style="557" customWidth="1"/>
    <col min="5630" max="5630" width="8.54296875" style="557" customWidth="1"/>
    <col min="5631" max="5631" width="1.36328125" style="557" customWidth="1"/>
    <col min="5632" max="5632" width="8.90625" style="557" customWidth="1"/>
    <col min="5633" max="5633" width="1.36328125" style="557" customWidth="1"/>
    <col min="5634" max="5634" width="9.36328125" style="557" customWidth="1"/>
    <col min="5635" max="5635" width="1.36328125" style="557" customWidth="1"/>
    <col min="5636" max="5636" width="10" style="557" customWidth="1"/>
    <col min="5637" max="5637" width="1.36328125" style="557" customWidth="1"/>
    <col min="5638" max="5638" width="9.08984375" style="557" customWidth="1"/>
    <col min="5639" max="5639" width="1.36328125" style="557" customWidth="1"/>
    <col min="5640" max="5640" width="11.36328125" style="557" customWidth="1"/>
    <col min="5641" max="5641" width="1.36328125" style="557" customWidth="1"/>
    <col min="5642" max="5642" width="9.08984375" style="557" customWidth="1"/>
    <col min="5643" max="5643" width="1.6328125" style="557" customWidth="1"/>
    <col min="5644" max="5644" width="11" style="557" customWidth="1"/>
    <col min="5645" max="5645" width="1.36328125" style="557" customWidth="1"/>
    <col min="5646" max="5646" width="10.81640625" style="557" customWidth="1"/>
    <col min="5647" max="5647" width="1.36328125" style="557" customWidth="1"/>
    <col min="5648" max="5648" width="10" style="557" customWidth="1"/>
    <col min="5649" max="5649" width="1.36328125" style="557" customWidth="1"/>
    <col min="5650" max="5650" width="9.36328125" style="557" customWidth="1"/>
    <col min="5651" max="5651" width="1.36328125" style="557" customWidth="1"/>
    <col min="5652" max="5652" width="7.81640625" style="557" customWidth="1"/>
    <col min="5653" max="5653" width="1.36328125" style="557" customWidth="1"/>
    <col min="5654" max="5654" width="0.81640625" style="557" customWidth="1"/>
    <col min="5655" max="5655" width="9.36328125" style="557" customWidth="1"/>
    <col min="5656" max="5656" width="1.36328125" style="557" customWidth="1"/>
    <col min="5657" max="5657" width="0.90625" style="557" customWidth="1"/>
    <col min="5658" max="5658" width="9.54296875" style="557" bestFit="1" customWidth="1"/>
    <col min="5659" max="5660" width="0.6328125" style="557" customWidth="1"/>
    <col min="5661" max="5661" width="9.6328125" style="557" customWidth="1"/>
    <col min="5662" max="5662" width="1.08984375" style="557" customWidth="1"/>
    <col min="5663" max="5663" width="8.54296875" style="557" customWidth="1"/>
    <col min="5664" max="5664" width="14.54296875" style="557" customWidth="1"/>
    <col min="5665" max="5665" width="10" style="557" customWidth="1"/>
    <col min="5666" max="5666" width="7.81640625" style="557" bestFit="1" customWidth="1"/>
    <col min="5667" max="5667" width="9.90625" style="557" customWidth="1"/>
    <col min="5668" max="5884" width="8.90625" style="557"/>
    <col min="5885" max="5885" width="38.453125" style="557" customWidth="1"/>
    <col min="5886" max="5886" width="8.54296875" style="557" customWidth="1"/>
    <col min="5887" max="5887" width="1.36328125" style="557" customWidth="1"/>
    <col min="5888" max="5888" width="8.90625" style="557" customWidth="1"/>
    <col min="5889" max="5889" width="1.36328125" style="557" customWidth="1"/>
    <col min="5890" max="5890" width="9.36328125" style="557" customWidth="1"/>
    <col min="5891" max="5891" width="1.36328125" style="557" customWidth="1"/>
    <col min="5892" max="5892" width="10" style="557" customWidth="1"/>
    <col min="5893" max="5893" width="1.36328125" style="557" customWidth="1"/>
    <col min="5894" max="5894" width="9.08984375" style="557" customWidth="1"/>
    <col min="5895" max="5895" width="1.36328125" style="557" customWidth="1"/>
    <col min="5896" max="5896" width="11.36328125" style="557" customWidth="1"/>
    <col min="5897" max="5897" width="1.36328125" style="557" customWidth="1"/>
    <col min="5898" max="5898" width="9.08984375" style="557" customWidth="1"/>
    <col min="5899" max="5899" width="1.6328125" style="557" customWidth="1"/>
    <col min="5900" max="5900" width="11" style="557" customWidth="1"/>
    <col min="5901" max="5901" width="1.36328125" style="557" customWidth="1"/>
    <col min="5902" max="5902" width="10.81640625" style="557" customWidth="1"/>
    <col min="5903" max="5903" width="1.36328125" style="557" customWidth="1"/>
    <col min="5904" max="5904" width="10" style="557" customWidth="1"/>
    <col min="5905" max="5905" width="1.36328125" style="557" customWidth="1"/>
    <col min="5906" max="5906" width="9.36328125" style="557" customWidth="1"/>
    <col min="5907" max="5907" width="1.36328125" style="557" customWidth="1"/>
    <col min="5908" max="5908" width="7.81640625" style="557" customWidth="1"/>
    <col min="5909" max="5909" width="1.36328125" style="557" customWidth="1"/>
    <col min="5910" max="5910" width="0.81640625" style="557" customWidth="1"/>
    <col min="5911" max="5911" width="9.36328125" style="557" customWidth="1"/>
    <col min="5912" max="5912" width="1.36328125" style="557" customWidth="1"/>
    <col min="5913" max="5913" width="0.90625" style="557" customWidth="1"/>
    <col min="5914" max="5914" width="9.54296875" style="557" bestFit="1" customWidth="1"/>
    <col min="5915" max="5916" width="0.6328125" style="557" customWidth="1"/>
    <col min="5917" max="5917" width="9.6328125" style="557" customWidth="1"/>
    <col min="5918" max="5918" width="1.08984375" style="557" customWidth="1"/>
    <col min="5919" max="5919" width="8.54296875" style="557" customWidth="1"/>
    <col min="5920" max="5920" width="14.54296875" style="557" customWidth="1"/>
    <col min="5921" max="5921" width="10" style="557" customWidth="1"/>
    <col min="5922" max="5922" width="7.81640625" style="557" bestFit="1" customWidth="1"/>
    <col min="5923" max="5923" width="9.90625" style="557" customWidth="1"/>
    <col min="5924" max="6140" width="8.90625" style="557"/>
    <col min="6141" max="6141" width="38.453125" style="557" customWidth="1"/>
    <col min="6142" max="6142" width="8.54296875" style="557" customWidth="1"/>
    <col min="6143" max="6143" width="1.36328125" style="557" customWidth="1"/>
    <col min="6144" max="6144" width="8.90625" style="557" customWidth="1"/>
    <col min="6145" max="6145" width="1.36328125" style="557" customWidth="1"/>
    <col min="6146" max="6146" width="9.36328125" style="557" customWidth="1"/>
    <col min="6147" max="6147" width="1.36328125" style="557" customWidth="1"/>
    <col min="6148" max="6148" width="10" style="557" customWidth="1"/>
    <col min="6149" max="6149" width="1.36328125" style="557" customWidth="1"/>
    <col min="6150" max="6150" width="9.08984375" style="557" customWidth="1"/>
    <col min="6151" max="6151" width="1.36328125" style="557" customWidth="1"/>
    <col min="6152" max="6152" width="11.36328125" style="557" customWidth="1"/>
    <col min="6153" max="6153" width="1.36328125" style="557" customWidth="1"/>
    <col min="6154" max="6154" width="9.08984375" style="557" customWidth="1"/>
    <col min="6155" max="6155" width="1.6328125" style="557" customWidth="1"/>
    <col min="6156" max="6156" width="11" style="557" customWidth="1"/>
    <col min="6157" max="6157" width="1.36328125" style="557" customWidth="1"/>
    <col min="6158" max="6158" width="10.81640625" style="557" customWidth="1"/>
    <col min="6159" max="6159" width="1.36328125" style="557" customWidth="1"/>
    <col min="6160" max="6160" width="10" style="557" customWidth="1"/>
    <col min="6161" max="6161" width="1.36328125" style="557" customWidth="1"/>
    <col min="6162" max="6162" width="9.36328125" style="557" customWidth="1"/>
    <col min="6163" max="6163" width="1.36328125" style="557" customWidth="1"/>
    <col min="6164" max="6164" width="7.81640625" style="557" customWidth="1"/>
    <col min="6165" max="6165" width="1.36328125" style="557" customWidth="1"/>
    <col min="6166" max="6166" width="0.81640625" style="557" customWidth="1"/>
    <col min="6167" max="6167" width="9.36328125" style="557" customWidth="1"/>
    <col min="6168" max="6168" width="1.36328125" style="557" customWidth="1"/>
    <col min="6169" max="6169" width="0.90625" style="557" customWidth="1"/>
    <col min="6170" max="6170" width="9.54296875" style="557" bestFit="1" customWidth="1"/>
    <col min="6171" max="6172" width="0.6328125" style="557" customWidth="1"/>
    <col min="6173" max="6173" width="9.6328125" style="557" customWidth="1"/>
    <col min="6174" max="6174" width="1.08984375" style="557" customWidth="1"/>
    <col min="6175" max="6175" width="8.54296875" style="557" customWidth="1"/>
    <col min="6176" max="6176" width="14.54296875" style="557" customWidth="1"/>
    <col min="6177" max="6177" width="10" style="557" customWidth="1"/>
    <col min="6178" max="6178" width="7.81640625" style="557" bestFit="1" customWidth="1"/>
    <col min="6179" max="6179" width="9.90625" style="557" customWidth="1"/>
    <col min="6180" max="6396" width="8.90625" style="557"/>
    <col min="6397" max="6397" width="38.453125" style="557" customWidth="1"/>
    <col min="6398" max="6398" width="8.54296875" style="557" customWidth="1"/>
    <col min="6399" max="6399" width="1.36328125" style="557" customWidth="1"/>
    <col min="6400" max="6400" width="8.90625" style="557" customWidth="1"/>
    <col min="6401" max="6401" width="1.36328125" style="557" customWidth="1"/>
    <col min="6402" max="6402" width="9.36328125" style="557" customWidth="1"/>
    <col min="6403" max="6403" width="1.36328125" style="557" customWidth="1"/>
    <col min="6404" max="6404" width="10" style="557" customWidth="1"/>
    <col min="6405" max="6405" width="1.36328125" style="557" customWidth="1"/>
    <col min="6406" max="6406" width="9.08984375" style="557" customWidth="1"/>
    <col min="6407" max="6407" width="1.36328125" style="557" customWidth="1"/>
    <col min="6408" max="6408" width="11.36328125" style="557" customWidth="1"/>
    <col min="6409" max="6409" width="1.36328125" style="557" customWidth="1"/>
    <col min="6410" max="6410" width="9.08984375" style="557" customWidth="1"/>
    <col min="6411" max="6411" width="1.6328125" style="557" customWidth="1"/>
    <col min="6412" max="6412" width="11" style="557" customWidth="1"/>
    <col min="6413" max="6413" width="1.36328125" style="557" customWidth="1"/>
    <col min="6414" max="6414" width="10.81640625" style="557" customWidth="1"/>
    <col min="6415" max="6415" width="1.36328125" style="557" customWidth="1"/>
    <col min="6416" max="6416" width="10" style="557" customWidth="1"/>
    <col min="6417" max="6417" width="1.36328125" style="557" customWidth="1"/>
    <col min="6418" max="6418" width="9.36328125" style="557" customWidth="1"/>
    <col min="6419" max="6419" width="1.36328125" style="557" customWidth="1"/>
    <col min="6420" max="6420" width="7.81640625" style="557" customWidth="1"/>
    <col min="6421" max="6421" width="1.36328125" style="557" customWidth="1"/>
    <col min="6422" max="6422" width="0.81640625" style="557" customWidth="1"/>
    <col min="6423" max="6423" width="9.36328125" style="557" customWidth="1"/>
    <col min="6424" max="6424" width="1.36328125" style="557" customWidth="1"/>
    <col min="6425" max="6425" width="0.90625" style="557" customWidth="1"/>
    <col min="6426" max="6426" width="9.54296875" style="557" bestFit="1" customWidth="1"/>
    <col min="6427" max="6428" width="0.6328125" style="557" customWidth="1"/>
    <col min="6429" max="6429" width="9.6328125" style="557" customWidth="1"/>
    <col min="6430" max="6430" width="1.08984375" style="557" customWidth="1"/>
    <col min="6431" max="6431" width="8.54296875" style="557" customWidth="1"/>
    <col min="6432" max="6432" width="14.54296875" style="557" customWidth="1"/>
    <col min="6433" max="6433" width="10" style="557" customWidth="1"/>
    <col min="6434" max="6434" width="7.81640625" style="557" bestFit="1" customWidth="1"/>
    <col min="6435" max="6435" width="9.90625" style="557" customWidth="1"/>
    <col min="6436" max="6652" width="8.90625" style="557"/>
    <col min="6653" max="6653" width="38.453125" style="557" customWidth="1"/>
    <col min="6654" max="6654" width="8.54296875" style="557" customWidth="1"/>
    <col min="6655" max="6655" width="1.36328125" style="557" customWidth="1"/>
    <col min="6656" max="6656" width="8.90625" style="557" customWidth="1"/>
    <col min="6657" max="6657" width="1.36328125" style="557" customWidth="1"/>
    <col min="6658" max="6658" width="9.36328125" style="557" customWidth="1"/>
    <col min="6659" max="6659" width="1.36328125" style="557" customWidth="1"/>
    <col min="6660" max="6660" width="10" style="557" customWidth="1"/>
    <col min="6661" max="6661" width="1.36328125" style="557" customWidth="1"/>
    <col min="6662" max="6662" width="9.08984375" style="557" customWidth="1"/>
    <col min="6663" max="6663" width="1.36328125" style="557" customWidth="1"/>
    <col min="6664" max="6664" width="11.36328125" style="557" customWidth="1"/>
    <col min="6665" max="6665" width="1.36328125" style="557" customWidth="1"/>
    <col min="6666" max="6666" width="9.08984375" style="557" customWidth="1"/>
    <col min="6667" max="6667" width="1.6328125" style="557" customWidth="1"/>
    <col min="6668" max="6668" width="11" style="557" customWidth="1"/>
    <col min="6669" max="6669" width="1.36328125" style="557" customWidth="1"/>
    <col min="6670" max="6670" width="10.81640625" style="557" customWidth="1"/>
    <col min="6671" max="6671" width="1.36328125" style="557" customWidth="1"/>
    <col min="6672" max="6672" width="10" style="557" customWidth="1"/>
    <col min="6673" max="6673" width="1.36328125" style="557" customWidth="1"/>
    <col min="6674" max="6674" width="9.36328125" style="557" customWidth="1"/>
    <col min="6675" max="6675" width="1.36328125" style="557" customWidth="1"/>
    <col min="6676" max="6676" width="7.81640625" style="557" customWidth="1"/>
    <col min="6677" max="6677" width="1.36328125" style="557" customWidth="1"/>
    <col min="6678" max="6678" width="0.81640625" style="557" customWidth="1"/>
    <col min="6679" max="6679" width="9.36328125" style="557" customWidth="1"/>
    <col min="6680" max="6680" width="1.36328125" style="557" customWidth="1"/>
    <col min="6681" max="6681" width="0.90625" style="557" customWidth="1"/>
    <col min="6682" max="6682" width="9.54296875" style="557" bestFit="1" customWidth="1"/>
    <col min="6683" max="6684" width="0.6328125" style="557" customWidth="1"/>
    <col min="6685" max="6685" width="9.6328125" style="557" customWidth="1"/>
    <col min="6686" max="6686" width="1.08984375" style="557" customWidth="1"/>
    <col min="6687" max="6687" width="8.54296875" style="557" customWidth="1"/>
    <col min="6688" max="6688" width="14.54296875" style="557" customWidth="1"/>
    <col min="6689" max="6689" width="10" style="557" customWidth="1"/>
    <col min="6690" max="6690" width="7.81640625" style="557" bestFit="1" customWidth="1"/>
    <col min="6691" max="6691" width="9.90625" style="557" customWidth="1"/>
    <col min="6692" max="6908" width="8.90625" style="557"/>
    <col min="6909" max="6909" width="38.453125" style="557" customWidth="1"/>
    <col min="6910" max="6910" width="8.54296875" style="557" customWidth="1"/>
    <col min="6911" max="6911" width="1.36328125" style="557" customWidth="1"/>
    <col min="6912" max="6912" width="8.90625" style="557" customWidth="1"/>
    <col min="6913" max="6913" width="1.36328125" style="557" customWidth="1"/>
    <col min="6914" max="6914" width="9.36328125" style="557" customWidth="1"/>
    <col min="6915" max="6915" width="1.36328125" style="557" customWidth="1"/>
    <col min="6916" max="6916" width="10" style="557" customWidth="1"/>
    <col min="6917" max="6917" width="1.36328125" style="557" customWidth="1"/>
    <col min="6918" max="6918" width="9.08984375" style="557" customWidth="1"/>
    <col min="6919" max="6919" width="1.36328125" style="557" customWidth="1"/>
    <col min="6920" max="6920" width="11.36328125" style="557" customWidth="1"/>
    <col min="6921" max="6921" width="1.36328125" style="557" customWidth="1"/>
    <col min="6922" max="6922" width="9.08984375" style="557" customWidth="1"/>
    <col min="6923" max="6923" width="1.6328125" style="557" customWidth="1"/>
    <col min="6924" max="6924" width="11" style="557" customWidth="1"/>
    <col min="6925" max="6925" width="1.36328125" style="557" customWidth="1"/>
    <col min="6926" max="6926" width="10.81640625" style="557" customWidth="1"/>
    <col min="6927" max="6927" width="1.36328125" style="557" customWidth="1"/>
    <col min="6928" max="6928" width="10" style="557" customWidth="1"/>
    <col min="6929" max="6929" width="1.36328125" style="557" customWidth="1"/>
    <col min="6930" max="6930" width="9.36328125" style="557" customWidth="1"/>
    <col min="6931" max="6931" width="1.36328125" style="557" customWidth="1"/>
    <col min="6932" max="6932" width="7.81640625" style="557" customWidth="1"/>
    <col min="6933" max="6933" width="1.36328125" style="557" customWidth="1"/>
    <col min="6934" max="6934" width="0.81640625" style="557" customWidth="1"/>
    <col min="6935" max="6935" width="9.36328125" style="557" customWidth="1"/>
    <col min="6936" max="6936" width="1.36328125" style="557" customWidth="1"/>
    <col min="6937" max="6937" width="0.90625" style="557" customWidth="1"/>
    <col min="6938" max="6938" width="9.54296875" style="557" bestFit="1" customWidth="1"/>
    <col min="6939" max="6940" width="0.6328125" style="557" customWidth="1"/>
    <col min="6941" max="6941" width="9.6328125" style="557" customWidth="1"/>
    <col min="6942" max="6942" width="1.08984375" style="557" customWidth="1"/>
    <col min="6943" max="6943" width="8.54296875" style="557" customWidth="1"/>
    <col min="6944" max="6944" width="14.54296875" style="557" customWidth="1"/>
    <col min="6945" max="6945" width="10" style="557" customWidth="1"/>
    <col min="6946" max="6946" width="7.81640625" style="557" bestFit="1" customWidth="1"/>
    <col min="6947" max="6947" width="9.90625" style="557" customWidth="1"/>
    <col min="6948" max="7164" width="8.90625" style="557"/>
    <col min="7165" max="7165" width="38.453125" style="557" customWidth="1"/>
    <col min="7166" max="7166" width="8.54296875" style="557" customWidth="1"/>
    <col min="7167" max="7167" width="1.36328125" style="557" customWidth="1"/>
    <col min="7168" max="7168" width="8.90625" style="557" customWidth="1"/>
    <col min="7169" max="7169" width="1.36328125" style="557" customWidth="1"/>
    <col min="7170" max="7170" width="9.36328125" style="557" customWidth="1"/>
    <col min="7171" max="7171" width="1.36328125" style="557" customWidth="1"/>
    <col min="7172" max="7172" width="10" style="557" customWidth="1"/>
    <col min="7173" max="7173" width="1.36328125" style="557" customWidth="1"/>
    <col min="7174" max="7174" width="9.08984375" style="557" customWidth="1"/>
    <col min="7175" max="7175" width="1.36328125" style="557" customWidth="1"/>
    <col min="7176" max="7176" width="11.36328125" style="557" customWidth="1"/>
    <col min="7177" max="7177" width="1.36328125" style="557" customWidth="1"/>
    <col min="7178" max="7178" width="9.08984375" style="557" customWidth="1"/>
    <col min="7179" max="7179" width="1.6328125" style="557" customWidth="1"/>
    <col min="7180" max="7180" width="11" style="557" customWidth="1"/>
    <col min="7181" max="7181" width="1.36328125" style="557" customWidth="1"/>
    <col min="7182" max="7182" width="10.81640625" style="557" customWidth="1"/>
    <col min="7183" max="7183" width="1.36328125" style="557" customWidth="1"/>
    <col min="7184" max="7184" width="10" style="557" customWidth="1"/>
    <col min="7185" max="7185" width="1.36328125" style="557" customWidth="1"/>
    <col min="7186" max="7186" width="9.36328125" style="557" customWidth="1"/>
    <col min="7187" max="7187" width="1.36328125" style="557" customWidth="1"/>
    <col min="7188" max="7188" width="7.81640625" style="557" customWidth="1"/>
    <col min="7189" max="7189" width="1.36328125" style="557" customWidth="1"/>
    <col min="7190" max="7190" width="0.81640625" style="557" customWidth="1"/>
    <col min="7191" max="7191" width="9.36328125" style="557" customWidth="1"/>
    <col min="7192" max="7192" width="1.36328125" style="557" customWidth="1"/>
    <col min="7193" max="7193" width="0.90625" style="557" customWidth="1"/>
    <col min="7194" max="7194" width="9.54296875" style="557" bestFit="1" customWidth="1"/>
    <col min="7195" max="7196" width="0.6328125" style="557" customWidth="1"/>
    <col min="7197" max="7197" width="9.6328125" style="557" customWidth="1"/>
    <col min="7198" max="7198" width="1.08984375" style="557" customWidth="1"/>
    <col min="7199" max="7199" width="8.54296875" style="557" customWidth="1"/>
    <col min="7200" max="7200" width="14.54296875" style="557" customWidth="1"/>
    <col min="7201" max="7201" width="10" style="557" customWidth="1"/>
    <col min="7202" max="7202" width="7.81640625" style="557" bestFit="1" customWidth="1"/>
    <col min="7203" max="7203" width="9.90625" style="557" customWidth="1"/>
    <col min="7204" max="7420" width="8.90625" style="557"/>
    <col min="7421" max="7421" width="38.453125" style="557" customWidth="1"/>
    <col min="7422" max="7422" width="8.54296875" style="557" customWidth="1"/>
    <col min="7423" max="7423" width="1.36328125" style="557" customWidth="1"/>
    <col min="7424" max="7424" width="8.90625" style="557" customWidth="1"/>
    <col min="7425" max="7425" width="1.36328125" style="557" customWidth="1"/>
    <col min="7426" max="7426" width="9.36328125" style="557" customWidth="1"/>
    <col min="7427" max="7427" width="1.36328125" style="557" customWidth="1"/>
    <col min="7428" max="7428" width="10" style="557" customWidth="1"/>
    <col min="7429" max="7429" width="1.36328125" style="557" customWidth="1"/>
    <col min="7430" max="7430" width="9.08984375" style="557" customWidth="1"/>
    <col min="7431" max="7431" width="1.36328125" style="557" customWidth="1"/>
    <col min="7432" max="7432" width="11.36328125" style="557" customWidth="1"/>
    <col min="7433" max="7433" width="1.36328125" style="557" customWidth="1"/>
    <col min="7434" max="7434" width="9.08984375" style="557" customWidth="1"/>
    <col min="7435" max="7435" width="1.6328125" style="557" customWidth="1"/>
    <col min="7436" max="7436" width="11" style="557" customWidth="1"/>
    <col min="7437" max="7437" width="1.36328125" style="557" customWidth="1"/>
    <col min="7438" max="7438" width="10.81640625" style="557" customWidth="1"/>
    <col min="7439" max="7439" width="1.36328125" style="557" customWidth="1"/>
    <col min="7440" max="7440" width="10" style="557" customWidth="1"/>
    <col min="7441" max="7441" width="1.36328125" style="557" customWidth="1"/>
    <col min="7442" max="7442" width="9.36328125" style="557" customWidth="1"/>
    <col min="7443" max="7443" width="1.36328125" style="557" customWidth="1"/>
    <col min="7444" max="7444" width="7.81640625" style="557" customWidth="1"/>
    <col min="7445" max="7445" width="1.36328125" style="557" customWidth="1"/>
    <col min="7446" max="7446" width="0.81640625" style="557" customWidth="1"/>
    <col min="7447" max="7447" width="9.36328125" style="557" customWidth="1"/>
    <col min="7448" max="7448" width="1.36328125" style="557" customWidth="1"/>
    <col min="7449" max="7449" width="0.90625" style="557" customWidth="1"/>
    <col min="7450" max="7450" width="9.54296875" style="557" bestFit="1" customWidth="1"/>
    <col min="7451" max="7452" width="0.6328125" style="557" customWidth="1"/>
    <col min="7453" max="7453" width="9.6328125" style="557" customWidth="1"/>
    <col min="7454" max="7454" width="1.08984375" style="557" customWidth="1"/>
    <col min="7455" max="7455" width="8.54296875" style="557" customWidth="1"/>
    <col min="7456" max="7456" width="14.54296875" style="557" customWidth="1"/>
    <col min="7457" max="7457" width="10" style="557" customWidth="1"/>
    <col min="7458" max="7458" width="7.81640625" style="557" bestFit="1" customWidth="1"/>
    <col min="7459" max="7459" width="9.90625" style="557" customWidth="1"/>
    <col min="7460" max="7676" width="8.90625" style="557"/>
    <col min="7677" max="7677" width="38.453125" style="557" customWidth="1"/>
    <col min="7678" max="7678" width="8.54296875" style="557" customWidth="1"/>
    <col min="7679" max="7679" width="1.36328125" style="557" customWidth="1"/>
    <col min="7680" max="7680" width="8.90625" style="557" customWidth="1"/>
    <col min="7681" max="7681" width="1.36328125" style="557" customWidth="1"/>
    <col min="7682" max="7682" width="9.36328125" style="557" customWidth="1"/>
    <col min="7683" max="7683" width="1.36328125" style="557" customWidth="1"/>
    <col min="7684" max="7684" width="10" style="557" customWidth="1"/>
    <col min="7685" max="7685" width="1.36328125" style="557" customWidth="1"/>
    <col min="7686" max="7686" width="9.08984375" style="557" customWidth="1"/>
    <col min="7687" max="7687" width="1.36328125" style="557" customWidth="1"/>
    <col min="7688" max="7688" width="11.36328125" style="557" customWidth="1"/>
    <col min="7689" max="7689" width="1.36328125" style="557" customWidth="1"/>
    <col min="7690" max="7690" width="9.08984375" style="557" customWidth="1"/>
    <col min="7691" max="7691" width="1.6328125" style="557" customWidth="1"/>
    <col min="7692" max="7692" width="11" style="557" customWidth="1"/>
    <col min="7693" max="7693" width="1.36328125" style="557" customWidth="1"/>
    <col min="7694" max="7694" width="10.81640625" style="557" customWidth="1"/>
    <col min="7695" max="7695" width="1.36328125" style="557" customWidth="1"/>
    <col min="7696" max="7696" width="10" style="557" customWidth="1"/>
    <col min="7697" max="7697" width="1.36328125" style="557" customWidth="1"/>
    <col min="7698" max="7698" width="9.36328125" style="557" customWidth="1"/>
    <col min="7699" max="7699" width="1.36328125" style="557" customWidth="1"/>
    <col min="7700" max="7700" width="7.81640625" style="557" customWidth="1"/>
    <col min="7701" max="7701" width="1.36328125" style="557" customWidth="1"/>
    <col min="7702" max="7702" width="0.81640625" style="557" customWidth="1"/>
    <col min="7703" max="7703" width="9.36328125" style="557" customWidth="1"/>
    <col min="7704" max="7704" width="1.36328125" style="557" customWidth="1"/>
    <col min="7705" max="7705" width="0.90625" style="557" customWidth="1"/>
    <col min="7706" max="7706" width="9.54296875" style="557" bestFit="1" customWidth="1"/>
    <col min="7707" max="7708" width="0.6328125" style="557" customWidth="1"/>
    <col min="7709" max="7709" width="9.6328125" style="557" customWidth="1"/>
    <col min="7710" max="7710" width="1.08984375" style="557" customWidth="1"/>
    <col min="7711" max="7711" width="8.54296875" style="557" customWidth="1"/>
    <col min="7712" max="7712" width="14.54296875" style="557" customWidth="1"/>
    <col min="7713" max="7713" width="10" style="557" customWidth="1"/>
    <col min="7714" max="7714" width="7.81640625" style="557" bestFit="1" customWidth="1"/>
    <col min="7715" max="7715" width="9.90625" style="557" customWidth="1"/>
    <col min="7716" max="7932" width="8.90625" style="557"/>
    <col min="7933" max="7933" width="38.453125" style="557" customWidth="1"/>
    <col min="7934" max="7934" width="8.54296875" style="557" customWidth="1"/>
    <col min="7935" max="7935" width="1.36328125" style="557" customWidth="1"/>
    <col min="7936" max="7936" width="8.90625" style="557" customWidth="1"/>
    <col min="7937" max="7937" width="1.36328125" style="557" customWidth="1"/>
    <col min="7938" max="7938" width="9.36328125" style="557" customWidth="1"/>
    <col min="7939" max="7939" width="1.36328125" style="557" customWidth="1"/>
    <col min="7940" max="7940" width="10" style="557" customWidth="1"/>
    <col min="7941" max="7941" width="1.36328125" style="557" customWidth="1"/>
    <col min="7942" max="7942" width="9.08984375" style="557" customWidth="1"/>
    <col min="7943" max="7943" width="1.36328125" style="557" customWidth="1"/>
    <col min="7944" max="7944" width="11.36328125" style="557" customWidth="1"/>
    <col min="7945" max="7945" width="1.36328125" style="557" customWidth="1"/>
    <col min="7946" max="7946" width="9.08984375" style="557" customWidth="1"/>
    <col min="7947" max="7947" width="1.6328125" style="557" customWidth="1"/>
    <col min="7948" max="7948" width="11" style="557" customWidth="1"/>
    <col min="7949" max="7949" width="1.36328125" style="557" customWidth="1"/>
    <col min="7950" max="7950" width="10.81640625" style="557" customWidth="1"/>
    <col min="7951" max="7951" width="1.36328125" style="557" customWidth="1"/>
    <col min="7952" max="7952" width="10" style="557" customWidth="1"/>
    <col min="7953" max="7953" width="1.36328125" style="557" customWidth="1"/>
    <col min="7954" max="7954" width="9.36328125" style="557" customWidth="1"/>
    <col min="7955" max="7955" width="1.36328125" style="557" customWidth="1"/>
    <col min="7956" max="7956" width="7.81640625" style="557" customWidth="1"/>
    <col min="7957" max="7957" width="1.36328125" style="557" customWidth="1"/>
    <col min="7958" max="7958" width="0.81640625" style="557" customWidth="1"/>
    <col min="7959" max="7959" width="9.36328125" style="557" customWidth="1"/>
    <col min="7960" max="7960" width="1.36328125" style="557" customWidth="1"/>
    <col min="7961" max="7961" width="0.90625" style="557" customWidth="1"/>
    <col min="7962" max="7962" width="9.54296875" style="557" bestFit="1" customWidth="1"/>
    <col min="7963" max="7964" width="0.6328125" style="557" customWidth="1"/>
    <col min="7965" max="7965" width="9.6328125" style="557" customWidth="1"/>
    <col min="7966" max="7966" width="1.08984375" style="557" customWidth="1"/>
    <col min="7967" max="7967" width="8.54296875" style="557" customWidth="1"/>
    <col min="7968" max="7968" width="14.54296875" style="557" customWidth="1"/>
    <col min="7969" max="7969" width="10" style="557" customWidth="1"/>
    <col min="7970" max="7970" width="7.81640625" style="557" bestFit="1" customWidth="1"/>
    <col min="7971" max="7971" width="9.90625" style="557" customWidth="1"/>
    <col min="7972" max="8188" width="8.90625" style="557"/>
    <col min="8189" max="8189" width="38.453125" style="557" customWidth="1"/>
    <col min="8190" max="8190" width="8.54296875" style="557" customWidth="1"/>
    <col min="8191" max="8191" width="1.36328125" style="557" customWidth="1"/>
    <col min="8192" max="8192" width="8.90625" style="557" customWidth="1"/>
    <col min="8193" max="8193" width="1.36328125" style="557" customWidth="1"/>
    <col min="8194" max="8194" width="9.36328125" style="557" customWidth="1"/>
    <col min="8195" max="8195" width="1.36328125" style="557" customWidth="1"/>
    <col min="8196" max="8196" width="10" style="557" customWidth="1"/>
    <col min="8197" max="8197" width="1.36328125" style="557" customWidth="1"/>
    <col min="8198" max="8198" width="9.08984375" style="557" customWidth="1"/>
    <col min="8199" max="8199" width="1.36328125" style="557" customWidth="1"/>
    <col min="8200" max="8200" width="11.36328125" style="557" customWidth="1"/>
    <col min="8201" max="8201" width="1.36328125" style="557" customWidth="1"/>
    <col min="8202" max="8202" width="9.08984375" style="557" customWidth="1"/>
    <col min="8203" max="8203" width="1.6328125" style="557" customWidth="1"/>
    <col min="8204" max="8204" width="11" style="557" customWidth="1"/>
    <col min="8205" max="8205" width="1.36328125" style="557" customWidth="1"/>
    <col min="8206" max="8206" width="10.81640625" style="557" customWidth="1"/>
    <col min="8207" max="8207" width="1.36328125" style="557" customWidth="1"/>
    <col min="8208" max="8208" width="10" style="557" customWidth="1"/>
    <col min="8209" max="8209" width="1.36328125" style="557" customWidth="1"/>
    <col min="8210" max="8210" width="9.36328125" style="557" customWidth="1"/>
    <col min="8211" max="8211" width="1.36328125" style="557" customWidth="1"/>
    <col min="8212" max="8212" width="7.81640625" style="557" customWidth="1"/>
    <col min="8213" max="8213" width="1.36328125" style="557" customWidth="1"/>
    <col min="8214" max="8214" width="0.81640625" style="557" customWidth="1"/>
    <col min="8215" max="8215" width="9.36328125" style="557" customWidth="1"/>
    <col min="8216" max="8216" width="1.36328125" style="557" customWidth="1"/>
    <col min="8217" max="8217" width="0.90625" style="557" customWidth="1"/>
    <col min="8218" max="8218" width="9.54296875" style="557" bestFit="1" customWidth="1"/>
    <col min="8219" max="8220" width="0.6328125" style="557" customWidth="1"/>
    <col min="8221" max="8221" width="9.6328125" style="557" customWidth="1"/>
    <col min="8222" max="8222" width="1.08984375" style="557" customWidth="1"/>
    <col min="8223" max="8223" width="8.54296875" style="557" customWidth="1"/>
    <col min="8224" max="8224" width="14.54296875" style="557" customWidth="1"/>
    <col min="8225" max="8225" width="10" style="557" customWidth="1"/>
    <col min="8226" max="8226" width="7.81640625" style="557" bestFit="1" customWidth="1"/>
    <col min="8227" max="8227" width="9.90625" style="557" customWidth="1"/>
    <col min="8228" max="8444" width="8.90625" style="557"/>
    <col min="8445" max="8445" width="38.453125" style="557" customWidth="1"/>
    <col min="8446" max="8446" width="8.54296875" style="557" customWidth="1"/>
    <col min="8447" max="8447" width="1.36328125" style="557" customWidth="1"/>
    <col min="8448" max="8448" width="8.90625" style="557" customWidth="1"/>
    <col min="8449" max="8449" width="1.36328125" style="557" customWidth="1"/>
    <col min="8450" max="8450" width="9.36328125" style="557" customWidth="1"/>
    <col min="8451" max="8451" width="1.36328125" style="557" customWidth="1"/>
    <col min="8452" max="8452" width="10" style="557" customWidth="1"/>
    <col min="8453" max="8453" width="1.36328125" style="557" customWidth="1"/>
    <col min="8454" max="8454" width="9.08984375" style="557" customWidth="1"/>
    <col min="8455" max="8455" width="1.36328125" style="557" customWidth="1"/>
    <col min="8456" max="8456" width="11.36328125" style="557" customWidth="1"/>
    <col min="8457" max="8457" width="1.36328125" style="557" customWidth="1"/>
    <col min="8458" max="8458" width="9.08984375" style="557" customWidth="1"/>
    <col min="8459" max="8459" width="1.6328125" style="557" customWidth="1"/>
    <col min="8460" max="8460" width="11" style="557" customWidth="1"/>
    <col min="8461" max="8461" width="1.36328125" style="557" customWidth="1"/>
    <col min="8462" max="8462" width="10.81640625" style="557" customWidth="1"/>
    <col min="8463" max="8463" width="1.36328125" style="557" customWidth="1"/>
    <col min="8464" max="8464" width="10" style="557" customWidth="1"/>
    <col min="8465" max="8465" width="1.36328125" style="557" customWidth="1"/>
    <col min="8466" max="8466" width="9.36328125" style="557" customWidth="1"/>
    <col min="8467" max="8467" width="1.36328125" style="557" customWidth="1"/>
    <col min="8468" max="8468" width="7.81640625" style="557" customWidth="1"/>
    <col min="8469" max="8469" width="1.36328125" style="557" customWidth="1"/>
    <col min="8470" max="8470" width="0.81640625" style="557" customWidth="1"/>
    <col min="8471" max="8471" width="9.36328125" style="557" customWidth="1"/>
    <col min="8472" max="8472" width="1.36328125" style="557" customWidth="1"/>
    <col min="8473" max="8473" width="0.90625" style="557" customWidth="1"/>
    <col min="8474" max="8474" width="9.54296875" style="557" bestFit="1" customWidth="1"/>
    <col min="8475" max="8476" width="0.6328125" style="557" customWidth="1"/>
    <col min="8477" max="8477" width="9.6328125" style="557" customWidth="1"/>
    <col min="8478" max="8478" width="1.08984375" style="557" customWidth="1"/>
    <col min="8479" max="8479" width="8.54296875" style="557" customWidth="1"/>
    <col min="8480" max="8480" width="14.54296875" style="557" customWidth="1"/>
    <col min="8481" max="8481" width="10" style="557" customWidth="1"/>
    <col min="8482" max="8482" width="7.81640625" style="557" bestFit="1" customWidth="1"/>
    <col min="8483" max="8483" width="9.90625" style="557" customWidth="1"/>
    <col min="8484" max="8700" width="8.90625" style="557"/>
    <col min="8701" max="8701" width="38.453125" style="557" customWidth="1"/>
    <col min="8702" max="8702" width="8.54296875" style="557" customWidth="1"/>
    <col min="8703" max="8703" width="1.36328125" style="557" customWidth="1"/>
    <col min="8704" max="8704" width="8.90625" style="557" customWidth="1"/>
    <col min="8705" max="8705" width="1.36328125" style="557" customWidth="1"/>
    <col min="8706" max="8706" width="9.36328125" style="557" customWidth="1"/>
    <col min="8707" max="8707" width="1.36328125" style="557" customWidth="1"/>
    <col min="8708" max="8708" width="10" style="557" customWidth="1"/>
    <col min="8709" max="8709" width="1.36328125" style="557" customWidth="1"/>
    <col min="8710" max="8710" width="9.08984375" style="557" customWidth="1"/>
    <col min="8711" max="8711" width="1.36328125" style="557" customWidth="1"/>
    <col min="8712" max="8712" width="11.36328125" style="557" customWidth="1"/>
    <col min="8713" max="8713" width="1.36328125" style="557" customWidth="1"/>
    <col min="8714" max="8714" width="9.08984375" style="557" customWidth="1"/>
    <col min="8715" max="8715" width="1.6328125" style="557" customWidth="1"/>
    <col min="8716" max="8716" width="11" style="557" customWidth="1"/>
    <col min="8717" max="8717" width="1.36328125" style="557" customWidth="1"/>
    <col min="8718" max="8718" width="10.81640625" style="557" customWidth="1"/>
    <col min="8719" max="8719" width="1.36328125" style="557" customWidth="1"/>
    <col min="8720" max="8720" width="10" style="557" customWidth="1"/>
    <col min="8721" max="8721" width="1.36328125" style="557" customWidth="1"/>
    <col min="8722" max="8722" width="9.36328125" style="557" customWidth="1"/>
    <col min="8723" max="8723" width="1.36328125" style="557" customWidth="1"/>
    <col min="8724" max="8724" width="7.81640625" style="557" customWidth="1"/>
    <col min="8725" max="8725" width="1.36328125" style="557" customWidth="1"/>
    <col min="8726" max="8726" width="0.81640625" style="557" customWidth="1"/>
    <col min="8727" max="8727" width="9.36328125" style="557" customWidth="1"/>
    <col min="8728" max="8728" width="1.36328125" style="557" customWidth="1"/>
    <col min="8729" max="8729" width="0.90625" style="557" customWidth="1"/>
    <col min="8730" max="8730" width="9.54296875" style="557" bestFit="1" customWidth="1"/>
    <col min="8731" max="8732" width="0.6328125" style="557" customWidth="1"/>
    <col min="8733" max="8733" width="9.6328125" style="557" customWidth="1"/>
    <col min="8734" max="8734" width="1.08984375" style="557" customWidth="1"/>
    <col min="8735" max="8735" width="8.54296875" style="557" customWidth="1"/>
    <col min="8736" max="8736" width="14.54296875" style="557" customWidth="1"/>
    <col min="8737" max="8737" width="10" style="557" customWidth="1"/>
    <col min="8738" max="8738" width="7.81640625" style="557" bestFit="1" customWidth="1"/>
    <col min="8739" max="8739" width="9.90625" style="557" customWidth="1"/>
    <col min="8740" max="8956" width="8.90625" style="557"/>
    <col min="8957" max="8957" width="38.453125" style="557" customWidth="1"/>
    <col min="8958" max="8958" width="8.54296875" style="557" customWidth="1"/>
    <col min="8959" max="8959" width="1.36328125" style="557" customWidth="1"/>
    <col min="8960" max="8960" width="8.90625" style="557" customWidth="1"/>
    <col min="8961" max="8961" width="1.36328125" style="557" customWidth="1"/>
    <col min="8962" max="8962" width="9.36328125" style="557" customWidth="1"/>
    <col min="8963" max="8963" width="1.36328125" style="557" customWidth="1"/>
    <col min="8964" max="8964" width="10" style="557" customWidth="1"/>
    <col min="8965" max="8965" width="1.36328125" style="557" customWidth="1"/>
    <col min="8966" max="8966" width="9.08984375" style="557" customWidth="1"/>
    <col min="8967" max="8967" width="1.36328125" style="557" customWidth="1"/>
    <col min="8968" max="8968" width="11.36328125" style="557" customWidth="1"/>
    <col min="8969" max="8969" width="1.36328125" style="557" customWidth="1"/>
    <col min="8970" max="8970" width="9.08984375" style="557" customWidth="1"/>
    <col min="8971" max="8971" width="1.6328125" style="557" customWidth="1"/>
    <col min="8972" max="8972" width="11" style="557" customWidth="1"/>
    <col min="8973" max="8973" width="1.36328125" style="557" customWidth="1"/>
    <col min="8974" max="8974" width="10.81640625" style="557" customWidth="1"/>
    <col min="8975" max="8975" width="1.36328125" style="557" customWidth="1"/>
    <col min="8976" max="8976" width="10" style="557" customWidth="1"/>
    <col min="8977" max="8977" width="1.36328125" style="557" customWidth="1"/>
    <col min="8978" max="8978" width="9.36328125" style="557" customWidth="1"/>
    <col min="8979" max="8979" width="1.36328125" style="557" customWidth="1"/>
    <col min="8980" max="8980" width="7.81640625" style="557" customWidth="1"/>
    <col min="8981" max="8981" width="1.36328125" style="557" customWidth="1"/>
    <col min="8982" max="8982" width="0.81640625" style="557" customWidth="1"/>
    <col min="8983" max="8983" width="9.36328125" style="557" customWidth="1"/>
    <col min="8984" max="8984" width="1.36328125" style="557" customWidth="1"/>
    <col min="8985" max="8985" width="0.90625" style="557" customWidth="1"/>
    <col min="8986" max="8986" width="9.54296875" style="557" bestFit="1" customWidth="1"/>
    <col min="8987" max="8988" width="0.6328125" style="557" customWidth="1"/>
    <col min="8989" max="8989" width="9.6328125" style="557" customWidth="1"/>
    <col min="8990" max="8990" width="1.08984375" style="557" customWidth="1"/>
    <col min="8991" max="8991" width="8.54296875" style="557" customWidth="1"/>
    <col min="8992" max="8992" width="14.54296875" style="557" customWidth="1"/>
    <col min="8993" max="8993" width="10" style="557" customWidth="1"/>
    <col min="8994" max="8994" width="7.81640625" style="557" bestFit="1" customWidth="1"/>
    <col min="8995" max="8995" width="9.90625" style="557" customWidth="1"/>
    <col min="8996" max="9212" width="8.90625" style="557"/>
    <col min="9213" max="9213" width="38.453125" style="557" customWidth="1"/>
    <col min="9214" max="9214" width="8.54296875" style="557" customWidth="1"/>
    <col min="9215" max="9215" width="1.36328125" style="557" customWidth="1"/>
    <col min="9216" max="9216" width="8.90625" style="557" customWidth="1"/>
    <col min="9217" max="9217" width="1.36328125" style="557" customWidth="1"/>
    <col min="9218" max="9218" width="9.36328125" style="557" customWidth="1"/>
    <col min="9219" max="9219" width="1.36328125" style="557" customWidth="1"/>
    <col min="9220" max="9220" width="10" style="557" customWidth="1"/>
    <col min="9221" max="9221" width="1.36328125" style="557" customWidth="1"/>
    <col min="9222" max="9222" width="9.08984375" style="557" customWidth="1"/>
    <col min="9223" max="9223" width="1.36328125" style="557" customWidth="1"/>
    <col min="9224" max="9224" width="11.36328125" style="557" customWidth="1"/>
    <col min="9225" max="9225" width="1.36328125" style="557" customWidth="1"/>
    <col min="9226" max="9226" width="9.08984375" style="557" customWidth="1"/>
    <col min="9227" max="9227" width="1.6328125" style="557" customWidth="1"/>
    <col min="9228" max="9228" width="11" style="557" customWidth="1"/>
    <col min="9229" max="9229" width="1.36328125" style="557" customWidth="1"/>
    <col min="9230" max="9230" width="10.81640625" style="557" customWidth="1"/>
    <col min="9231" max="9231" width="1.36328125" style="557" customWidth="1"/>
    <col min="9232" max="9232" width="10" style="557" customWidth="1"/>
    <col min="9233" max="9233" width="1.36328125" style="557" customWidth="1"/>
    <col min="9234" max="9234" width="9.36328125" style="557" customWidth="1"/>
    <col min="9235" max="9235" width="1.36328125" style="557" customWidth="1"/>
    <col min="9236" max="9236" width="7.81640625" style="557" customWidth="1"/>
    <col min="9237" max="9237" width="1.36328125" style="557" customWidth="1"/>
    <col min="9238" max="9238" width="0.81640625" style="557" customWidth="1"/>
    <col min="9239" max="9239" width="9.36328125" style="557" customWidth="1"/>
    <col min="9240" max="9240" width="1.36328125" style="557" customWidth="1"/>
    <col min="9241" max="9241" width="0.90625" style="557" customWidth="1"/>
    <col min="9242" max="9242" width="9.54296875" style="557" bestFit="1" customWidth="1"/>
    <col min="9243" max="9244" width="0.6328125" style="557" customWidth="1"/>
    <col min="9245" max="9245" width="9.6328125" style="557" customWidth="1"/>
    <col min="9246" max="9246" width="1.08984375" style="557" customWidth="1"/>
    <col min="9247" max="9247" width="8.54296875" style="557" customWidth="1"/>
    <col min="9248" max="9248" width="14.54296875" style="557" customWidth="1"/>
    <col min="9249" max="9249" width="10" style="557" customWidth="1"/>
    <col min="9250" max="9250" width="7.81640625" style="557" bestFit="1" customWidth="1"/>
    <col min="9251" max="9251" width="9.90625" style="557" customWidth="1"/>
    <col min="9252" max="9468" width="8.90625" style="557"/>
    <col min="9469" max="9469" width="38.453125" style="557" customWidth="1"/>
    <col min="9470" max="9470" width="8.54296875" style="557" customWidth="1"/>
    <col min="9471" max="9471" width="1.36328125" style="557" customWidth="1"/>
    <col min="9472" max="9472" width="8.90625" style="557" customWidth="1"/>
    <col min="9473" max="9473" width="1.36328125" style="557" customWidth="1"/>
    <col min="9474" max="9474" width="9.36328125" style="557" customWidth="1"/>
    <col min="9475" max="9475" width="1.36328125" style="557" customWidth="1"/>
    <col min="9476" max="9476" width="10" style="557" customWidth="1"/>
    <col min="9477" max="9477" width="1.36328125" style="557" customWidth="1"/>
    <col min="9478" max="9478" width="9.08984375" style="557" customWidth="1"/>
    <col min="9479" max="9479" width="1.36328125" style="557" customWidth="1"/>
    <col min="9480" max="9480" width="11.36328125" style="557" customWidth="1"/>
    <col min="9481" max="9481" width="1.36328125" style="557" customWidth="1"/>
    <col min="9482" max="9482" width="9.08984375" style="557" customWidth="1"/>
    <col min="9483" max="9483" width="1.6328125" style="557" customWidth="1"/>
    <col min="9484" max="9484" width="11" style="557" customWidth="1"/>
    <col min="9485" max="9485" width="1.36328125" style="557" customWidth="1"/>
    <col min="9486" max="9486" width="10.81640625" style="557" customWidth="1"/>
    <col min="9487" max="9487" width="1.36328125" style="557" customWidth="1"/>
    <col min="9488" max="9488" width="10" style="557" customWidth="1"/>
    <col min="9489" max="9489" width="1.36328125" style="557" customWidth="1"/>
    <col min="9490" max="9490" width="9.36328125" style="557" customWidth="1"/>
    <col min="9491" max="9491" width="1.36328125" style="557" customWidth="1"/>
    <col min="9492" max="9492" width="7.81640625" style="557" customWidth="1"/>
    <col min="9493" max="9493" width="1.36328125" style="557" customWidth="1"/>
    <col min="9494" max="9494" width="0.81640625" style="557" customWidth="1"/>
    <col min="9495" max="9495" width="9.36328125" style="557" customWidth="1"/>
    <col min="9496" max="9496" width="1.36328125" style="557" customWidth="1"/>
    <col min="9497" max="9497" width="0.90625" style="557" customWidth="1"/>
    <col min="9498" max="9498" width="9.54296875" style="557" bestFit="1" customWidth="1"/>
    <col min="9499" max="9500" width="0.6328125" style="557" customWidth="1"/>
    <col min="9501" max="9501" width="9.6328125" style="557" customWidth="1"/>
    <col min="9502" max="9502" width="1.08984375" style="557" customWidth="1"/>
    <col min="9503" max="9503" width="8.54296875" style="557" customWidth="1"/>
    <col min="9504" max="9504" width="14.54296875" style="557" customWidth="1"/>
    <col min="9505" max="9505" width="10" style="557" customWidth="1"/>
    <col min="9506" max="9506" width="7.81640625" style="557" bestFit="1" customWidth="1"/>
    <col min="9507" max="9507" width="9.90625" style="557" customWidth="1"/>
    <col min="9508" max="9724" width="8.90625" style="557"/>
    <col min="9725" max="9725" width="38.453125" style="557" customWidth="1"/>
    <col min="9726" max="9726" width="8.54296875" style="557" customWidth="1"/>
    <col min="9727" max="9727" width="1.36328125" style="557" customWidth="1"/>
    <col min="9728" max="9728" width="8.90625" style="557" customWidth="1"/>
    <col min="9729" max="9729" width="1.36328125" style="557" customWidth="1"/>
    <col min="9730" max="9730" width="9.36328125" style="557" customWidth="1"/>
    <col min="9731" max="9731" width="1.36328125" style="557" customWidth="1"/>
    <col min="9732" max="9732" width="10" style="557" customWidth="1"/>
    <col min="9733" max="9733" width="1.36328125" style="557" customWidth="1"/>
    <col min="9734" max="9734" width="9.08984375" style="557" customWidth="1"/>
    <col min="9735" max="9735" width="1.36328125" style="557" customWidth="1"/>
    <col min="9736" max="9736" width="11.36328125" style="557" customWidth="1"/>
    <col min="9737" max="9737" width="1.36328125" style="557" customWidth="1"/>
    <col min="9738" max="9738" width="9.08984375" style="557" customWidth="1"/>
    <col min="9739" max="9739" width="1.6328125" style="557" customWidth="1"/>
    <col min="9740" max="9740" width="11" style="557" customWidth="1"/>
    <col min="9741" max="9741" width="1.36328125" style="557" customWidth="1"/>
    <col min="9742" max="9742" width="10.81640625" style="557" customWidth="1"/>
    <col min="9743" max="9743" width="1.36328125" style="557" customWidth="1"/>
    <col min="9744" max="9744" width="10" style="557" customWidth="1"/>
    <col min="9745" max="9745" width="1.36328125" style="557" customWidth="1"/>
    <col min="9746" max="9746" width="9.36328125" style="557" customWidth="1"/>
    <col min="9747" max="9747" width="1.36328125" style="557" customWidth="1"/>
    <col min="9748" max="9748" width="7.81640625" style="557" customWidth="1"/>
    <col min="9749" max="9749" width="1.36328125" style="557" customWidth="1"/>
    <col min="9750" max="9750" width="0.81640625" style="557" customWidth="1"/>
    <col min="9751" max="9751" width="9.36328125" style="557" customWidth="1"/>
    <col min="9752" max="9752" width="1.36328125" style="557" customWidth="1"/>
    <col min="9753" max="9753" width="0.90625" style="557" customWidth="1"/>
    <col min="9754" max="9754" width="9.54296875" style="557" bestFit="1" customWidth="1"/>
    <col min="9755" max="9756" width="0.6328125" style="557" customWidth="1"/>
    <col min="9757" max="9757" width="9.6328125" style="557" customWidth="1"/>
    <col min="9758" max="9758" width="1.08984375" style="557" customWidth="1"/>
    <col min="9759" max="9759" width="8.54296875" style="557" customWidth="1"/>
    <col min="9760" max="9760" width="14.54296875" style="557" customWidth="1"/>
    <col min="9761" max="9761" width="10" style="557" customWidth="1"/>
    <col min="9762" max="9762" width="7.81640625" style="557" bestFit="1" customWidth="1"/>
    <col min="9763" max="9763" width="9.90625" style="557" customWidth="1"/>
    <col min="9764" max="9980" width="8.90625" style="557"/>
    <col min="9981" max="9981" width="38.453125" style="557" customWidth="1"/>
    <col min="9982" max="9982" width="8.54296875" style="557" customWidth="1"/>
    <col min="9983" max="9983" width="1.36328125" style="557" customWidth="1"/>
    <col min="9984" max="9984" width="8.90625" style="557" customWidth="1"/>
    <col min="9985" max="9985" width="1.36328125" style="557" customWidth="1"/>
    <col min="9986" max="9986" width="9.36328125" style="557" customWidth="1"/>
    <col min="9987" max="9987" width="1.36328125" style="557" customWidth="1"/>
    <col min="9988" max="9988" width="10" style="557" customWidth="1"/>
    <col min="9989" max="9989" width="1.36328125" style="557" customWidth="1"/>
    <col min="9990" max="9990" width="9.08984375" style="557" customWidth="1"/>
    <col min="9991" max="9991" width="1.36328125" style="557" customWidth="1"/>
    <col min="9992" max="9992" width="11.36328125" style="557" customWidth="1"/>
    <col min="9993" max="9993" width="1.36328125" style="557" customWidth="1"/>
    <col min="9994" max="9994" width="9.08984375" style="557" customWidth="1"/>
    <col min="9995" max="9995" width="1.6328125" style="557" customWidth="1"/>
    <col min="9996" max="9996" width="11" style="557" customWidth="1"/>
    <col min="9997" max="9997" width="1.36328125" style="557" customWidth="1"/>
    <col min="9998" max="9998" width="10.81640625" style="557" customWidth="1"/>
    <col min="9999" max="9999" width="1.36328125" style="557" customWidth="1"/>
    <col min="10000" max="10000" width="10" style="557" customWidth="1"/>
    <col min="10001" max="10001" width="1.36328125" style="557" customWidth="1"/>
    <col min="10002" max="10002" width="9.36328125" style="557" customWidth="1"/>
    <col min="10003" max="10003" width="1.36328125" style="557" customWidth="1"/>
    <col min="10004" max="10004" width="7.81640625" style="557" customWidth="1"/>
    <col min="10005" max="10005" width="1.36328125" style="557" customWidth="1"/>
    <col min="10006" max="10006" width="0.81640625" style="557" customWidth="1"/>
    <col min="10007" max="10007" width="9.36328125" style="557" customWidth="1"/>
    <col min="10008" max="10008" width="1.36328125" style="557" customWidth="1"/>
    <col min="10009" max="10009" width="0.90625" style="557" customWidth="1"/>
    <col min="10010" max="10010" width="9.54296875" style="557" bestFit="1" customWidth="1"/>
    <col min="10011" max="10012" width="0.6328125" style="557" customWidth="1"/>
    <col min="10013" max="10013" width="9.6328125" style="557" customWidth="1"/>
    <col min="10014" max="10014" width="1.08984375" style="557" customWidth="1"/>
    <col min="10015" max="10015" width="8.54296875" style="557" customWidth="1"/>
    <col min="10016" max="10016" width="14.54296875" style="557" customWidth="1"/>
    <col min="10017" max="10017" width="10" style="557" customWidth="1"/>
    <col min="10018" max="10018" width="7.81640625" style="557" bestFit="1" customWidth="1"/>
    <col min="10019" max="10019" width="9.90625" style="557" customWidth="1"/>
    <col min="10020" max="10236" width="8.90625" style="557"/>
    <col min="10237" max="10237" width="38.453125" style="557" customWidth="1"/>
    <col min="10238" max="10238" width="8.54296875" style="557" customWidth="1"/>
    <col min="10239" max="10239" width="1.36328125" style="557" customWidth="1"/>
    <col min="10240" max="10240" width="8.90625" style="557" customWidth="1"/>
    <col min="10241" max="10241" width="1.36328125" style="557" customWidth="1"/>
    <col min="10242" max="10242" width="9.36328125" style="557" customWidth="1"/>
    <col min="10243" max="10243" width="1.36328125" style="557" customWidth="1"/>
    <col min="10244" max="10244" width="10" style="557" customWidth="1"/>
    <col min="10245" max="10245" width="1.36328125" style="557" customWidth="1"/>
    <col min="10246" max="10246" width="9.08984375" style="557" customWidth="1"/>
    <col min="10247" max="10247" width="1.36328125" style="557" customWidth="1"/>
    <col min="10248" max="10248" width="11.36328125" style="557" customWidth="1"/>
    <col min="10249" max="10249" width="1.36328125" style="557" customWidth="1"/>
    <col min="10250" max="10250" width="9.08984375" style="557" customWidth="1"/>
    <col min="10251" max="10251" width="1.6328125" style="557" customWidth="1"/>
    <col min="10252" max="10252" width="11" style="557" customWidth="1"/>
    <col min="10253" max="10253" width="1.36328125" style="557" customWidth="1"/>
    <col min="10254" max="10254" width="10.81640625" style="557" customWidth="1"/>
    <col min="10255" max="10255" width="1.36328125" style="557" customWidth="1"/>
    <col min="10256" max="10256" width="10" style="557" customWidth="1"/>
    <col min="10257" max="10257" width="1.36328125" style="557" customWidth="1"/>
    <col min="10258" max="10258" width="9.36328125" style="557" customWidth="1"/>
    <col min="10259" max="10259" width="1.36328125" style="557" customWidth="1"/>
    <col min="10260" max="10260" width="7.81640625" style="557" customWidth="1"/>
    <col min="10261" max="10261" width="1.36328125" style="557" customWidth="1"/>
    <col min="10262" max="10262" width="0.81640625" style="557" customWidth="1"/>
    <col min="10263" max="10263" width="9.36328125" style="557" customWidth="1"/>
    <col min="10264" max="10264" width="1.36328125" style="557" customWidth="1"/>
    <col min="10265" max="10265" width="0.90625" style="557" customWidth="1"/>
    <col min="10266" max="10266" width="9.54296875" style="557" bestFit="1" customWidth="1"/>
    <col min="10267" max="10268" width="0.6328125" style="557" customWidth="1"/>
    <col min="10269" max="10269" width="9.6328125" style="557" customWidth="1"/>
    <col min="10270" max="10270" width="1.08984375" style="557" customWidth="1"/>
    <col min="10271" max="10271" width="8.54296875" style="557" customWidth="1"/>
    <col min="10272" max="10272" width="14.54296875" style="557" customWidth="1"/>
    <col min="10273" max="10273" width="10" style="557" customWidth="1"/>
    <col min="10274" max="10274" width="7.81640625" style="557" bestFit="1" customWidth="1"/>
    <col min="10275" max="10275" width="9.90625" style="557" customWidth="1"/>
    <col min="10276" max="10492" width="8.90625" style="557"/>
    <col min="10493" max="10493" width="38.453125" style="557" customWidth="1"/>
    <col min="10494" max="10494" width="8.54296875" style="557" customWidth="1"/>
    <col min="10495" max="10495" width="1.36328125" style="557" customWidth="1"/>
    <col min="10496" max="10496" width="8.90625" style="557" customWidth="1"/>
    <col min="10497" max="10497" width="1.36328125" style="557" customWidth="1"/>
    <col min="10498" max="10498" width="9.36328125" style="557" customWidth="1"/>
    <col min="10499" max="10499" width="1.36328125" style="557" customWidth="1"/>
    <col min="10500" max="10500" width="10" style="557" customWidth="1"/>
    <col min="10501" max="10501" width="1.36328125" style="557" customWidth="1"/>
    <col min="10502" max="10502" width="9.08984375" style="557" customWidth="1"/>
    <col min="10503" max="10503" width="1.36328125" style="557" customWidth="1"/>
    <col min="10504" max="10504" width="11.36328125" style="557" customWidth="1"/>
    <col min="10505" max="10505" width="1.36328125" style="557" customWidth="1"/>
    <col min="10506" max="10506" width="9.08984375" style="557" customWidth="1"/>
    <col min="10507" max="10507" width="1.6328125" style="557" customWidth="1"/>
    <col min="10508" max="10508" width="11" style="557" customWidth="1"/>
    <col min="10509" max="10509" width="1.36328125" style="557" customWidth="1"/>
    <col min="10510" max="10510" width="10.81640625" style="557" customWidth="1"/>
    <col min="10511" max="10511" width="1.36328125" style="557" customWidth="1"/>
    <col min="10512" max="10512" width="10" style="557" customWidth="1"/>
    <col min="10513" max="10513" width="1.36328125" style="557" customWidth="1"/>
    <col min="10514" max="10514" width="9.36328125" style="557" customWidth="1"/>
    <col min="10515" max="10515" width="1.36328125" style="557" customWidth="1"/>
    <col min="10516" max="10516" width="7.81640625" style="557" customWidth="1"/>
    <col min="10517" max="10517" width="1.36328125" style="557" customWidth="1"/>
    <col min="10518" max="10518" width="0.81640625" style="557" customWidth="1"/>
    <col min="10519" max="10519" width="9.36328125" style="557" customWidth="1"/>
    <col min="10520" max="10520" width="1.36328125" style="557" customWidth="1"/>
    <col min="10521" max="10521" width="0.90625" style="557" customWidth="1"/>
    <col min="10522" max="10522" width="9.54296875" style="557" bestFit="1" customWidth="1"/>
    <col min="10523" max="10524" width="0.6328125" style="557" customWidth="1"/>
    <col min="10525" max="10525" width="9.6328125" style="557" customWidth="1"/>
    <col min="10526" max="10526" width="1.08984375" style="557" customWidth="1"/>
    <col min="10527" max="10527" width="8.54296875" style="557" customWidth="1"/>
    <col min="10528" max="10528" width="14.54296875" style="557" customWidth="1"/>
    <col min="10529" max="10529" width="10" style="557" customWidth="1"/>
    <col min="10530" max="10530" width="7.81640625" style="557" bestFit="1" customWidth="1"/>
    <col min="10531" max="10531" width="9.90625" style="557" customWidth="1"/>
    <col min="10532" max="10748" width="8.90625" style="557"/>
    <col min="10749" max="10749" width="38.453125" style="557" customWidth="1"/>
    <col min="10750" max="10750" width="8.54296875" style="557" customWidth="1"/>
    <col min="10751" max="10751" width="1.36328125" style="557" customWidth="1"/>
    <col min="10752" max="10752" width="8.90625" style="557" customWidth="1"/>
    <col min="10753" max="10753" width="1.36328125" style="557" customWidth="1"/>
    <col min="10754" max="10754" width="9.36328125" style="557" customWidth="1"/>
    <col min="10755" max="10755" width="1.36328125" style="557" customWidth="1"/>
    <col min="10756" max="10756" width="10" style="557" customWidth="1"/>
    <col min="10757" max="10757" width="1.36328125" style="557" customWidth="1"/>
    <col min="10758" max="10758" width="9.08984375" style="557" customWidth="1"/>
    <col min="10759" max="10759" width="1.36328125" style="557" customWidth="1"/>
    <col min="10760" max="10760" width="11.36328125" style="557" customWidth="1"/>
    <col min="10761" max="10761" width="1.36328125" style="557" customWidth="1"/>
    <col min="10762" max="10762" width="9.08984375" style="557" customWidth="1"/>
    <col min="10763" max="10763" width="1.6328125" style="557" customWidth="1"/>
    <col min="10764" max="10764" width="11" style="557" customWidth="1"/>
    <col min="10765" max="10765" width="1.36328125" style="557" customWidth="1"/>
    <col min="10766" max="10766" width="10.81640625" style="557" customWidth="1"/>
    <col min="10767" max="10767" width="1.36328125" style="557" customWidth="1"/>
    <col min="10768" max="10768" width="10" style="557" customWidth="1"/>
    <col min="10769" max="10769" width="1.36328125" style="557" customWidth="1"/>
    <col min="10770" max="10770" width="9.36328125" style="557" customWidth="1"/>
    <col min="10771" max="10771" width="1.36328125" style="557" customWidth="1"/>
    <col min="10772" max="10772" width="7.81640625" style="557" customWidth="1"/>
    <col min="10773" max="10773" width="1.36328125" style="557" customWidth="1"/>
    <col min="10774" max="10774" width="0.81640625" style="557" customWidth="1"/>
    <col min="10775" max="10775" width="9.36328125" style="557" customWidth="1"/>
    <col min="10776" max="10776" width="1.36328125" style="557" customWidth="1"/>
    <col min="10777" max="10777" width="0.90625" style="557" customWidth="1"/>
    <col min="10778" max="10778" width="9.54296875" style="557" bestFit="1" customWidth="1"/>
    <col min="10779" max="10780" width="0.6328125" style="557" customWidth="1"/>
    <col min="10781" max="10781" width="9.6328125" style="557" customWidth="1"/>
    <col min="10782" max="10782" width="1.08984375" style="557" customWidth="1"/>
    <col min="10783" max="10783" width="8.54296875" style="557" customWidth="1"/>
    <col min="10784" max="10784" width="14.54296875" style="557" customWidth="1"/>
    <col min="10785" max="10785" width="10" style="557" customWidth="1"/>
    <col min="10786" max="10786" width="7.81640625" style="557" bestFit="1" customWidth="1"/>
    <col min="10787" max="10787" width="9.90625" style="557" customWidth="1"/>
    <col min="10788" max="11004" width="8.90625" style="557"/>
    <col min="11005" max="11005" width="38.453125" style="557" customWidth="1"/>
    <col min="11006" max="11006" width="8.54296875" style="557" customWidth="1"/>
    <col min="11007" max="11007" width="1.36328125" style="557" customWidth="1"/>
    <col min="11008" max="11008" width="8.90625" style="557" customWidth="1"/>
    <col min="11009" max="11009" width="1.36328125" style="557" customWidth="1"/>
    <col min="11010" max="11010" width="9.36328125" style="557" customWidth="1"/>
    <col min="11011" max="11011" width="1.36328125" style="557" customWidth="1"/>
    <col min="11012" max="11012" width="10" style="557" customWidth="1"/>
    <col min="11013" max="11013" width="1.36328125" style="557" customWidth="1"/>
    <col min="11014" max="11014" width="9.08984375" style="557" customWidth="1"/>
    <col min="11015" max="11015" width="1.36328125" style="557" customWidth="1"/>
    <col min="11016" max="11016" width="11.36328125" style="557" customWidth="1"/>
    <col min="11017" max="11017" width="1.36328125" style="557" customWidth="1"/>
    <col min="11018" max="11018" width="9.08984375" style="557" customWidth="1"/>
    <col min="11019" max="11019" width="1.6328125" style="557" customWidth="1"/>
    <col min="11020" max="11020" width="11" style="557" customWidth="1"/>
    <col min="11021" max="11021" width="1.36328125" style="557" customWidth="1"/>
    <col min="11022" max="11022" width="10.81640625" style="557" customWidth="1"/>
    <col min="11023" max="11023" width="1.36328125" style="557" customWidth="1"/>
    <col min="11024" max="11024" width="10" style="557" customWidth="1"/>
    <col min="11025" max="11025" width="1.36328125" style="557" customWidth="1"/>
    <col min="11026" max="11026" width="9.36328125" style="557" customWidth="1"/>
    <col min="11027" max="11027" width="1.36328125" style="557" customWidth="1"/>
    <col min="11028" max="11028" width="7.81640625" style="557" customWidth="1"/>
    <col min="11029" max="11029" width="1.36328125" style="557" customWidth="1"/>
    <col min="11030" max="11030" width="0.81640625" style="557" customWidth="1"/>
    <col min="11031" max="11031" width="9.36328125" style="557" customWidth="1"/>
    <col min="11032" max="11032" width="1.36328125" style="557" customWidth="1"/>
    <col min="11033" max="11033" width="0.90625" style="557" customWidth="1"/>
    <col min="11034" max="11034" width="9.54296875" style="557" bestFit="1" customWidth="1"/>
    <col min="11035" max="11036" width="0.6328125" style="557" customWidth="1"/>
    <col min="11037" max="11037" width="9.6328125" style="557" customWidth="1"/>
    <col min="11038" max="11038" width="1.08984375" style="557" customWidth="1"/>
    <col min="11039" max="11039" width="8.54296875" style="557" customWidth="1"/>
    <col min="11040" max="11040" width="14.54296875" style="557" customWidth="1"/>
    <col min="11041" max="11041" width="10" style="557" customWidth="1"/>
    <col min="11042" max="11042" width="7.81640625" style="557" bestFit="1" customWidth="1"/>
    <col min="11043" max="11043" width="9.90625" style="557" customWidth="1"/>
    <col min="11044" max="11260" width="8.90625" style="557"/>
    <col min="11261" max="11261" width="38.453125" style="557" customWidth="1"/>
    <col min="11262" max="11262" width="8.54296875" style="557" customWidth="1"/>
    <col min="11263" max="11263" width="1.36328125" style="557" customWidth="1"/>
    <col min="11264" max="11264" width="8.90625" style="557" customWidth="1"/>
    <col min="11265" max="11265" width="1.36328125" style="557" customWidth="1"/>
    <col min="11266" max="11266" width="9.36328125" style="557" customWidth="1"/>
    <col min="11267" max="11267" width="1.36328125" style="557" customWidth="1"/>
    <col min="11268" max="11268" width="10" style="557" customWidth="1"/>
    <col min="11269" max="11269" width="1.36328125" style="557" customWidth="1"/>
    <col min="11270" max="11270" width="9.08984375" style="557" customWidth="1"/>
    <col min="11271" max="11271" width="1.36328125" style="557" customWidth="1"/>
    <col min="11272" max="11272" width="11.36328125" style="557" customWidth="1"/>
    <col min="11273" max="11273" width="1.36328125" style="557" customWidth="1"/>
    <col min="11274" max="11274" width="9.08984375" style="557" customWidth="1"/>
    <col min="11275" max="11275" width="1.6328125" style="557" customWidth="1"/>
    <col min="11276" max="11276" width="11" style="557" customWidth="1"/>
    <col min="11277" max="11277" width="1.36328125" style="557" customWidth="1"/>
    <col min="11278" max="11278" width="10.81640625" style="557" customWidth="1"/>
    <col min="11279" max="11279" width="1.36328125" style="557" customWidth="1"/>
    <col min="11280" max="11280" width="10" style="557" customWidth="1"/>
    <col min="11281" max="11281" width="1.36328125" style="557" customWidth="1"/>
    <col min="11282" max="11282" width="9.36328125" style="557" customWidth="1"/>
    <col min="11283" max="11283" width="1.36328125" style="557" customWidth="1"/>
    <col min="11284" max="11284" width="7.81640625" style="557" customWidth="1"/>
    <col min="11285" max="11285" width="1.36328125" style="557" customWidth="1"/>
    <col min="11286" max="11286" width="0.81640625" style="557" customWidth="1"/>
    <col min="11287" max="11287" width="9.36328125" style="557" customWidth="1"/>
    <col min="11288" max="11288" width="1.36328125" style="557" customWidth="1"/>
    <col min="11289" max="11289" width="0.90625" style="557" customWidth="1"/>
    <col min="11290" max="11290" width="9.54296875" style="557" bestFit="1" customWidth="1"/>
    <col min="11291" max="11292" width="0.6328125" style="557" customWidth="1"/>
    <col min="11293" max="11293" width="9.6328125" style="557" customWidth="1"/>
    <col min="11294" max="11294" width="1.08984375" style="557" customWidth="1"/>
    <col min="11295" max="11295" width="8.54296875" style="557" customWidth="1"/>
    <col min="11296" max="11296" width="14.54296875" style="557" customWidth="1"/>
    <col min="11297" max="11297" width="10" style="557" customWidth="1"/>
    <col min="11298" max="11298" width="7.81640625" style="557" bestFit="1" customWidth="1"/>
    <col min="11299" max="11299" width="9.90625" style="557" customWidth="1"/>
    <col min="11300" max="11516" width="8.90625" style="557"/>
    <col min="11517" max="11517" width="38.453125" style="557" customWidth="1"/>
    <col min="11518" max="11518" width="8.54296875" style="557" customWidth="1"/>
    <col min="11519" max="11519" width="1.36328125" style="557" customWidth="1"/>
    <col min="11520" max="11520" width="8.90625" style="557" customWidth="1"/>
    <col min="11521" max="11521" width="1.36328125" style="557" customWidth="1"/>
    <col min="11522" max="11522" width="9.36328125" style="557" customWidth="1"/>
    <col min="11523" max="11523" width="1.36328125" style="557" customWidth="1"/>
    <col min="11524" max="11524" width="10" style="557" customWidth="1"/>
    <col min="11525" max="11525" width="1.36328125" style="557" customWidth="1"/>
    <col min="11526" max="11526" width="9.08984375" style="557" customWidth="1"/>
    <col min="11527" max="11527" width="1.36328125" style="557" customWidth="1"/>
    <col min="11528" max="11528" width="11.36328125" style="557" customWidth="1"/>
    <col min="11529" max="11529" width="1.36328125" style="557" customWidth="1"/>
    <col min="11530" max="11530" width="9.08984375" style="557" customWidth="1"/>
    <col min="11531" max="11531" width="1.6328125" style="557" customWidth="1"/>
    <col min="11532" max="11532" width="11" style="557" customWidth="1"/>
    <col min="11533" max="11533" width="1.36328125" style="557" customWidth="1"/>
    <col min="11534" max="11534" width="10.81640625" style="557" customWidth="1"/>
    <col min="11535" max="11535" width="1.36328125" style="557" customWidth="1"/>
    <col min="11536" max="11536" width="10" style="557" customWidth="1"/>
    <col min="11537" max="11537" width="1.36328125" style="557" customWidth="1"/>
    <col min="11538" max="11538" width="9.36328125" style="557" customWidth="1"/>
    <col min="11539" max="11539" width="1.36328125" style="557" customWidth="1"/>
    <col min="11540" max="11540" width="7.81640625" style="557" customWidth="1"/>
    <col min="11541" max="11541" width="1.36328125" style="557" customWidth="1"/>
    <col min="11542" max="11542" width="0.81640625" style="557" customWidth="1"/>
    <col min="11543" max="11543" width="9.36328125" style="557" customWidth="1"/>
    <col min="11544" max="11544" width="1.36328125" style="557" customWidth="1"/>
    <col min="11545" max="11545" width="0.90625" style="557" customWidth="1"/>
    <col min="11546" max="11546" width="9.54296875" style="557" bestFit="1" customWidth="1"/>
    <col min="11547" max="11548" width="0.6328125" style="557" customWidth="1"/>
    <col min="11549" max="11549" width="9.6328125" style="557" customWidth="1"/>
    <col min="11550" max="11550" width="1.08984375" style="557" customWidth="1"/>
    <col min="11551" max="11551" width="8.54296875" style="557" customWidth="1"/>
    <col min="11552" max="11552" width="14.54296875" style="557" customWidth="1"/>
    <col min="11553" max="11553" width="10" style="557" customWidth="1"/>
    <col min="11554" max="11554" width="7.81640625" style="557" bestFit="1" customWidth="1"/>
    <col min="11555" max="11555" width="9.90625" style="557" customWidth="1"/>
    <col min="11556" max="11772" width="8.90625" style="557"/>
    <col min="11773" max="11773" width="38.453125" style="557" customWidth="1"/>
    <col min="11774" max="11774" width="8.54296875" style="557" customWidth="1"/>
    <col min="11775" max="11775" width="1.36328125" style="557" customWidth="1"/>
    <col min="11776" max="11776" width="8.90625" style="557" customWidth="1"/>
    <col min="11777" max="11777" width="1.36328125" style="557" customWidth="1"/>
    <col min="11778" max="11778" width="9.36328125" style="557" customWidth="1"/>
    <col min="11779" max="11779" width="1.36328125" style="557" customWidth="1"/>
    <col min="11780" max="11780" width="10" style="557" customWidth="1"/>
    <col min="11781" max="11781" width="1.36328125" style="557" customWidth="1"/>
    <col min="11782" max="11782" width="9.08984375" style="557" customWidth="1"/>
    <col min="11783" max="11783" width="1.36328125" style="557" customWidth="1"/>
    <col min="11784" max="11784" width="11.36328125" style="557" customWidth="1"/>
    <col min="11785" max="11785" width="1.36328125" style="557" customWidth="1"/>
    <col min="11786" max="11786" width="9.08984375" style="557" customWidth="1"/>
    <col min="11787" max="11787" width="1.6328125" style="557" customWidth="1"/>
    <col min="11788" max="11788" width="11" style="557" customWidth="1"/>
    <col min="11789" max="11789" width="1.36328125" style="557" customWidth="1"/>
    <col min="11790" max="11790" width="10.81640625" style="557" customWidth="1"/>
    <col min="11791" max="11791" width="1.36328125" style="557" customWidth="1"/>
    <col min="11792" max="11792" width="10" style="557" customWidth="1"/>
    <col min="11793" max="11793" width="1.36328125" style="557" customWidth="1"/>
    <col min="11794" max="11794" width="9.36328125" style="557" customWidth="1"/>
    <col min="11795" max="11795" width="1.36328125" style="557" customWidth="1"/>
    <col min="11796" max="11796" width="7.81640625" style="557" customWidth="1"/>
    <col min="11797" max="11797" width="1.36328125" style="557" customWidth="1"/>
    <col min="11798" max="11798" width="0.81640625" style="557" customWidth="1"/>
    <col min="11799" max="11799" width="9.36328125" style="557" customWidth="1"/>
    <col min="11800" max="11800" width="1.36328125" style="557" customWidth="1"/>
    <col min="11801" max="11801" width="0.90625" style="557" customWidth="1"/>
    <col min="11802" max="11802" width="9.54296875" style="557" bestFit="1" customWidth="1"/>
    <col min="11803" max="11804" width="0.6328125" style="557" customWidth="1"/>
    <col min="11805" max="11805" width="9.6328125" style="557" customWidth="1"/>
    <col min="11806" max="11806" width="1.08984375" style="557" customWidth="1"/>
    <col min="11807" max="11807" width="8.54296875" style="557" customWidth="1"/>
    <col min="11808" max="11808" width="14.54296875" style="557" customWidth="1"/>
    <col min="11809" max="11809" width="10" style="557" customWidth="1"/>
    <col min="11810" max="11810" width="7.81640625" style="557" bestFit="1" customWidth="1"/>
    <col min="11811" max="11811" width="9.90625" style="557" customWidth="1"/>
    <col min="11812" max="12028" width="8.90625" style="557"/>
    <col min="12029" max="12029" width="38.453125" style="557" customWidth="1"/>
    <col min="12030" max="12030" width="8.54296875" style="557" customWidth="1"/>
    <col min="12031" max="12031" width="1.36328125" style="557" customWidth="1"/>
    <col min="12032" max="12032" width="8.90625" style="557" customWidth="1"/>
    <col min="12033" max="12033" width="1.36328125" style="557" customWidth="1"/>
    <col min="12034" max="12034" width="9.36328125" style="557" customWidth="1"/>
    <col min="12035" max="12035" width="1.36328125" style="557" customWidth="1"/>
    <col min="12036" max="12036" width="10" style="557" customWidth="1"/>
    <col min="12037" max="12037" width="1.36328125" style="557" customWidth="1"/>
    <col min="12038" max="12038" width="9.08984375" style="557" customWidth="1"/>
    <col min="12039" max="12039" width="1.36328125" style="557" customWidth="1"/>
    <col min="12040" max="12040" width="11.36328125" style="557" customWidth="1"/>
    <col min="12041" max="12041" width="1.36328125" style="557" customWidth="1"/>
    <col min="12042" max="12042" width="9.08984375" style="557" customWidth="1"/>
    <col min="12043" max="12043" width="1.6328125" style="557" customWidth="1"/>
    <col min="12044" max="12044" width="11" style="557" customWidth="1"/>
    <col min="12045" max="12045" width="1.36328125" style="557" customWidth="1"/>
    <col min="12046" max="12046" width="10.81640625" style="557" customWidth="1"/>
    <col min="12047" max="12047" width="1.36328125" style="557" customWidth="1"/>
    <col min="12048" max="12048" width="10" style="557" customWidth="1"/>
    <col min="12049" max="12049" width="1.36328125" style="557" customWidth="1"/>
    <col min="12050" max="12050" width="9.36328125" style="557" customWidth="1"/>
    <col min="12051" max="12051" width="1.36328125" style="557" customWidth="1"/>
    <col min="12052" max="12052" width="7.81640625" style="557" customWidth="1"/>
    <col min="12053" max="12053" width="1.36328125" style="557" customWidth="1"/>
    <col min="12054" max="12054" width="0.81640625" style="557" customWidth="1"/>
    <col min="12055" max="12055" width="9.36328125" style="557" customWidth="1"/>
    <col min="12056" max="12056" width="1.36328125" style="557" customWidth="1"/>
    <col min="12057" max="12057" width="0.90625" style="557" customWidth="1"/>
    <col min="12058" max="12058" width="9.54296875" style="557" bestFit="1" customWidth="1"/>
    <col min="12059" max="12060" width="0.6328125" style="557" customWidth="1"/>
    <col min="12061" max="12061" width="9.6328125" style="557" customWidth="1"/>
    <col min="12062" max="12062" width="1.08984375" style="557" customWidth="1"/>
    <col min="12063" max="12063" width="8.54296875" style="557" customWidth="1"/>
    <col min="12064" max="12064" width="14.54296875" style="557" customWidth="1"/>
    <col min="12065" max="12065" width="10" style="557" customWidth="1"/>
    <col min="12066" max="12066" width="7.81640625" style="557" bestFit="1" customWidth="1"/>
    <col min="12067" max="12067" width="9.90625" style="557" customWidth="1"/>
    <col min="12068" max="12284" width="8.90625" style="557"/>
    <col min="12285" max="12285" width="38.453125" style="557" customWidth="1"/>
    <col min="12286" max="12286" width="8.54296875" style="557" customWidth="1"/>
    <col min="12287" max="12287" width="1.36328125" style="557" customWidth="1"/>
    <col min="12288" max="12288" width="8.90625" style="557" customWidth="1"/>
    <col min="12289" max="12289" width="1.36328125" style="557" customWidth="1"/>
    <col min="12290" max="12290" width="9.36328125" style="557" customWidth="1"/>
    <col min="12291" max="12291" width="1.36328125" style="557" customWidth="1"/>
    <col min="12292" max="12292" width="10" style="557" customWidth="1"/>
    <col min="12293" max="12293" width="1.36328125" style="557" customWidth="1"/>
    <col min="12294" max="12294" width="9.08984375" style="557" customWidth="1"/>
    <col min="12295" max="12295" width="1.36328125" style="557" customWidth="1"/>
    <col min="12296" max="12296" width="11.36328125" style="557" customWidth="1"/>
    <col min="12297" max="12297" width="1.36328125" style="557" customWidth="1"/>
    <col min="12298" max="12298" width="9.08984375" style="557" customWidth="1"/>
    <col min="12299" max="12299" width="1.6328125" style="557" customWidth="1"/>
    <col min="12300" max="12300" width="11" style="557" customWidth="1"/>
    <col min="12301" max="12301" width="1.36328125" style="557" customWidth="1"/>
    <col min="12302" max="12302" width="10.81640625" style="557" customWidth="1"/>
    <col min="12303" max="12303" width="1.36328125" style="557" customWidth="1"/>
    <col min="12304" max="12304" width="10" style="557" customWidth="1"/>
    <col min="12305" max="12305" width="1.36328125" style="557" customWidth="1"/>
    <col min="12306" max="12306" width="9.36328125" style="557" customWidth="1"/>
    <col min="12307" max="12307" width="1.36328125" style="557" customWidth="1"/>
    <col min="12308" max="12308" width="7.81640625" style="557" customWidth="1"/>
    <col min="12309" max="12309" width="1.36328125" style="557" customWidth="1"/>
    <col min="12310" max="12310" width="0.81640625" style="557" customWidth="1"/>
    <col min="12311" max="12311" width="9.36328125" style="557" customWidth="1"/>
    <col min="12312" max="12312" width="1.36328125" style="557" customWidth="1"/>
    <col min="12313" max="12313" width="0.90625" style="557" customWidth="1"/>
    <col min="12314" max="12314" width="9.54296875" style="557" bestFit="1" customWidth="1"/>
    <col min="12315" max="12316" width="0.6328125" style="557" customWidth="1"/>
    <col min="12317" max="12317" width="9.6328125" style="557" customWidth="1"/>
    <col min="12318" max="12318" width="1.08984375" style="557" customWidth="1"/>
    <col min="12319" max="12319" width="8.54296875" style="557" customWidth="1"/>
    <col min="12320" max="12320" width="14.54296875" style="557" customWidth="1"/>
    <col min="12321" max="12321" width="10" style="557" customWidth="1"/>
    <col min="12322" max="12322" width="7.81640625" style="557" bestFit="1" customWidth="1"/>
    <col min="12323" max="12323" width="9.90625" style="557" customWidth="1"/>
    <col min="12324" max="12540" width="8.90625" style="557"/>
    <col min="12541" max="12541" width="38.453125" style="557" customWidth="1"/>
    <col min="12542" max="12542" width="8.54296875" style="557" customWidth="1"/>
    <col min="12543" max="12543" width="1.36328125" style="557" customWidth="1"/>
    <col min="12544" max="12544" width="8.90625" style="557" customWidth="1"/>
    <col min="12545" max="12545" width="1.36328125" style="557" customWidth="1"/>
    <col min="12546" max="12546" width="9.36328125" style="557" customWidth="1"/>
    <col min="12547" max="12547" width="1.36328125" style="557" customWidth="1"/>
    <col min="12548" max="12548" width="10" style="557" customWidth="1"/>
    <col min="12549" max="12549" width="1.36328125" style="557" customWidth="1"/>
    <col min="12550" max="12550" width="9.08984375" style="557" customWidth="1"/>
    <col min="12551" max="12551" width="1.36328125" style="557" customWidth="1"/>
    <col min="12552" max="12552" width="11.36328125" style="557" customWidth="1"/>
    <col min="12553" max="12553" width="1.36328125" style="557" customWidth="1"/>
    <col min="12554" max="12554" width="9.08984375" style="557" customWidth="1"/>
    <col min="12555" max="12555" width="1.6328125" style="557" customWidth="1"/>
    <col min="12556" max="12556" width="11" style="557" customWidth="1"/>
    <col min="12557" max="12557" width="1.36328125" style="557" customWidth="1"/>
    <col min="12558" max="12558" width="10.81640625" style="557" customWidth="1"/>
    <col min="12559" max="12559" width="1.36328125" style="557" customWidth="1"/>
    <col min="12560" max="12560" width="10" style="557" customWidth="1"/>
    <col min="12561" max="12561" width="1.36328125" style="557" customWidth="1"/>
    <col min="12562" max="12562" width="9.36328125" style="557" customWidth="1"/>
    <col min="12563" max="12563" width="1.36328125" style="557" customWidth="1"/>
    <col min="12564" max="12564" width="7.81640625" style="557" customWidth="1"/>
    <col min="12565" max="12565" width="1.36328125" style="557" customWidth="1"/>
    <col min="12566" max="12566" width="0.81640625" style="557" customWidth="1"/>
    <col min="12567" max="12567" width="9.36328125" style="557" customWidth="1"/>
    <col min="12568" max="12568" width="1.36328125" style="557" customWidth="1"/>
    <col min="12569" max="12569" width="0.90625" style="557" customWidth="1"/>
    <col min="12570" max="12570" width="9.54296875" style="557" bestFit="1" customWidth="1"/>
    <col min="12571" max="12572" width="0.6328125" style="557" customWidth="1"/>
    <col min="12573" max="12573" width="9.6328125" style="557" customWidth="1"/>
    <col min="12574" max="12574" width="1.08984375" style="557" customWidth="1"/>
    <col min="12575" max="12575" width="8.54296875" style="557" customWidth="1"/>
    <col min="12576" max="12576" width="14.54296875" style="557" customWidth="1"/>
    <col min="12577" max="12577" width="10" style="557" customWidth="1"/>
    <col min="12578" max="12578" width="7.81640625" style="557" bestFit="1" customWidth="1"/>
    <col min="12579" max="12579" width="9.90625" style="557" customWidth="1"/>
    <col min="12580" max="12796" width="8.90625" style="557"/>
    <col min="12797" max="12797" width="38.453125" style="557" customWidth="1"/>
    <col min="12798" max="12798" width="8.54296875" style="557" customWidth="1"/>
    <col min="12799" max="12799" width="1.36328125" style="557" customWidth="1"/>
    <col min="12800" max="12800" width="8.90625" style="557" customWidth="1"/>
    <col min="12801" max="12801" width="1.36328125" style="557" customWidth="1"/>
    <col min="12802" max="12802" width="9.36328125" style="557" customWidth="1"/>
    <col min="12803" max="12803" width="1.36328125" style="557" customWidth="1"/>
    <col min="12804" max="12804" width="10" style="557" customWidth="1"/>
    <col min="12805" max="12805" width="1.36328125" style="557" customWidth="1"/>
    <col min="12806" max="12806" width="9.08984375" style="557" customWidth="1"/>
    <col min="12807" max="12807" width="1.36328125" style="557" customWidth="1"/>
    <col min="12808" max="12808" width="11.36328125" style="557" customWidth="1"/>
    <col min="12809" max="12809" width="1.36328125" style="557" customWidth="1"/>
    <col min="12810" max="12810" width="9.08984375" style="557" customWidth="1"/>
    <col min="12811" max="12811" width="1.6328125" style="557" customWidth="1"/>
    <col min="12812" max="12812" width="11" style="557" customWidth="1"/>
    <col min="12813" max="12813" width="1.36328125" style="557" customWidth="1"/>
    <col min="12814" max="12814" width="10.81640625" style="557" customWidth="1"/>
    <col min="12815" max="12815" width="1.36328125" style="557" customWidth="1"/>
    <col min="12816" max="12816" width="10" style="557" customWidth="1"/>
    <col min="12817" max="12817" width="1.36328125" style="557" customWidth="1"/>
    <col min="12818" max="12818" width="9.36328125" style="557" customWidth="1"/>
    <col min="12819" max="12819" width="1.36328125" style="557" customWidth="1"/>
    <col min="12820" max="12820" width="7.81640625" style="557" customWidth="1"/>
    <col min="12821" max="12821" width="1.36328125" style="557" customWidth="1"/>
    <col min="12822" max="12822" width="0.81640625" style="557" customWidth="1"/>
    <col min="12823" max="12823" width="9.36328125" style="557" customWidth="1"/>
    <col min="12824" max="12824" width="1.36328125" style="557" customWidth="1"/>
    <col min="12825" max="12825" width="0.90625" style="557" customWidth="1"/>
    <col min="12826" max="12826" width="9.54296875" style="557" bestFit="1" customWidth="1"/>
    <col min="12827" max="12828" width="0.6328125" style="557" customWidth="1"/>
    <col min="12829" max="12829" width="9.6328125" style="557" customWidth="1"/>
    <col min="12830" max="12830" width="1.08984375" style="557" customWidth="1"/>
    <col min="12831" max="12831" width="8.54296875" style="557" customWidth="1"/>
    <col min="12832" max="12832" width="14.54296875" style="557" customWidth="1"/>
    <col min="12833" max="12833" width="10" style="557" customWidth="1"/>
    <col min="12834" max="12834" width="7.81640625" style="557" bestFit="1" customWidth="1"/>
    <col min="12835" max="12835" width="9.90625" style="557" customWidth="1"/>
    <col min="12836" max="13052" width="8.90625" style="557"/>
    <col min="13053" max="13053" width="38.453125" style="557" customWidth="1"/>
    <col min="13054" max="13054" width="8.54296875" style="557" customWidth="1"/>
    <col min="13055" max="13055" width="1.36328125" style="557" customWidth="1"/>
    <col min="13056" max="13056" width="8.90625" style="557" customWidth="1"/>
    <col min="13057" max="13057" width="1.36328125" style="557" customWidth="1"/>
    <col min="13058" max="13058" width="9.36328125" style="557" customWidth="1"/>
    <col min="13059" max="13059" width="1.36328125" style="557" customWidth="1"/>
    <col min="13060" max="13060" width="10" style="557" customWidth="1"/>
    <col min="13061" max="13061" width="1.36328125" style="557" customWidth="1"/>
    <col min="13062" max="13062" width="9.08984375" style="557" customWidth="1"/>
    <col min="13063" max="13063" width="1.36328125" style="557" customWidth="1"/>
    <col min="13064" max="13064" width="11.36328125" style="557" customWidth="1"/>
    <col min="13065" max="13065" width="1.36328125" style="557" customWidth="1"/>
    <col min="13066" max="13066" width="9.08984375" style="557" customWidth="1"/>
    <col min="13067" max="13067" width="1.6328125" style="557" customWidth="1"/>
    <col min="13068" max="13068" width="11" style="557" customWidth="1"/>
    <col min="13069" max="13069" width="1.36328125" style="557" customWidth="1"/>
    <col min="13070" max="13070" width="10.81640625" style="557" customWidth="1"/>
    <col min="13071" max="13071" width="1.36328125" style="557" customWidth="1"/>
    <col min="13072" max="13072" width="10" style="557" customWidth="1"/>
    <col min="13073" max="13073" width="1.36328125" style="557" customWidth="1"/>
    <col min="13074" max="13074" width="9.36328125" style="557" customWidth="1"/>
    <col min="13075" max="13075" width="1.36328125" style="557" customWidth="1"/>
    <col min="13076" max="13076" width="7.81640625" style="557" customWidth="1"/>
    <col min="13077" max="13077" width="1.36328125" style="557" customWidth="1"/>
    <col min="13078" max="13078" width="0.81640625" style="557" customWidth="1"/>
    <col min="13079" max="13079" width="9.36328125" style="557" customWidth="1"/>
    <col min="13080" max="13080" width="1.36328125" style="557" customWidth="1"/>
    <col min="13081" max="13081" width="0.90625" style="557" customWidth="1"/>
    <col min="13082" max="13082" width="9.54296875" style="557" bestFit="1" customWidth="1"/>
    <col min="13083" max="13084" width="0.6328125" style="557" customWidth="1"/>
    <col min="13085" max="13085" width="9.6328125" style="557" customWidth="1"/>
    <col min="13086" max="13086" width="1.08984375" style="557" customWidth="1"/>
    <col min="13087" max="13087" width="8.54296875" style="557" customWidth="1"/>
    <col min="13088" max="13088" width="14.54296875" style="557" customWidth="1"/>
    <col min="13089" max="13089" width="10" style="557" customWidth="1"/>
    <col min="13090" max="13090" width="7.81640625" style="557" bestFit="1" customWidth="1"/>
    <col min="13091" max="13091" width="9.90625" style="557" customWidth="1"/>
    <col min="13092" max="13308" width="8.90625" style="557"/>
    <col min="13309" max="13309" width="38.453125" style="557" customWidth="1"/>
    <col min="13310" max="13310" width="8.54296875" style="557" customWidth="1"/>
    <col min="13311" max="13311" width="1.36328125" style="557" customWidth="1"/>
    <col min="13312" max="13312" width="8.90625" style="557" customWidth="1"/>
    <col min="13313" max="13313" width="1.36328125" style="557" customWidth="1"/>
    <col min="13314" max="13314" width="9.36328125" style="557" customWidth="1"/>
    <col min="13315" max="13315" width="1.36328125" style="557" customWidth="1"/>
    <col min="13316" max="13316" width="10" style="557" customWidth="1"/>
    <col min="13317" max="13317" width="1.36328125" style="557" customWidth="1"/>
    <col min="13318" max="13318" width="9.08984375" style="557" customWidth="1"/>
    <col min="13319" max="13319" width="1.36328125" style="557" customWidth="1"/>
    <col min="13320" max="13320" width="11.36328125" style="557" customWidth="1"/>
    <col min="13321" max="13321" width="1.36328125" style="557" customWidth="1"/>
    <col min="13322" max="13322" width="9.08984375" style="557" customWidth="1"/>
    <col min="13323" max="13323" width="1.6328125" style="557" customWidth="1"/>
    <col min="13324" max="13324" width="11" style="557" customWidth="1"/>
    <col min="13325" max="13325" width="1.36328125" style="557" customWidth="1"/>
    <col min="13326" max="13326" width="10.81640625" style="557" customWidth="1"/>
    <col min="13327" max="13327" width="1.36328125" style="557" customWidth="1"/>
    <col min="13328" max="13328" width="10" style="557" customWidth="1"/>
    <col min="13329" max="13329" width="1.36328125" style="557" customWidth="1"/>
    <col min="13330" max="13330" width="9.36328125" style="557" customWidth="1"/>
    <col min="13331" max="13331" width="1.36328125" style="557" customWidth="1"/>
    <col min="13332" max="13332" width="7.81640625" style="557" customWidth="1"/>
    <col min="13333" max="13333" width="1.36328125" style="557" customWidth="1"/>
    <col min="13334" max="13334" width="0.81640625" style="557" customWidth="1"/>
    <col min="13335" max="13335" width="9.36328125" style="557" customWidth="1"/>
    <col min="13336" max="13336" width="1.36328125" style="557" customWidth="1"/>
    <col min="13337" max="13337" width="0.90625" style="557" customWidth="1"/>
    <col min="13338" max="13338" width="9.54296875" style="557" bestFit="1" customWidth="1"/>
    <col min="13339" max="13340" width="0.6328125" style="557" customWidth="1"/>
    <col min="13341" max="13341" width="9.6328125" style="557" customWidth="1"/>
    <col min="13342" max="13342" width="1.08984375" style="557" customWidth="1"/>
    <col min="13343" max="13343" width="8.54296875" style="557" customWidth="1"/>
    <col min="13344" max="13344" width="14.54296875" style="557" customWidth="1"/>
    <col min="13345" max="13345" width="10" style="557" customWidth="1"/>
    <col min="13346" max="13346" width="7.81640625" style="557" bestFit="1" customWidth="1"/>
    <col min="13347" max="13347" width="9.90625" style="557" customWidth="1"/>
    <col min="13348" max="13564" width="8.90625" style="557"/>
    <col min="13565" max="13565" width="38.453125" style="557" customWidth="1"/>
    <col min="13566" max="13566" width="8.54296875" style="557" customWidth="1"/>
    <col min="13567" max="13567" width="1.36328125" style="557" customWidth="1"/>
    <col min="13568" max="13568" width="8.90625" style="557" customWidth="1"/>
    <col min="13569" max="13569" width="1.36328125" style="557" customWidth="1"/>
    <col min="13570" max="13570" width="9.36328125" style="557" customWidth="1"/>
    <col min="13571" max="13571" width="1.36328125" style="557" customWidth="1"/>
    <col min="13572" max="13572" width="10" style="557" customWidth="1"/>
    <col min="13573" max="13573" width="1.36328125" style="557" customWidth="1"/>
    <col min="13574" max="13574" width="9.08984375" style="557" customWidth="1"/>
    <col min="13575" max="13575" width="1.36328125" style="557" customWidth="1"/>
    <col min="13576" max="13576" width="11.36328125" style="557" customWidth="1"/>
    <col min="13577" max="13577" width="1.36328125" style="557" customWidth="1"/>
    <col min="13578" max="13578" width="9.08984375" style="557" customWidth="1"/>
    <col min="13579" max="13579" width="1.6328125" style="557" customWidth="1"/>
    <col min="13580" max="13580" width="11" style="557" customWidth="1"/>
    <col min="13581" max="13581" width="1.36328125" style="557" customWidth="1"/>
    <col min="13582" max="13582" width="10.81640625" style="557" customWidth="1"/>
    <col min="13583" max="13583" width="1.36328125" style="557" customWidth="1"/>
    <col min="13584" max="13584" width="10" style="557" customWidth="1"/>
    <col min="13585" max="13585" width="1.36328125" style="557" customWidth="1"/>
    <col min="13586" max="13586" width="9.36328125" style="557" customWidth="1"/>
    <col min="13587" max="13587" width="1.36328125" style="557" customWidth="1"/>
    <col min="13588" max="13588" width="7.81640625" style="557" customWidth="1"/>
    <col min="13589" max="13589" width="1.36328125" style="557" customWidth="1"/>
    <col min="13590" max="13590" width="0.81640625" style="557" customWidth="1"/>
    <col min="13591" max="13591" width="9.36328125" style="557" customWidth="1"/>
    <col min="13592" max="13592" width="1.36328125" style="557" customWidth="1"/>
    <col min="13593" max="13593" width="0.90625" style="557" customWidth="1"/>
    <col min="13594" max="13594" width="9.54296875" style="557" bestFit="1" customWidth="1"/>
    <col min="13595" max="13596" width="0.6328125" style="557" customWidth="1"/>
    <col min="13597" max="13597" width="9.6328125" style="557" customWidth="1"/>
    <col min="13598" max="13598" width="1.08984375" style="557" customWidth="1"/>
    <col min="13599" max="13599" width="8.54296875" style="557" customWidth="1"/>
    <col min="13600" max="13600" width="14.54296875" style="557" customWidth="1"/>
    <col min="13601" max="13601" width="10" style="557" customWidth="1"/>
    <col min="13602" max="13602" width="7.81640625" style="557" bestFit="1" customWidth="1"/>
    <col min="13603" max="13603" width="9.90625" style="557" customWidth="1"/>
    <col min="13604" max="13820" width="8.90625" style="557"/>
    <col min="13821" max="13821" width="38.453125" style="557" customWidth="1"/>
    <col min="13822" max="13822" width="8.54296875" style="557" customWidth="1"/>
    <col min="13823" max="13823" width="1.36328125" style="557" customWidth="1"/>
    <col min="13824" max="13824" width="8.90625" style="557" customWidth="1"/>
    <col min="13825" max="13825" width="1.36328125" style="557" customWidth="1"/>
    <col min="13826" max="13826" width="9.36328125" style="557" customWidth="1"/>
    <col min="13827" max="13827" width="1.36328125" style="557" customWidth="1"/>
    <col min="13828" max="13828" width="10" style="557" customWidth="1"/>
    <col min="13829" max="13829" width="1.36328125" style="557" customWidth="1"/>
    <col min="13830" max="13830" width="9.08984375" style="557" customWidth="1"/>
    <col min="13831" max="13831" width="1.36328125" style="557" customWidth="1"/>
    <col min="13832" max="13832" width="11.36328125" style="557" customWidth="1"/>
    <col min="13833" max="13833" width="1.36328125" style="557" customWidth="1"/>
    <col min="13834" max="13834" width="9.08984375" style="557" customWidth="1"/>
    <col min="13835" max="13835" width="1.6328125" style="557" customWidth="1"/>
    <col min="13836" max="13836" width="11" style="557" customWidth="1"/>
    <col min="13837" max="13837" width="1.36328125" style="557" customWidth="1"/>
    <col min="13838" max="13838" width="10.81640625" style="557" customWidth="1"/>
    <col min="13839" max="13839" width="1.36328125" style="557" customWidth="1"/>
    <col min="13840" max="13840" width="10" style="557" customWidth="1"/>
    <col min="13841" max="13841" width="1.36328125" style="557" customWidth="1"/>
    <col min="13842" max="13842" width="9.36328125" style="557" customWidth="1"/>
    <col min="13843" max="13843" width="1.36328125" style="557" customWidth="1"/>
    <col min="13844" max="13844" width="7.81640625" style="557" customWidth="1"/>
    <col min="13845" max="13845" width="1.36328125" style="557" customWidth="1"/>
    <col min="13846" max="13846" width="0.81640625" style="557" customWidth="1"/>
    <col min="13847" max="13847" width="9.36328125" style="557" customWidth="1"/>
    <col min="13848" max="13848" width="1.36328125" style="557" customWidth="1"/>
    <col min="13849" max="13849" width="0.90625" style="557" customWidth="1"/>
    <col min="13850" max="13850" width="9.54296875" style="557" bestFit="1" customWidth="1"/>
    <col min="13851" max="13852" width="0.6328125" style="557" customWidth="1"/>
    <col min="13853" max="13853" width="9.6328125" style="557" customWidth="1"/>
    <col min="13854" max="13854" width="1.08984375" style="557" customWidth="1"/>
    <col min="13855" max="13855" width="8.54296875" style="557" customWidth="1"/>
    <col min="13856" max="13856" width="14.54296875" style="557" customWidth="1"/>
    <col min="13857" max="13857" width="10" style="557" customWidth="1"/>
    <col min="13858" max="13858" width="7.81640625" style="557" bestFit="1" customWidth="1"/>
    <col min="13859" max="13859" width="9.90625" style="557" customWidth="1"/>
    <col min="13860" max="14076" width="8.90625" style="557"/>
    <col min="14077" max="14077" width="38.453125" style="557" customWidth="1"/>
    <col min="14078" max="14078" width="8.54296875" style="557" customWidth="1"/>
    <col min="14079" max="14079" width="1.36328125" style="557" customWidth="1"/>
    <col min="14080" max="14080" width="8.90625" style="557" customWidth="1"/>
    <col min="14081" max="14081" width="1.36328125" style="557" customWidth="1"/>
    <col min="14082" max="14082" width="9.36328125" style="557" customWidth="1"/>
    <col min="14083" max="14083" width="1.36328125" style="557" customWidth="1"/>
    <col min="14084" max="14084" width="10" style="557" customWidth="1"/>
    <col min="14085" max="14085" width="1.36328125" style="557" customWidth="1"/>
    <col min="14086" max="14086" width="9.08984375" style="557" customWidth="1"/>
    <col min="14087" max="14087" width="1.36328125" style="557" customWidth="1"/>
    <col min="14088" max="14088" width="11.36328125" style="557" customWidth="1"/>
    <col min="14089" max="14089" width="1.36328125" style="557" customWidth="1"/>
    <col min="14090" max="14090" width="9.08984375" style="557" customWidth="1"/>
    <col min="14091" max="14091" width="1.6328125" style="557" customWidth="1"/>
    <col min="14092" max="14092" width="11" style="557" customWidth="1"/>
    <col min="14093" max="14093" width="1.36328125" style="557" customWidth="1"/>
    <col min="14094" max="14094" width="10.81640625" style="557" customWidth="1"/>
    <col min="14095" max="14095" width="1.36328125" style="557" customWidth="1"/>
    <col min="14096" max="14096" width="10" style="557" customWidth="1"/>
    <col min="14097" max="14097" width="1.36328125" style="557" customWidth="1"/>
    <col min="14098" max="14098" width="9.36328125" style="557" customWidth="1"/>
    <col min="14099" max="14099" width="1.36328125" style="557" customWidth="1"/>
    <col min="14100" max="14100" width="7.81640625" style="557" customWidth="1"/>
    <col min="14101" max="14101" width="1.36328125" style="557" customWidth="1"/>
    <col min="14102" max="14102" width="0.81640625" style="557" customWidth="1"/>
    <col min="14103" max="14103" width="9.36328125" style="557" customWidth="1"/>
    <col min="14104" max="14104" width="1.36328125" style="557" customWidth="1"/>
    <col min="14105" max="14105" width="0.90625" style="557" customWidth="1"/>
    <col min="14106" max="14106" width="9.54296875" style="557" bestFit="1" customWidth="1"/>
    <col min="14107" max="14108" width="0.6328125" style="557" customWidth="1"/>
    <col min="14109" max="14109" width="9.6328125" style="557" customWidth="1"/>
    <col min="14110" max="14110" width="1.08984375" style="557" customWidth="1"/>
    <col min="14111" max="14111" width="8.54296875" style="557" customWidth="1"/>
    <col min="14112" max="14112" width="14.54296875" style="557" customWidth="1"/>
    <col min="14113" max="14113" width="10" style="557" customWidth="1"/>
    <col min="14114" max="14114" width="7.81640625" style="557" bestFit="1" customWidth="1"/>
    <col min="14115" max="14115" width="9.90625" style="557" customWidth="1"/>
    <col min="14116" max="14332" width="8.90625" style="557"/>
    <col min="14333" max="14333" width="38.453125" style="557" customWidth="1"/>
    <col min="14334" max="14334" width="8.54296875" style="557" customWidth="1"/>
    <col min="14335" max="14335" width="1.36328125" style="557" customWidth="1"/>
    <col min="14336" max="14336" width="8.90625" style="557" customWidth="1"/>
    <col min="14337" max="14337" width="1.36328125" style="557" customWidth="1"/>
    <col min="14338" max="14338" width="9.36328125" style="557" customWidth="1"/>
    <col min="14339" max="14339" width="1.36328125" style="557" customWidth="1"/>
    <col min="14340" max="14340" width="10" style="557" customWidth="1"/>
    <col min="14341" max="14341" width="1.36328125" style="557" customWidth="1"/>
    <col min="14342" max="14342" width="9.08984375" style="557" customWidth="1"/>
    <col min="14343" max="14343" width="1.36328125" style="557" customWidth="1"/>
    <col min="14344" max="14344" width="11.36328125" style="557" customWidth="1"/>
    <col min="14345" max="14345" width="1.36328125" style="557" customWidth="1"/>
    <col min="14346" max="14346" width="9.08984375" style="557" customWidth="1"/>
    <col min="14347" max="14347" width="1.6328125" style="557" customWidth="1"/>
    <col min="14348" max="14348" width="11" style="557" customWidth="1"/>
    <col min="14349" max="14349" width="1.36328125" style="557" customWidth="1"/>
    <col min="14350" max="14350" width="10.81640625" style="557" customWidth="1"/>
    <col min="14351" max="14351" width="1.36328125" style="557" customWidth="1"/>
    <col min="14352" max="14352" width="10" style="557" customWidth="1"/>
    <col min="14353" max="14353" width="1.36328125" style="557" customWidth="1"/>
    <col min="14354" max="14354" width="9.36328125" style="557" customWidth="1"/>
    <col min="14355" max="14355" width="1.36328125" style="557" customWidth="1"/>
    <col min="14356" max="14356" width="7.81640625" style="557" customWidth="1"/>
    <col min="14357" max="14357" width="1.36328125" style="557" customWidth="1"/>
    <col min="14358" max="14358" width="0.81640625" style="557" customWidth="1"/>
    <col min="14359" max="14359" width="9.36328125" style="557" customWidth="1"/>
    <col min="14360" max="14360" width="1.36328125" style="557" customWidth="1"/>
    <col min="14361" max="14361" width="0.90625" style="557" customWidth="1"/>
    <col min="14362" max="14362" width="9.54296875" style="557" bestFit="1" customWidth="1"/>
    <col min="14363" max="14364" width="0.6328125" style="557" customWidth="1"/>
    <col min="14365" max="14365" width="9.6328125" style="557" customWidth="1"/>
    <col min="14366" max="14366" width="1.08984375" style="557" customWidth="1"/>
    <col min="14367" max="14367" width="8.54296875" style="557" customWidth="1"/>
    <col min="14368" max="14368" width="14.54296875" style="557" customWidth="1"/>
    <col min="14369" max="14369" width="10" style="557" customWidth="1"/>
    <col min="14370" max="14370" width="7.81640625" style="557" bestFit="1" customWidth="1"/>
    <col min="14371" max="14371" width="9.90625" style="557" customWidth="1"/>
    <col min="14372" max="14588" width="8.90625" style="557"/>
    <col min="14589" max="14589" width="38.453125" style="557" customWidth="1"/>
    <col min="14590" max="14590" width="8.54296875" style="557" customWidth="1"/>
    <col min="14591" max="14591" width="1.36328125" style="557" customWidth="1"/>
    <col min="14592" max="14592" width="8.90625" style="557" customWidth="1"/>
    <col min="14593" max="14593" width="1.36328125" style="557" customWidth="1"/>
    <col min="14594" max="14594" width="9.36328125" style="557" customWidth="1"/>
    <col min="14595" max="14595" width="1.36328125" style="557" customWidth="1"/>
    <col min="14596" max="14596" width="10" style="557" customWidth="1"/>
    <col min="14597" max="14597" width="1.36328125" style="557" customWidth="1"/>
    <col min="14598" max="14598" width="9.08984375" style="557" customWidth="1"/>
    <col min="14599" max="14599" width="1.36328125" style="557" customWidth="1"/>
    <col min="14600" max="14600" width="11.36328125" style="557" customWidth="1"/>
    <col min="14601" max="14601" width="1.36328125" style="557" customWidth="1"/>
    <col min="14602" max="14602" width="9.08984375" style="557" customWidth="1"/>
    <col min="14603" max="14603" width="1.6328125" style="557" customWidth="1"/>
    <col min="14604" max="14604" width="11" style="557" customWidth="1"/>
    <col min="14605" max="14605" width="1.36328125" style="557" customWidth="1"/>
    <col min="14606" max="14606" width="10.81640625" style="557" customWidth="1"/>
    <col min="14607" max="14607" width="1.36328125" style="557" customWidth="1"/>
    <col min="14608" max="14608" width="10" style="557" customWidth="1"/>
    <col min="14609" max="14609" width="1.36328125" style="557" customWidth="1"/>
    <col min="14610" max="14610" width="9.36328125" style="557" customWidth="1"/>
    <col min="14611" max="14611" width="1.36328125" style="557" customWidth="1"/>
    <col min="14612" max="14612" width="7.81640625" style="557" customWidth="1"/>
    <col min="14613" max="14613" width="1.36328125" style="557" customWidth="1"/>
    <col min="14614" max="14614" width="0.81640625" style="557" customWidth="1"/>
    <col min="14615" max="14615" width="9.36328125" style="557" customWidth="1"/>
    <col min="14616" max="14616" width="1.36328125" style="557" customWidth="1"/>
    <col min="14617" max="14617" width="0.90625" style="557" customWidth="1"/>
    <col min="14618" max="14618" width="9.54296875" style="557" bestFit="1" customWidth="1"/>
    <col min="14619" max="14620" width="0.6328125" style="557" customWidth="1"/>
    <col min="14621" max="14621" width="9.6328125" style="557" customWidth="1"/>
    <col min="14622" max="14622" width="1.08984375" style="557" customWidth="1"/>
    <col min="14623" max="14623" width="8.54296875" style="557" customWidth="1"/>
    <col min="14624" max="14624" width="14.54296875" style="557" customWidth="1"/>
    <col min="14625" max="14625" width="10" style="557" customWidth="1"/>
    <col min="14626" max="14626" width="7.81640625" style="557" bestFit="1" customWidth="1"/>
    <col min="14627" max="14627" width="9.90625" style="557" customWidth="1"/>
    <col min="14628" max="14844" width="8.90625" style="557"/>
    <col min="14845" max="14845" width="38.453125" style="557" customWidth="1"/>
    <col min="14846" max="14846" width="8.54296875" style="557" customWidth="1"/>
    <col min="14847" max="14847" width="1.36328125" style="557" customWidth="1"/>
    <col min="14848" max="14848" width="8.90625" style="557" customWidth="1"/>
    <col min="14849" max="14849" width="1.36328125" style="557" customWidth="1"/>
    <col min="14850" max="14850" width="9.36328125" style="557" customWidth="1"/>
    <col min="14851" max="14851" width="1.36328125" style="557" customWidth="1"/>
    <col min="14852" max="14852" width="10" style="557" customWidth="1"/>
    <col min="14853" max="14853" width="1.36328125" style="557" customWidth="1"/>
    <col min="14854" max="14854" width="9.08984375" style="557" customWidth="1"/>
    <col min="14855" max="14855" width="1.36328125" style="557" customWidth="1"/>
    <col min="14856" max="14856" width="11.36328125" style="557" customWidth="1"/>
    <col min="14857" max="14857" width="1.36328125" style="557" customWidth="1"/>
    <col min="14858" max="14858" width="9.08984375" style="557" customWidth="1"/>
    <col min="14859" max="14859" width="1.6328125" style="557" customWidth="1"/>
    <col min="14860" max="14860" width="11" style="557" customWidth="1"/>
    <col min="14861" max="14861" width="1.36328125" style="557" customWidth="1"/>
    <col min="14862" max="14862" width="10.81640625" style="557" customWidth="1"/>
    <col min="14863" max="14863" width="1.36328125" style="557" customWidth="1"/>
    <col min="14864" max="14864" width="10" style="557" customWidth="1"/>
    <col min="14865" max="14865" width="1.36328125" style="557" customWidth="1"/>
    <col min="14866" max="14866" width="9.36328125" style="557" customWidth="1"/>
    <col min="14867" max="14867" width="1.36328125" style="557" customWidth="1"/>
    <col min="14868" max="14868" width="7.81640625" style="557" customWidth="1"/>
    <col min="14869" max="14869" width="1.36328125" style="557" customWidth="1"/>
    <col min="14870" max="14870" width="0.81640625" style="557" customWidth="1"/>
    <col min="14871" max="14871" width="9.36328125" style="557" customWidth="1"/>
    <col min="14872" max="14872" width="1.36328125" style="557" customWidth="1"/>
    <col min="14873" max="14873" width="0.90625" style="557" customWidth="1"/>
    <col min="14874" max="14874" width="9.54296875" style="557" bestFit="1" customWidth="1"/>
    <col min="14875" max="14876" width="0.6328125" style="557" customWidth="1"/>
    <col min="14877" max="14877" width="9.6328125" style="557" customWidth="1"/>
    <col min="14878" max="14878" width="1.08984375" style="557" customWidth="1"/>
    <col min="14879" max="14879" width="8.54296875" style="557" customWidth="1"/>
    <col min="14880" max="14880" width="14.54296875" style="557" customWidth="1"/>
    <col min="14881" max="14881" width="10" style="557" customWidth="1"/>
    <col min="14882" max="14882" width="7.81640625" style="557" bestFit="1" customWidth="1"/>
    <col min="14883" max="14883" width="9.90625" style="557" customWidth="1"/>
    <col min="14884" max="15100" width="8.90625" style="557"/>
    <col min="15101" max="15101" width="38.453125" style="557" customWidth="1"/>
    <col min="15102" max="15102" width="8.54296875" style="557" customWidth="1"/>
    <col min="15103" max="15103" width="1.36328125" style="557" customWidth="1"/>
    <col min="15104" max="15104" width="8.90625" style="557" customWidth="1"/>
    <col min="15105" max="15105" width="1.36328125" style="557" customWidth="1"/>
    <col min="15106" max="15106" width="9.36328125" style="557" customWidth="1"/>
    <col min="15107" max="15107" width="1.36328125" style="557" customWidth="1"/>
    <col min="15108" max="15108" width="10" style="557" customWidth="1"/>
    <col min="15109" max="15109" width="1.36328125" style="557" customWidth="1"/>
    <col min="15110" max="15110" width="9.08984375" style="557" customWidth="1"/>
    <col min="15111" max="15111" width="1.36328125" style="557" customWidth="1"/>
    <col min="15112" max="15112" width="11.36328125" style="557" customWidth="1"/>
    <col min="15113" max="15113" width="1.36328125" style="557" customWidth="1"/>
    <col min="15114" max="15114" width="9.08984375" style="557" customWidth="1"/>
    <col min="15115" max="15115" width="1.6328125" style="557" customWidth="1"/>
    <col min="15116" max="15116" width="11" style="557" customWidth="1"/>
    <col min="15117" max="15117" width="1.36328125" style="557" customWidth="1"/>
    <col min="15118" max="15118" width="10.81640625" style="557" customWidth="1"/>
    <col min="15119" max="15119" width="1.36328125" style="557" customWidth="1"/>
    <col min="15120" max="15120" width="10" style="557" customWidth="1"/>
    <col min="15121" max="15121" width="1.36328125" style="557" customWidth="1"/>
    <col min="15122" max="15122" width="9.36328125" style="557" customWidth="1"/>
    <col min="15123" max="15123" width="1.36328125" style="557" customWidth="1"/>
    <col min="15124" max="15124" width="7.81640625" style="557" customWidth="1"/>
    <col min="15125" max="15125" width="1.36328125" style="557" customWidth="1"/>
    <col min="15126" max="15126" width="0.81640625" style="557" customWidth="1"/>
    <col min="15127" max="15127" width="9.36328125" style="557" customWidth="1"/>
    <col min="15128" max="15128" width="1.36328125" style="557" customWidth="1"/>
    <col min="15129" max="15129" width="0.90625" style="557" customWidth="1"/>
    <col min="15130" max="15130" width="9.54296875" style="557" bestFit="1" customWidth="1"/>
    <col min="15131" max="15132" width="0.6328125" style="557" customWidth="1"/>
    <col min="15133" max="15133" width="9.6328125" style="557" customWidth="1"/>
    <col min="15134" max="15134" width="1.08984375" style="557" customWidth="1"/>
    <col min="15135" max="15135" width="8.54296875" style="557" customWidth="1"/>
    <col min="15136" max="15136" width="14.54296875" style="557" customWidth="1"/>
    <col min="15137" max="15137" width="10" style="557" customWidth="1"/>
    <col min="15138" max="15138" width="7.81640625" style="557" bestFit="1" customWidth="1"/>
    <col min="15139" max="15139" width="9.90625" style="557" customWidth="1"/>
    <col min="15140" max="15356" width="8.90625" style="557"/>
    <col min="15357" max="15357" width="38.453125" style="557" customWidth="1"/>
    <col min="15358" max="15358" width="8.54296875" style="557" customWidth="1"/>
    <col min="15359" max="15359" width="1.36328125" style="557" customWidth="1"/>
    <col min="15360" max="15360" width="8.90625" style="557" customWidth="1"/>
    <col min="15361" max="15361" width="1.36328125" style="557" customWidth="1"/>
    <col min="15362" max="15362" width="9.36328125" style="557" customWidth="1"/>
    <col min="15363" max="15363" width="1.36328125" style="557" customWidth="1"/>
    <col min="15364" max="15364" width="10" style="557" customWidth="1"/>
    <col min="15365" max="15365" width="1.36328125" style="557" customWidth="1"/>
    <col min="15366" max="15366" width="9.08984375" style="557" customWidth="1"/>
    <col min="15367" max="15367" width="1.36328125" style="557" customWidth="1"/>
    <col min="15368" max="15368" width="11.36328125" style="557" customWidth="1"/>
    <col min="15369" max="15369" width="1.36328125" style="557" customWidth="1"/>
    <col min="15370" max="15370" width="9.08984375" style="557" customWidth="1"/>
    <col min="15371" max="15371" width="1.6328125" style="557" customWidth="1"/>
    <col min="15372" max="15372" width="11" style="557" customWidth="1"/>
    <col min="15373" max="15373" width="1.36328125" style="557" customWidth="1"/>
    <col min="15374" max="15374" width="10.81640625" style="557" customWidth="1"/>
    <col min="15375" max="15375" width="1.36328125" style="557" customWidth="1"/>
    <col min="15376" max="15376" width="10" style="557" customWidth="1"/>
    <col min="15377" max="15377" width="1.36328125" style="557" customWidth="1"/>
    <col min="15378" max="15378" width="9.36328125" style="557" customWidth="1"/>
    <col min="15379" max="15379" width="1.36328125" style="557" customWidth="1"/>
    <col min="15380" max="15380" width="7.81640625" style="557" customWidth="1"/>
    <col min="15381" max="15381" width="1.36328125" style="557" customWidth="1"/>
    <col min="15382" max="15382" width="0.81640625" style="557" customWidth="1"/>
    <col min="15383" max="15383" width="9.36328125" style="557" customWidth="1"/>
    <col min="15384" max="15384" width="1.36328125" style="557" customWidth="1"/>
    <col min="15385" max="15385" width="0.90625" style="557" customWidth="1"/>
    <col min="15386" max="15386" width="9.54296875" style="557" bestFit="1" customWidth="1"/>
    <col min="15387" max="15388" width="0.6328125" style="557" customWidth="1"/>
    <col min="15389" max="15389" width="9.6328125" style="557" customWidth="1"/>
    <col min="15390" max="15390" width="1.08984375" style="557" customWidth="1"/>
    <col min="15391" max="15391" width="8.54296875" style="557" customWidth="1"/>
    <col min="15392" max="15392" width="14.54296875" style="557" customWidth="1"/>
    <col min="15393" max="15393" width="10" style="557" customWidth="1"/>
    <col min="15394" max="15394" width="7.81640625" style="557" bestFit="1" customWidth="1"/>
    <col min="15395" max="15395" width="9.90625" style="557" customWidth="1"/>
    <col min="15396" max="15612" width="8.90625" style="557"/>
    <col min="15613" max="15613" width="38.453125" style="557" customWidth="1"/>
    <col min="15614" max="15614" width="8.54296875" style="557" customWidth="1"/>
    <col min="15615" max="15615" width="1.36328125" style="557" customWidth="1"/>
    <col min="15616" max="15616" width="8.90625" style="557" customWidth="1"/>
    <col min="15617" max="15617" width="1.36328125" style="557" customWidth="1"/>
    <col min="15618" max="15618" width="9.36328125" style="557" customWidth="1"/>
    <col min="15619" max="15619" width="1.36328125" style="557" customWidth="1"/>
    <col min="15620" max="15620" width="10" style="557" customWidth="1"/>
    <col min="15621" max="15621" width="1.36328125" style="557" customWidth="1"/>
    <col min="15622" max="15622" width="9.08984375" style="557" customWidth="1"/>
    <col min="15623" max="15623" width="1.36328125" style="557" customWidth="1"/>
    <col min="15624" max="15624" width="11.36328125" style="557" customWidth="1"/>
    <col min="15625" max="15625" width="1.36328125" style="557" customWidth="1"/>
    <col min="15626" max="15626" width="9.08984375" style="557" customWidth="1"/>
    <col min="15627" max="15627" width="1.6328125" style="557" customWidth="1"/>
    <col min="15628" max="15628" width="11" style="557" customWidth="1"/>
    <col min="15629" max="15629" width="1.36328125" style="557" customWidth="1"/>
    <col min="15630" max="15630" width="10.81640625" style="557" customWidth="1"/>
    <col min="15631" max="15631" width="1.36328125" style="557" customWidth="1"/>
    <col min="15632" max="15632" width="10" style="557" customWidth="1"/>
    <col min="15633" max="15633" width="1.36328125" style="557" customWidth="1"/>
    <col min="15634" max="15634" width="9.36328125" style="557" customWidth="1"/>
    <col min="15635" max="15635" width="1.36328125" style="557" customWidth="1"/>
    <col min="15636" max="15636" width="7.81640625" style="557" customWidth="1"/>
    <col min="15637" max="15637" width="1.36328125" style="557" customWidth="1"/>
    <col min="15638" max="15638" width="0.81640625" style="557" customWidth="1"/>
    <col min="15639" max="15639" width="9.36328125" style="557" customWidth="1"/>
    <col min="15640" max="15640" width="1.36328125" style="557" customWidth="1"/>
    <col min="15641" max="15641" width="0.90625" style="557" customWidth="1"/>
    <col min="15642" max="15642" width="9.54296875" style="557" bestFit="1" customWidth="1"/>
    <col min="15643" max="15644" width="0.6328125" style="557" customWidth="1"/>
    <col min="15645" max="15645" width="9.6328125" style="557" customWidth="1"/>
    <col min="15646" max="15646" width="1.08984375" style="557" customWidth="1"/>
    <col min="15647" max="15647" width="8.54296875" style="557" customWidth="1"/>
    <col min="15648" max="15648" width="14.54296875" style="557" customWidth="1"/>
    <col min="15649" max="15649" width="10" style="557" customWidth="1"/>
    <col min="15650" max="15650" width="7.81640625" style="557" bestFit="1" customWidth="1"/>
    <col min="15651" max="15651" width="9.90625" style="557" customWidth="1"/>
    <col min="15652" max="15868" width="8.90625" style="557"/>
    <col min="15869" max="15869" width="38.453125" style="557" customWidth="1"/>
    <col min="15870" max="15870" width="8.54296875" style="557" customWidth="1"/>
    <col min="15871" max="15871" width="1.36328125" style="557" customWidth="1"/>
    <col min="15872" max="15872" width="8.90625" style="557" customWidth="1"/>
    <col min="15873" max="15873" width="1.36328125" style="557" customWidth="1"/>
    <col min="15874" max="15874" width="9.36328125" style="557" customWidth="1"/>
    <col min="15875" max="15875" width="1.36328125" style="557" customWidth="1"/>
    <col min="15876" max="15876" width="10" style="557" customWidth="1"/>
    <col min="15877" max="15877" width="1.36328125" style="557" customWidth="1"/>
    <col min="15878" max="15878" width="9.08984375" style="557" customWidth="1"/>
    <col min="15879" max="15879" width="1.36328125" style="557" customWidth="1"/>
    <col min="15880" max="15880" width="11.36328125" style="557" customWidth="1"/>
    <col min="15881" max="15881" width="1.36328125" style="557" customWidth="1"/>
    <col min="15882" max="15882" width="9.08984375" style="557" customWidth="1"/>
    <col min="15883" max="15883" width="1.6328125" style="557" customWidth="1"/>
    <col min="15884" max="15884" width="11" style="557" customWidth="1"/>
    <col min="15885" max="15885" width="1.36328125" style="557" customWidth="1"/>
    <col min="15886" max="15886" width="10.81640625" style="557" customWidth="1"/>
    <col min="15887" max="15887" width="1.36328125" style="557" customWidth="1"/>
    <col min="15888" max="15888" width="10" style="557" customWidth="1"/>
    <col min="15889" max="15889" width="1.36328125" style="557" customWidth="1"/>
    <col min="15890" max="15890" width="9.36328125" style="557" customWidth="1"/>
    <col min="15891" max="15891" width="1.36328125" style="557" customWidth="1"/>
    <col min="15892" max="15892" width="7.81640625" style="557" customWidth="1"/>
    <col min="15893" max="15893" width="1.36328125" style="557" customWidth="1"/>
    <col min="15894" max="15894" width="0.81640625" style="557" customWidth="1"/>
    <col min="15895" max="15895" width="9.36328125" style="557" customWidth="1"/>
    <col min="15896" max="15896" width="1.36328125" style="557" customWidth="1"/>
    <col min="15897" max="15897" width="0.90625" style="557" customWidth="1"/>
    <col min="15898" max="15898" width="9.54296875" style="557" bestFit="1" customWidth="1"/>
    <col min="15899" max="15900" width="0.6328125" style="557" customWidth="1"/>
    <col min="15901" max="15901" width="9.6328125" style="557" customWidth="1"/>
    <col min="15902" max="15902" width="1.08984375" style="557" customWidth="1"/>
    <col min="15903" max="15903" width="8.54296875" style="557" customWidth="1"/>
    <col min="15904" max="15904" width="14.54296875" style="557" customWidth="1"/>
    <col min="15905" max="15905" width="10" style="557" customWidth="1"/>
    <col min="15906" max="15906" width="7.81640625" style="557" bestFit="1" customWidth="1"/>
    <col min="15907" max="15907" width="9.90625" style="557" customWidth="1"/>
    <col min="15908" max="16124" width="8.90625" style="557"/>
    <col min="16125" max="16125" width="38.453125" style="557" customWidth="1"/>
    <col min="16126" max="16126" width="8.54296875" style="557" customWidth="1"/>
    <col min="16127" max="16127" width="1.36328125" style="557" customWidth="1"/>
    <col min="16128" max="16128" width="8.90625" style="557" customWidth="1"/>
    <col min="16129" max="16129" width="1.36328125" style="557" customWidth="1"/>
    <col min="16130" max="16130" width="9.36328125" style="557" customWidth="1"/>
    <col min="16131" max="16131" width="1.36328125" style="557" customWidth="1"/>
    <col min="16132" max="16132" width="10" style="557" customWidth="1"/>
    <col min="16133" max="16133" width="1.36328125" style="557" customWidth="1"/>
    <col min="16134" max="16134" width="9.08984375" style="557" customWidth="1"/>
    <col min="16135" max="16135" width="1.36328125" style="557" customWidth="1"/>
    <col min="16136" max="16136" width="11.36328125" style="557" customWidth="1"/>
    <col min="16137" max="16137" width="1.36328125" style="557" customWidth="1"/>
    <col min="16138" max="16138" width="9.08984375" style="557" customWidth="1"/>
    <col min="16139" max="16139" width="1.6328125" style="557" customWidth="1"/>
    <col min="16140" max="16140" width="11" style="557" customWidth="1"/>
    <col min="16141" max="16141" width="1.36328125" style="557" customWidth="1"/>
    <col min="16142" max="16142" width="10.81640625" style="557" customWidth="1"/>
    <col min="16143" max="16143" width="1.36328125" style="557" customWidth="1"/>
    <col min="16144" max="16144" width="10" style="557" customWidth="1"/>
    <col min="16145" max="16145" width="1.36328125" style="557" customWidth="1"/>
    <col min="16146" max="16146" width="9.36328125" style="557" customWidth="1"/>
    <col min="16147" max="16147" width="1.36328125" style="557" customWidth="1"/>
    <col min="16148" max="16148" width="7.81640625" style="557" customWidth="1"/>
    <col min="16149" max="16149" width="1.36328125" style="557" customWidth="1"/>
    <col min="16150" max="16150" width="0.81640625" style="557" customWidth="1"/>
    <col min="16151" max="16151" width="9.36328125" style="557" customWidth="1"/>
    <col min="16152" max="16152" width="1.36328125" style="557" customWidth="1"/>
    <col min="16153" max="16153" width="0.90625" style="557" customWidth="1"/>
    <col min="16154" max="16154" width="9.54296875" style="557" bestFit="1" customWidth="1"/>
    <col min="16155" max="16156" width="0.6328125" style="557" customWidth="1"/>
    <col min="16157" max="16157" width="9.6328125" style="557" customWidth="1"/>
    <col min="16158" max="16158" width="1.08984375" style="557" customWidth="1"/>
    <col min="16159" max="16159" width="8.54296875" style="557" customWidth="1"/>
    <col min="16160" max="16160" width="14.54296875" style="557" customWidth="1"/>
    <col min="16161" max="16161" width="10" style="557" customWidth="1"/>
    <col min="16162" max="16162" width="7.81640625" style="557" bestFit="1" customWidth="1"/>
    <col min="16163" max="16163" width="9.90625" style="557" customWidth="1"/>
    <col min="16164" max="16384" width="8.90625" style="557"/>
  </cols>
  <sheetData>
    <row r="1" spans="1:36" ht="15">
      <c r="A1" s="1172" t="s">
        <v>1103</v>
      </c>
    </row>
    <row r="2" spans="1:36" ht="10.5" customHeight="1">
      <c r="A2" s="555"/>
      <c r="B2" s="555"/>
      <c r="C2" s="555"/>
      <c r="D2" s="555"/>
      <c r="E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row>
    <row r="3" spans="1:36" ht="17.399999999999999">
      <c r="A3" s="558" t="s">
        <v>0</v>
      </c>
      <c r="B3" s="555"/>
      <c r="C3" s="555"/>
      <c r="D3" s="555"/>
      <c r="E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I3" s="2337" t="s">
        <v>1316</v>
      </c>
    </row>
    <row r="4" spans="1:36" ht="17.399999999999999">
      <c r="A4" s="560" t="s">
        <v>191</v>
      </c>
      <c r="B4" s="555"/>
      <c r="C4" s="555"/>
      <c r="D4" s="555"/>
      <c r="E4" s="555"/>
      <c r="G4" s="555"/>
      <c r="H4" s="555"/>
      <c r="I4" s="555"/>
      <c r="J4" s="555"/>
      <c r="K4" s="555"/>
      <c r="L4" s="555"/>
      <c r="M4" s="555"/>
      <c r="N4" s="555"/>
      <c r="O4" s="555"/>
      <c r="P4" s="555"/>
      <c r="Q4" s="555"/>
      <c r="R4" s="555"/>
      <c r="S4" s="555"/>
      <c r="T4" s="555"/>
      <c r="U4" s="555"/>
      <c r="V4" s="555"/>
      <c r="W4" s="555"/>
      <c r="X4" s="555"/>
      <c r="Y4" s="555"/>
      <c r="Z4" s="555"/>
      <c r="AC4" s="555"/>
      <c r="AD4" s="555"/>
      <c r="AE4" s="555"/>
      <c r="AF4" s="555"/>
    </row>
    <row r="5" spans="1:36" ht="17.399999999999999">
      <c r="A5" s="560" t="s">
        <v>153</v>
      </c>
      <c r="B5" s="555"/>
      <c r="C5" s="555"/>
      <c r="D5" s="555"/>
      <c r="E5" s="555"/>
      <c r="G5" s="555"/>
      <c r="H5" s="555"/>
      <c r="I5" s="555"/>
      <c r="J5" s="555"/>
      <c r="K5" s="555"/>
      <c r="L5" s="555"/>
      <c r="M5" s="555"/>
      <c r="N5" s="555"/>
      <c r="O5" s="555"/>
      <c r="P5" s="555"/>
      <c r="Q5" s="555"/>
      <c r="R5" s="555"/>
      <c r="S5" s="555"/>
      <c r="T5" s="555"/>
      <c r="U5" s="555"/>
      <c r="V5" s="555"/>
      <c r="W5" s="555"/>
      <c r="X5" s="555"/>
      <c r="Y5" s="555"/>
      <c r="Z5" s="555"/>
      <c r="AA5" s="555"/>
      <c r="AB5" s="3408"/>
      <c r="AC5" s="3409"/>
      <c r="AD5" s="3409"/>
      <c r="AE5" s="559"/>
      <c r="AF5" s="559"/>
      <c r="AG5" s="559"/>
      <c r="AH5" s="559"/>
      <c r="AI5" s="559"/>
      <c r="AJ5" s="1022"/>
    </row>
    <row r="6" spans="1:36" ht="17.399999999999999">
      <c r="A6" s="558" t="s">
        <v>1459</v>
      </c>
      <c r="B6" s="555"/>
      <c r="C6" s="555"/>
      <c r="D6" s="555"/>
      <c r="E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row>
    <row r="7" spans="1:36" ht="17.399999999999999">
      <c r="A7" s="560" t="s">
        <v>991</v>
      </c>
      <c r="B7" s="555"/>
      <c r="C7" s="555"/>
      <c r="D7" s="555"/>
      <c r="E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row>
    <row r="8" spans="1:36" ht="15.6">
      <c r="A8" s="555"/>
      <c r="B8" s="555"/>
      <c r="C8" s="555"/>
      <c r="D8" s="555"/>
      <c r="E8" s="555"/>
      <c r="G8" s="555"/>
      <c r="H8" s="555"/>
      <c r="I8" s="555"/>
      <c r="J8" s="555"/>
      <c r="K8" s="555"/>
      <c r="L8" s="555"/>
      <c r="M8" s="555"/>
      <c r="N8" s="555"/>
      <c r="O8" s="555"/>
      <c r="P8" s="555"/>
      <c r="Q8" s="555"/>
      <c r="R8" s="555"/>
      <c r="S8" s="555"/>
      <c r="T8" s="555"/>
      <c r="U8" s="555"/>
      <c r="V8" s="555"/>
      <c r="W8" s="555"/>
      <c r="X8" s="555"/>
      <c r="Y8" s="555"/>
      <c r="Z8" s="555"/>
      <c r="AA8" s="3410" t="s">
        <v>1465</v>
      </c>
      <c r="AB8" s="3411"/>
      <c r="AC8" s="3411"/>
      <c r="AD8" s="3411"/>
      <c r="AE8" s="3411"/>
      <c r="AF8" s="3411"/>
      <c r="AG8" s="3411"/>
      <c r="AH8" s="3411"/>
      <c r="AI8" s="3411"/>
    </row>
    <row r="9" spans="1:36" ht="15.6">
      <c r="A9" s="555"/>
      <c r="B9" s="1493">
        <v>2016</v>
      </c>
      <c r="C9" s="588"/>
      <c r="D9" s="588"/>
      <c r="E9" s="588"/>
      <c r="F9" s="1494"/>
      <c r="G9" s="588"/>
      <c r="H9" s="588"/>
      <c r="I9" s="588"/>
      <c r="J9" s="588"/>
      <c r="K9" s="588"/>
      <c r="L9" s="588"/>
      <c r="M9" s="588"/>
      <c r="N9" s="588"/>
      <c r="O9" s="588"/>
      <c r="P9" s="588"/>
      <c r="Q9" s="588"/>
      <c r="R9" s="588"/>
      <c r="S9" s="588"/>
      <c r="T9" s="1493">
        <v>2017</v>
      </c>
      <c r="U9" s="588"/>
      <c r="V9" s="588"/>
      <c r="W9" s="588"/>
      <c r="X9" s="563"/>
      <c r="Y9" s="588"/>
      <c r="Z9" s="588"/>
      <c r="AA9" s="588"/>
      <c r="AB9" s="588"/>
      <c r="AC9" s="588"/>
      <c r="AD9" s="588"/>
      <c r="AE9" s="1495"/>
      <c r="AF9" s="588"/>
      <c r="AG9" s="1496" t="s">
        <v>8</v>
      </c>
      <c r="AH9" s="1497"/>
      <c r="AI9" s="1498" t="s">
        <v>9</v>
      </c>
      <c r="AJ9" s="1022"/>
    </row>
    <row r="10" spans="1:36" ht="15.6">
      <c r="A10" s="555"/>
      <c r="B10" s="1460" t="s">
        <v>129</v>
      </c>
      <c r="C10" s="588"/>
      <c r="D10" s="1460" t="s">
        <v>130</v>
      </c>
      <c r="E10" s="563"/>
      <c r="F10" s="1499" t="s">
        <v>131</v>
      </c>
      <c r="G10" s="563"/>
      <c r="H10" s="1460" t="s">
        <v>132</v>
      </c>
      <c r="I10" s="563"/>
      <c r="J10" s="1460" t="s">
        <v>133</v>
      </c>
      <c r="K10" s="563"/>
      <c r="L10" s="1459" t="s">
        <v>148</v>
      </c>
      <c r="M10" s="563"/>
      <c r="N10" s="1460" t="s">
        <v>149</v>
      </c>
      <c r="O10" s="563"/>
      <c r="P10" s="1460" t="s">
        <v>136</v>
      </c>
      <c r="Q10" s="563"/>
      <c r="R10" s="1460" t="s">
        <v>137</v>
      </c>
      <c r="S10" s="588"/>
      <c r="T10" s="1460" t="s">
        <v>138</v>
      </c>
      <c r="U10" s="563"/>
      <c r="V10" s="1460" t="s">
        <v>139</v>
      </c>
      <c r="W10" s="563"/>
      <c r="X10" s="1460" t="s">
        <v>192</v>
      </c>
      <c r="Y10" s="563"/>
      <c r="Z10" s="563"/>
      <c r="AA10" s="1500">
        <v>2016</v>
      </c>
      <c r="AB10" s="563"/>
      <c r="AC10" s="563"/>
      <c r="AD10" s="1500">
        <v>2015</v>
      </c>
      <c r="AE10" s="1501"/>
      <c r="AF10" s="1501"/>
      <c r="AG10" s="1502" t="s">
        <v>13</v>
      </c>
      <c r="AH10" s="1503"/>
      <c r="AI10" s="1502" t="s">
        <v>14</v>
      </c>
      <c r="AJ10" s="1022"/>
    </row>
    <row r="11" spans="1:36" ht="3" customHeight="1">
      <c r="A11" s="555"/>
      <c r="B11" s="567"/>
      <c r="C11" s="561"/>
      <c r="D11" s="567"/>
      <c r="E11" s="565"/>
      <c r="F11" s="568"/>
      <c r="G11" s="565"/>
      <c r="H11" s="567"/>
      <c r="I11" s="565"/>
      <c r="J11" s="567"/>
      <c r="K11" s="565"/>
      <c r="L11" s="569"/>
      <c r="M11" s="565"/>
      <c r="N11" s="567"/>
      <c r="O11" s="565"/>
      <c r="P11" s="567"/>
      <c r="Q11" s="565"/>
      <c r="R11" s="567"/>
      <c r="S11" s="561"/>
      <c r="T11" s="570"/>
      <c r="U11" s="565"/>
      <c r="V11" s="567"/>
      <c r="W11" s="565"/>
      <c r="X11" s="567"/>
      <c r="Y11" s="565"/>
      <c r="Z11" s="565"/>
      <c r="AA11" s="566"/>
      <c r="AB11" s="565"/>
      <c r="AC11" s="565"/>
      <c r="AD11" s="566"/>
      <c r="AE11" s="566"/>
      <c r="AF11" s="571"/>
      <c r="AG11" s="566"/>
      <c r="AH11" s="572"/>
      <c r="AI11" s="573"/>
    </row>
    <row r="12" spans="1:36" ht="15.6">
      <c r="A12" s="574" t="s">
        <v>193</v>
      </c>
      <c r="B12" s="575">
        <v>159.69999999999999</v>
      </c>
      <c r="C12" s="575"/>
      <c r="D12" s="576"/>
      <c r="E12" s="575"/>
      <c r="F12" s="576"/>
      <c r="G12" s="575"/>
      <c r="H12" s="576"/>
      <c r="I12" s="575"/>
      <c r="J12" s="576"/>
      <c r="K12" s="575"/>
      <c r="L12" s="576"/>
      <c r="M12" s="575"/>
      <c r="N12" s="576"/>
      <c r="O12" s="575"/>
      <c r="P12" s="576"/>
      <c r="Q12" s="575"/>
      <c r="R12" s="576"/>
      <c r="S12" s="575"/>
      <c r="T12" s="576"/>
      <c r="U12" s="575"/>
      <c r="V12" s="576"/>
      <c r="W12" s="575"/>
      <c r="X12" s="577"/>
      <c r="Y12" s="578"/>
      <c r="Z12" s="575"/>
      <c r="AA12" s="575">
        <v>159.69999999999999</v>
      </c>
      <c r="AB12" s="578"/>
      <c r="AC12" s="575"/>
      <c r="AD12" s="3000">
        <v>118.7</v>
      </c>
      <c r="AE12" s="579"/>
      <c r="AF12" s="580"/>
      <c r="AG12" s="581">
        <f>ROUND(SUM(AA12-AD12),1)</f>
        <v>41</v>
      </c>
      <c r="AH12" s="582"/>
      <c r="AI12" s="583">
        <f>ROUND(SUM(AG12/AD12),3)</f>
        <v>0.34499999999999997</v>
      </c>
      <c r="AJ12" s="1022"/>
    </row>
    <row r="13" spans="1:36" ht="12.75" customHeight="1">
      <c r="A13" s="561"/>
      <c r="B13" s="561"/>
      <c r="C13" s="561"/>
      <c r="D13" s="561"/>
      <c r="E13" s="561"/>
      <c r="F13" s="562"/>
      <c r="G13" s="561"/>
      <c r="H13" s="561"/>
      <c r="I13" s="561"/>
      <c r="J13" s="561"/>
      <c r="K13" s="561"/>
      <c r="L13" s="561"/>
      <c r="M13" s="561"/>
      <c r="N13" s="561"/>
      <c r="O13" s="561"/>
      <c r="P13" s="561"/>
      <c r="Q13" s="561"/>
      <c r="R13" s="561"/>
      <c r="S13" s="561"/>
      <c r="T13" s="561"/>
      <c r="U13" s="561"/>
      <c r="V13" s="561"/>
      <c r="W13" s="561"/>
      <c r="X13" s="561"/>
      <c r="Y13" s="584"/>
      <c r="Z13" s="561"/>
      <c r="AA13" s="562"/>
      <c r="AB13" s="585"/>
      <c r="AC13" s="562"/>
      <c r="AD13" s="2998"/>
      <c r="AE13" s="566"/>
      <c r="AF13" s="586"/>
      <c r="AG13" s="587"/>
      <c r="AH13" s="572"/>
      <c r="AI13" s="573"/>
    </row>
    <row r="14" spans="1:36" ht="14.25" customHeight="1">
      <c r="A14" s="588" t="s">
        <v>15</v>
      </c>
      <c r="B14" s="561"/>
      <c r="C14" s="561"/>
      <c r="D14" s="561"/>
      <c r="E14" s="561"/>
      <c r="F14" s="562"/>
      <c r="G14" s="561"/>
      <c r="H14" s="561"/>
      <c r="I14" s="561"/>
      <c r="J14" s="561"/>
      <c r="K14" s="561"/>
      <c r="L14" s="561"/>
      <c r="M14" s="561"/>
      <c r="N14" s="561"/>
      <c r="O14" s="561"/>
      <c r="P14" s="561"/>
      <c r="Q14" s="561"/>
      <c r="R14" s="561"/>
      <c r="S14" s="561"/>
      <c r="T14" s="561"/>
      <c r="U14" s="561"/>
      <c r="V14" s="561"/>
      <c r="W14" s="561"/>
      <c r="X14" s="561"/>
      <c r="Y14" s="584"/>
      <c r="Z14" s="561"/>
      <c r="AA14" s="562"/>
      <c r="AB14" s="585"/>
      <c r="AC14" s="562"/>
      <c r="AD14" s="2998"/>
      <c r="AE14" s="566"/>
      <c r="AF14" s="586"/>
      <c r="AG14" s="587"/>
      <c r="AH14" s="572"/>
      <c r="AI14" s="573"/>
    </row>
    <row r="15" spans="1:36" ht="14.25" customHeight="1">
      <c r="A15" s="489" t="s">
        <v>1238</v>
      </c>
      <c r="B15" s="429"/>
      <c r="C15" s="429"/>
      <c r="D15" s="429"/>
      <c r="E15" s="984"/>
      <c r="F15" s="429"/>
      <c r="G15" s="984"/>
      <c r="H15" s="561"/>
      <c r="I15" s="561"/>
      <c r="J15" s="561"/>
      <c r="K15" s="561"/>
      <c r="L15" s="561"/>
      <c r="M15" s="561"/>
      <c r="N15" s="561"/>
      <c r="O15" s="561"/>
      <c r="P15" s="561"/>
      <c r="Q15" s="561"/>
      <c r="R15" s="561"/>
      <c r="S15" s="561"/>
      <c r="T15" s="561"/>
      <c r="U15" s="561"/>
      <c r="V15" s="561"/>
      <c r="W15" s="561"/>
      <c r="X15" s="561"/>
      <c r="Y15" s="2029"/>
      <c r="Z15" s="561"/>
      <c r="AA15" s="562"/>
      <c r="AB15" s="2030"/>
      <c r="AC15" s="562"/>
      <c r="AD15" s="2995"/>
      <c r="AE15" s="566"/>
      <c r="AF15" s="586"/>
      <c r="AG15" s="587"/>
      <c r="AH15" s="572"/>
      <c r="AI15" s="573"/>
    </row>
    <row r="16" spans="1:36" ht="14.25" customHeight="1">
      <c r="A16" s="2334" t="s">
        <v>1243</v>
      </c>
      <c r="B16" s="1190">
        <v>1595.9</v>
      </c>
      <c r="C16" s="1124"/>
      <c r="D16" s="1190"/>
      <c r="E16" s="1124"/>
      <c r="F16" s="1190"/>
      <c r="G16" s="223"/>
      <c r="H16" s="1190"/>
      <c r="I16" s="561"/>
      <c r="J16" s="1190"/>
      <c r="K16" s="561"/>
      <c r="L16" s="1190"/>
      <c r="M16" s="561"/>
      <c r="N16" s="1190"/>
      <c r="O16" s="561"/>
      <c r="P16" s="1190"/>
      <c r="Q16" s="561"/>
      <c r="R16" s="1190"/>
      <c r="S16" s="561"/>
      <c r="T16" s="1190"/>
      <c r="U16" s="561"/>
      <c r="V16" s="1190"/>
      <c r="W16" s="561"/>
      <c r="X16" s="1190"/>
      <c r="Y16" s="2029"/>
      <c r="Z16" s="561"/>
      <c r="AA16" s="318">
        <f>ROUND(SUM(B16:X16),1)</f>
        <v>1595.9</v>
      </c>
      <c r="AB16" s="2030"/>
      <c r="AC16" s="562"/>
      <c r="AD16" s="3008">
        <v>1679.6</v>
      </c>
      <c r="AE16" s="566"/>
      <c r="AF16" s="586"/>
      <c r="AG16" s="596">
        <f>ROUND(SUM(AA16-AD16),1)</f>
        <v>-83.7</v>
      </c>
      <c r="AH16" s="572"/>
      <c r="AI16" s="2726">
        <f>ROUND(IF(AD16=0,0,AG16/ABS(AD16)),3)</f>
        <v>-0.05</v>
      </c>
    </row>
    <row r="17" spans="1:35" ht="6" customHeight="1">
      <c r="A17" s="2334"/>
      <c r="B17" s="1190"/>
      <c r="C17" s="1124"/>
      <c r="D17" s="1190"/>
      <c r="E17" s="1124"/>
      <c r="F17" s="1190"/>
      <c r="G17" s="223"/>
      <c r="H17" s="1190"/>
      <c r="I17" s="561"/>
      <c r="J17" s="1190"/>
      <c r="K17" s="561"/>
      <c r="L17" s="1190"/>
      <c r="M17" s="561"/>
      <c r="N17" s="1190"/>
      <c r="O17" s="561"/>
      <c r="P17" s="1190"/>
      <c r="Q17" s="561"/>
      <c r="R17" s="1190"/>
      <c r="S17" s="561"/>
      <c r="T17" s="1190"/>
      <c r="U17" s="561"/>
      <c r="V17" s="1190"/>
      <c r="W17" s="561"/>
      <c r="X17" s="1190"/>
      <c r="Y17" s="2635"/>
      <c r="Z17" s="561"/>
      <c r="AA17" s="318"/>
      <c r="AB17" s="2638"/>
      <c r="AC17" s="562"/>
      <c r="AD17" s="3008"/>
      <c r="AE17" s="566"/>
      <c r="AF17" s="586"/>
      <c r="AG17" s="596"/>
      <c r="AH17" s="572"/>
      <c r="AI17" s="2726"/>
    </row>
    <row r="18" spans="1:35" ht="14.25" customHeight="1">
      <c r="A18" s="2027" t="s">
        <v>1309</v>
      </c>
      <c r="B18" s="273"/>
      <c r="C18" s="261"/>
      <c r="D18" s="273"/>
      <c r="E18" s="261"/>
      <c r="F18" s="273"/>
      <c r="G18" s="261"/>
      <c r="H18" s="273"/>
      <c r="I18" s="561"/>
      <c r="J18" s="273"/>
      <c r="K18" s="561"/>
      <c r="L18" s="273"/>
      <c r="M18" s="561"/>
      <c r="N18" s="273"/>
      <c r="O18" s="561"/>
      <c r="P18" s="273"/>
      <c r="Q18" s="561"/>
      <c r="R18" s="273"/>
      <c r="S18" s="561"/>
      <c r="T18" s="273"/>
      <c r="U18" s="561"/>
      <c r="V18" s="273"/>
      <c r="W18" s="561"/>
      <c r="X18" s="273"/>
      <c r="Y18" s="2029"/>
      <c r="Z18" s="561"/>
      <c r="AA18" s="315"/>
      <c r="AB18" s="2030"/>
      <c r="AC18" s="562"/>
      <c r="AD18" s="2994"/>
      <c r="AE18" s="566"/>
      <c r="AF18" s="586"/>
      <c r="AG18" s="587"/>
      <c r="AH18" s="572"/>
      <c r="AI18" s="2763"/>
    </row>
    <row r="19" spans="1:35" ht="14.25" customHeight="1">
      <c r="A19" s="1256" t="s">
        <v>1258</v>
      </c>
      <c r="B19" s="1124">
        <v>498.2</v>
      </c>
      <c r="C19" s="1124"/>
      <c r="D19" s="1124"/>
      <c r="E19" s="1124"/>
      <c r="F19" s="1124"/>
      <c r="G19" s="261"/>
      <c r="H19" s="1124"/>
      <c r="I19" s="561"/>
      <c r="J19" s="1124"/>
      <c r="K19" s="561"/>
      <c r="L19" s="1124"/>
      <c r="M19" s="561"/>
      <c r="N19" s="1124"/>
      <c r="O19" s="561"/>
      <c r="P19" s="1124"/>
      <c r="Q19" s="561"/>
      <c r="R19" s="1124"/>
      <c r="S19" s="561"/>
      <c r="T19" s="1124"/>
      <c r="U19" s="561"/>
      <c r="V19" s="1124"/>
      <c r="W19" s="561"/>
      <c r="X19" s="1124"/>
      <c r="Y19" s="2029"/>
      <c r="Z19" s="561"/>
      <c r="AA19" s="318">
        <f>ROUND(SUM(B19:X19),1)</f>
        <v>498.2</v>
      </c>
      <c r="AB19" s="2030"/>
      <c r="AC19" s="562"/>
      <c r="AD19" s="2992">
        <v>479.9</v>
      </c>
      <c r="AE19" s="566"/>
      <c r="AF19" s="586"/>
      <c r="AG19" s="596">
        <f>ROUND(SUM(AA19-AD19),1)</f>
        <v>18.3</v>
      </c>
      <c r="AH19" s="572"/>
      <c r="AI19" s="2726">
        <f>ROUND(IF(AD19=0,0,AG19/ABS(AD19)),3)</f>
        <v>3.7999999999999999E-2</v>
      </c>
    </row>
    <row r="20" spans="1:35" ht="14.25" customHeight="1">
      <c r="A20" s="588" t="s">
        <v>1257</v>
      </c>
      <c r="B20" s="1269">
        <f>ROUND(SUM(B19:B19),1)</f>
        <v>498.2</v>
      </c>
      <c r="C20" s="1838"/>
      <c r="D20" s="1269">
        <f>ROUND(SUM(D19:D19),1)</f>
        <v>0</v>
      </c>
      <c r="E20" s="1838"/>
      <c r="F20" s="1269">
        <f>ROUND(SUM(F19:F19),1)</f>
        <v>0</v>
      </c>
      <c r="G20" s="1838"/>
      <c r="H20" s="1269">
        <f>ROUND(SUM(H19:H19),1)</f>
        <v>0</v>
      </c>
      <c r="I20" s="561"/>
      <c r="J20" s="1269">
        <f>ROUND(SUM(J19:J19),1)</f>
        <v>0</v>
      </c>
      <c r="K20" s="561"/>
      <c r="L20" s="1269">
        <f>ROUND(SUM(L19:L19),1)</f>
        <v>0</v>
      </c>
      <c r="M20" s="561"/>
      <c r="N20" s="1269">
        <f>ROUND(SUM(N19:N19),1)</f>
        <v>0</v>
      </c>
      <c r="O20" s="561"/>
      <c r="P20" s="1269">
        <f>ROUND(SUM(P19:P19),1)</f>
        <v>0</v>
      </c>
      <c r="Q20" s="561"/>
      <c r="R20" s="1269">
        <f>ROUND(SUM(R19:R19),1)</f>
        <v>0</v>
      </c>
      <c r="S20" s="561"/>
      <c r="T20" s="1269">
        <f>ROUND(SUM(T19:T19),1)</f>
        <v>0</v>
      </c>
      <c r="U20" s="561"/>
      <c r="V20" s="1269">
        <f>ROUND(SUM(V19:V19),1)</f>
        <v>0</v>
      </c>
      <c r="W20" s="561"/>
      <c r="X20" s="1269">
        <f>ROUND(SUM(X19:X19),1)</f>
        <v>0</v>
      </c>
      <c r="Y20" s="2029"/>
      <c r="Z20" s="561"/>
      <c r="AA20" s="1269">
        <f>ROUND(SUM(AA19:AA19),1)</f>
        <v>498.2</v>
      </c>
      <c r="AB20" s="2030"/>
      <c r="AC20" s="562"/>
      <c r="AD20" s="3009">
        <f>ROUND(SUM(AD19:AD19),1)</f>
        <v>479.9</v>
      </c>
      <c r="AE20" s="566"/>
      <c r="AF20" s="586"/>
      <c r="AG20" s="2193">
        <f>ROUND(SUM(AA20-AD20),1)</f>
        <v>18.3</v>
      </c>
      <c r="AH20" s="582"/>
      <c r="AI20" s="2745">
        <f>ROUND(IF(AD20=0,0,AG20/ABS(AD20)),3)</f>
        <v>3.7999999999999999E-2</v>
      </c>
    </row>
    <row r="21" spans="1:35" ht="14.25" customHeight="1">
      <c r="A21" s="2027" t="s">
        <v>1311</v>
      </c>
      <c r="B21" s="273"/>
      <c r="C21" s="1838"/>
      <c r="D21" s="273"/>
      <c r="E21" s="1838"/>
      <c r="F21" s="273"/>
      <c r="G21" s="1838"/>
      <c r="H21" s="273"/>
      <c r="I21" s="561"/>
      <c r="J21" s="273"/>
      <c r="K21" s="561"/>
      <c r="L21" s="273"/>
      <c r="M21" s="561"/>
      <c r="N21" s="273"/>
      <c r="O21" s="561"/>
      <c r="P21" s="273"/>
      <c r="Q21" s="561"/>
      <c r="R21" s="273"/>
      <c r="S21" s="561"/>
      <c r="T21" s="273"/>
      <c r="U21" s="561"/>
      <c r="V21" s="273"/>
      <c r="W21" s="561"/>
      <c r="X21" s="273"/>
      <c r="Y21" s="2029"/>
      <c r="Z21" s="561"/>
      <c r="AA21" s="315"/>
      <c r="AB21" s="2030"/>
      <c r="AC21" s="562"/>
      <c r="AD21" s="2994"/>
      <c r="AE21" s="566"/>
      <c r="AF21" s="586"/>
      <c r="AG21" s="587"/>
      <c r="AH21" s="572"/>
      <c r="AI21" s="2763"/>
    </row>
    <row r="22" spans="1:35" ht="14.25" customHeight="1">
      <c r="A22" s="1256" t="s">
        <v>1276</v>
      </c>
      <c r="B22" s="1190">
        <v>90.4</v>
      </c>
      <c r="C22" s="1124"/>
      <c r="D22" s="1190"/>
      <c r="E22" s="1124"/>
      <c r="F22" s="1190"/>
      <c r="G22" s="1838"/>
      <c r="H22" s="1190"/>
      <c r="I22" s="561"/>
      <c r="J22" s="1190"/>
      <c r="K22" s="561"/>
      <c r="L22" s="1190"/>
      <c r="M22" s="561"/>
      <c r="N22" s="1190"/>
      <c r="O22" s="561"/>
      <c r="P22" s="1190"/>
      <c r="Q22" s="561"/>
      <c r="R22" s="1190"/>
      <c r="S22" s="561"/>
      <c r="T22" s="1190"/>
      <c r="U22" s="561"/>
      <c r="V22" s="1190"/>
      <c r="W22" s="561"/>
      <c r="X22" s="1190"/>
      <c r="Y22" s="2029"/>
      <c r="Z22" s="561"/>
      <c r="AA22" s="318">
        <f>ROUND(SUM(B22:X22),1)</f>
        <v>90.4</v>
      </c>
      <c r="AB22" s="2030"/>
      <c r="AC22" s="562"/>
      <c r="AD22" s="3008">
        <v>86.3</v>
      </c>
      <c r="AE22" s="566"/>
      <c r="AF22" s="586"/>
      <c r="AG22" s="596">
        <f>ROUND(SUM(AA22-AD22),1)</f>
        <v>4.0999999999999996</v>
      </c>
      <c r="AH22" s="572"/>
      <c r="AI22" s="2726">
        <f>ROUND(IF(AD22=0,0,AG22/ABS(AD22)),3)</f>
        <v>4.8000000000000001E-2</v>
      </c>
    </row>
    <row r="23" spans="1:35" ht="14.25" customHeight="1">
      <c r="A23" s="588" t="s">
        <v>1271</v>
      </c>
      <c r="B23" s="2301">
        <f>ROUND(SUM(B22:B22),1)</f>
        <v>90.4</v>
      </c>
      <c r="C23" s="1838"/>
      <c r="D23" s="483">
        <f>ROUND(SUM(D22:D22),1)</f>
        <v>0</v>
      </c>
      <c r="E23" s="1838"/>
      <c r="F23" s="483">
        <f>ROUND(SUM(F22:F22),1)</f>
        <v>0</v>
      </c>
      <c r="G23" s="1838"/>
      <c r="H23" s="483">
        <f>ROUND(SUM(H22:H22),1)</f>
        <v>0</v>
      </c>
      <c r="I23" s="561"/>
      <c r="J23" s="483">
        <f>ROUND(SUM(J22:J22),1)</f>
        <v>0</v>
      </c>
      <c r="K23" s="561"/>
      <c r="L23" s="483">
        <f>ROUND(SUM(L22:L22),1)</f>
        <v>0</v>
      </c>
      <c r="M23" s="561"/>
      <c r="N23" s="483">
        <f>ROUND(SUM(N22:N22),1)</f>
        <v>0</v>
      </c>
      <c r="O23" s="561"/>
      <c r="P23" s="483">
        <f>ROUND(SUM(P22:P22),1)</f>
        <v>0</v>
      </c>
      <c r="Q23" s="561"/>
      <c r="R23" s="483">
        <f>ROUND(SUM(R22:R22),1)</f>
        <v>0</v>
      </c>
      <c r="S23" s="561"/>
      <c r="T23" s="483">
        <f>ROUND(SUM(T22:T22),1)</f>
        <v>0</v>
      </c>
      <c r="U23" s="561"/>
      <c r="V23" s="483">
        <f>ROUND(SUM(V22:V22),1)</f>
        <v>0</v>
      </c>
      <c r="W23" s="561"/>
      <c r="X23" s="483">
        <f>ROUND(SUM(X22:X22),1)</f>
        <v>0</v>
      </c>
      <c r="Y23" s="2029"/>
      <c r="Z23" s="561"/>
      <c r="AA23" s="1269">
        <f>SUM(AA22:AA22)</f>
        <v>90.4</v>
      </c>
      <c r="AB23" s="2030"/>
      <c r="AC23" s="562"/>
      <c r="AD23" s="3009">
        <f>SUM(AD22:AD22)</f>
        <v>86.3</v>
      </c>
      <c r="AE23" s="566"/>
      <c r="AF23" s="586"/>
      <c r="AG23" s="2303">
        <f>ROUND(SUM(AA23-AD23),1)</f>
        <v>4.0999999999999996</v>
      </c>
      <c r="AH23" s="582"/>
      <c r="AI23" s="2764">
        <f>ROUND(IF(AD23=0,0,AG23/ABS(AD23)),3)</f>
        <v>4.8000000000000001E-2</v>
      </c>
    </row>
    <row r="24" spans="1:35" ht="14.25" customHeight="1">
      <c r="A24" s="588"/>
      <c r="B24" s="2301"/>
      <c r="C24" s="1838"/>
      <c r="D24" s="273"/>
      <c r="E24" s="1838"/>
      <c r="F24" s="273"/>
      <c r="G24" s="273"/>
      <c r="H24" s="273"/>
      <c r="I24" s="564"/>
      <c r="J24" s="273"/>
      <c r="K24" s="564"/>
      <c r="L24" s="273"/>
      <c r="M24" s="564"/>
      <c r="N24" s="273"/>
      <c r="O24" s="564"/>
      <c r="P24" s="273"/>
      <c r="Q24" s="564"/>
      <c r="R24" s="273"/>
      <c r="S24" s="564"/>
      <c r="T24" s="273"/>
      <c r="U24" s="564"/>
      <c r="V24" s="273"/>
      <c r="W24" s="564"/>
      <c r="X24" s="273"/>
      <c r="Y24" s="2029"/>
      <c r="Z24" s="561"/>
      <c r="AA24" s="315"/>
      <c r="AB24" s="2030"/>
      <c r="AC24" s="562"/>
      <c r="AD24" s="3011"/>
      <c r="AE24" s="566"/>
      <c r="AF24" s="586"/>
      <c r="AG24" s="587"/>
      <c r="AH24" s="572"/>
      <c r="AI24" s="2765"/>
    </row>
    <row r="25" spans="1:35" ht="14.25" customHeight="1">
      <c r="A25" s="588" t="s">
        <v>1272</v>
      </c>
      <c r="B25" s="615">
        <f>ROUND(SUM(B16+B20+B23),1)</f>
        <v>2184.5</v>
      </c>
      <c r="C25" s="261"/>
      <c r="D25" s="615">
        <f>ROUND(SUM(D16+D20+D23),1)</f>
        <v>0</v>
      </c>
      <c r="E25" s="261"/>
      <c r="F25" s="615">
        <f>ROUND(SUM(F16+F20+F23),1)</f>
        <v>0</v>
      </c>
      <c r="G25" s="261"/>
      <c r="H25" s="615">
        <f>ROUND(SUM(H16+H20+H23),1)</f>
        <v>0</v>
      </c>
      <c r="I25" s="561"/>
      <c r="J25" s="615">
        <f>ROUND(SUM(J16+J20+J23),1)</f>
        <v>0</v>
      </c>
      <c r="K25" s="561"/>
      <c r="L25" s="615">
        <f>ROUND(SUM(L16+L20+L23),1)</f>
        <v>0</v>
      </c>
      <c r="M25" s="561"/>
      <c r="N25" s="615">
        <f>ROUND(SUM(N16+N20+N23),1)</f>
        <v>0</v>
      </c>
      <c r="O25" s="561"/>
      <c r="P25" s="615">
        <f>ROUND(SUM(P16+P20+P23),1)</f>
        <v>0</v>
      </c>
      <c r="Q25" s="561"/>
      <c r="R25" s="615">
        <f>ROUND(SUM(R16+R20+R23),1)</f>
        <v>0</v>
      </c>
      <c r="S25" s="561"/>
      <c r="T25" s="615">
        <f>ROUND(SUM(T16+T20+T23),1)</f>
        <v>0</v>
      </c>
      <c r="U25" s="561"/>
      <c r="V25" s="615">
        <f>ROUND(SUM(V16+V20+V23),1)</f>
        <v>0</v>
      </c>
      <c r="W25" s="561"/>
      <c r="X25" s="615">
        <f>ROUND(SUM(X16+X20+X23),1)</f>
        <v>0</v>
      </c>
      <c r="Y25" s="2029"/>
      <c r="Z25" s="561"/>
      <c r="AA25" s="615">
        <f>ROUND(SUM(AA16+AA20+AA23),1)</f>
        <v>2184.5</v>
      </c>
      <c r="AB25" s="2030"/>
      <c r="AC25" s="562"/>
      <c r="AD25" s="615">
        <f>ROUND(SUM(AD16+AD20+AD23),1)</f>
        <v>2245.8000000000002</v>
      </c>
      <c r="AE25" s="566"/>
      <c r="AF25" s="586"/>
      <c r="AG25" s="615">
        <f>ROUND(SUM(AG16+AG20+AG23),1)</f>
        <v>-61.3</v>
      </c>
      <c r="AH25" s="582"/>
      <c r="AI25" s="2766">
        <f>ROUND(IF(AD25=0,0,AG25/ABS(AD25)),3)</f>
        <v>-2.7E-2</v>
      </c>
    </row>
    <row r="26" spans="1:35" ht="14.25" customHeight="1">
      <c r="A26" s="489"/>
      <c r="B26" s="261"/>
      <c r="C26" s="261"/>
      <c r="D26" s="261"/>
      <c r="E26" s="261"/>
      <c r="F26" s="261"/>
      <c r="G26" s="261"/>
      <c r="H26" s="261"/>
      <c r="I26" s="561"/>
      <c r="J26" s="261"/>
      <c r="K26" s="561"/>
      <c r="L26" s="261"/>
      <c r="M26" s="561"/>
      <c r="N26" s="261"/>
      <c r="O26" s="561"/>
      <c r="P26" s="261"/>
      <c r="Q26" s="561"/>
      <c r="R26" s="261"/>
      <c r="S26" s="561"/>
      <c r="T26" s="261"/>
      <c r="U26" s="561"/>
      <c r="V26" s="261"/>
      <c r="W26" s="561"/>
      <c r="X26" s="261"/>
      <c r="Y26" s="2029"/>
      <c r="Z26" s="561"/>
      <c r="AA26" s="562"/>
      <c r="AB26" s="2030"/>
      <c r="AC26" s="562"/>
      <c r="AD26" s="2993"/>
      <c r="AE26" s="566"/>
      <c r="AF26" s="586"/>
      <c r="AG26" s="587"/>
      <c r="AH26" s="572"/>
      <c r="AI26" s="2763"/>
    </row>
    <row r="27" spans="1:35" ht="14.25" customHeight="1">
      <c r="A27" s="489" t="s">
        <v>1173</v>
      </c>
      <c r="B27" s="598"/>
      <c r="C27" s="591"/>
      <c r="D27" s="591"/>
      <c r="E27" s="591"/>
      <c r="F27" s="591"/>
      <c r="G27" s="591"/>
      <c r="H27" s="591"/>
      <c r="I27" s="591"/>
      <c r="J27" s="591"/>
      <c r="K27" s="591"/>
      <c r="L27" s="591"/>
      <c r="M27" s="591"/>
      <c r="N27" s="591"/>
      <c r="O27" s="591"/>
      <c r="P27" s="591"/>
      <c r="Q27" s="591"/>
      <c r="R27" s="591"/>
      <c r="S27" s="591"/>
      <c r="T27" s="591"/>
      <c r="U27" s="591"/>
      <c r="V27" s="591"/>
      <c r="W27" s="591"/>
      <c r="X27" s="591"/>
      <c r="Y27" s="1932"/>
      <c r="Z27" s="591"/>
      <c r="AA27" s="590"/>
      <c r="AB27" s="1932"/>
      <c r="AC27" s="591"/>
      <c r="AD27" s="3003"/>
      <c r="AE27" s="594"/>
      <c r="AF27" s="595"/>
      <c r="AG27" s="596"/>
      <c r="AH27" s="572"/>
      <c r="AI27" s="2767"/>
    </row>
    <row r="28" spans="1:35" ht="14.25" customHeight="1">
      <c r="A28" s="1784" t="s">
        <v>1302</v>
      </c>
      <c r="B28" s="598"/>
      <c r="C28" s="591"/>
      <c r="D28" s="591"/>
      <c r="E28" s="591"/>
      <c r="F28" s="591"/>
      <c r="G28" s="591"/>
      <c r="H28" s="591"/>
      <c r="I28" s="591"/>
      <c r="J28" s="591"/>
      <c r="K28" s="591"/>
      <c r="L28" s="591"/>
      <c r="M28" s="591"/>
      <c r="N28" s="591"/>
      <c r="O28" s="591"/>
      <c r="P28" s="591"/>
      <c r="Q28" s="591"/>
      <c r="R28" s="591"/>
      <c r="S28" s="591"/>
      <c r="T28" s="591"/>
      <c r="U28" s="591"/>
      <c r="V28" s="591"/>
      <c r="W28" s="591"/>
      <c r="X28" s="591"/>
      <c r="Y28" s="2808"/>
      <c r="Z28" s="591"/>
      <c r="AA28" s="590"/>
      <c r="AB28" s="2808"/>
      <c r="AC28" s="591"/>
      <c r="AD28" s="3003"/>
      <c r="AE28" s="594"/>
      <c r="AF28" s="595"/>
      <c r="AG28" s="596"/>
      <c r="AH28" s="572"/>
      <c r="AI28" s="2767"/>
    </row>
    <row r="29" spans="1:35" ht="14.25" customHeight="1">
      <c r="A29" s="1784" t="s">
        <v>1177</v>
      </c>
      <c r="B29" s="598">
        <v>0</v>
      </c>
      <c r="C29" s="591"/>
      <c r="D29" s="591"/>
      <c r="E29" s="591"/>
      <c r="F29" s="591"/>
      <c r="G29" s="591"/>
      <c r="H29" s="591"/>
      <c r="I29" s="591"/>
      <c r="J29" s="591"/>
      <c r="K29" s="591"/>
      <c r="L29" s="591"/>
      <c r="M29" s="591"/>
      <c r="N29" s="591"/>
      <c r="O29" s="591"/>
      <c r="P29" s="591"/>
      <c r="Q29" s="591"/>
      <c r="R29" s="591"/>
      <c r="S29" s="591"/>
      <c r="T29" s="591"/>
      <c r="U29" s="591"/>
      <c r="V29" s="591"/>
      <c r="W29" s="591"/>
      <c r="X29" s="591"/>
      <c r="Y29" s="2808"/>
      <c r="Z29" s="591"/>
      <c r="AA29" s="590">
        <f t="shared" ref="AA29:AA36" si="0">ROUND(SUM(B29:X29),1)</f>
        <v>0</v>
      </c>
      <c r="AB29" s="2808"/>
      <c r="AC29" s="591"/>
      <c r="AD29" s="3003">
        <v>0</v>
      </c>
      <c r="AE29" s="594"/>
      <c r="AF29" s="595"/>
      <c r="AG29" s="596">
        <f>ROUND(SUM(AA29-AD29),1)</f>
        <v>0</v>
      </c>
      <c r="AH29" s="572"/>
      <c r="AI29" s="2726">
        <f>ROUND(IF(AD29=0,0,AG29/ABS(AD29)),3)</f>
        <v>0</v>
      </c>
    </row>
    <row r="30" spans="1:35" ht="14.25" customHeight="1">
      <c r="A30" s="1784" t="s">
        <v>1307</v>
      </c>
      <c r="B30" s="598"/>
      <c r="C30" s="591"/>
      <c r="D30" s="591"/>
      <c r="E30" s="591"/>
      <c r="F30" s="591"/>
      <c r="G30" s="591"/>
      <c r="H30" s="591"/>
      <c r="I30" s="591"/>
      <c r="J30" s="591"/>
      <c r="K30" s="591"/>
      <c r="L30" s="591"/>
      <c r="M30" s="591"/>
      <c r="N30" s="591"/>
      <c r="O30" s="591"/>
      <c r="P30" s="591"/>
      <c r="Q30" s="591"/>
      <c r="R30" s="591"/>
      <c r="S30" s="591"/>
      <c r="T30" s="591"/>
      <c r="U30" s="591"/>
      <c r="V30" s="591"/>
      <c r="W30" s="591"/>
      <c r="X30" s="591"/>
      <c r="Y30" s="2633"/>
      <c r="Z30" s="591"/>
      <c r="AA30" s="590"/>
      <c r="AB30" s="2633"/>
      <c r="AC30" s="591"/>
      <c r="AD30" s="3003"/>
      <c r="AE30" s="594"/>
      <c r="AF30" s="595"/>
      <c r="AG30" s="596"/>
      <c r="AH30" s="572"/>
      <c r="AI30" s="2767"/>
    </row>
    <row r="31" spans="1:35" ht="14.25" customHeight="1">
      <c r="A31" s="1784" t="s">
        <v>1180</v>
      </c>
      <c r="B31" s="598">
        <v>0</v>
      </c>
      <c r="C31" s="591"/>
      <c r="D31" s="598"/>
      <c r="E31" s="591"/>
      <c r="F31" s="598"/>
      <c r="G31" s="591"/>
      <c r="H31" s="598"/>
      <c r="I31" s="591"/>
      <c r="J31" s="598"/>
      <c r="K31" s="591"/>
      <c r="L31" s="598"/>
      <c r="M31" s="591"/>
      <c r="N31" s="598"/>
      <c r="O31" s="591"/>
      <c r="P31" s="598"/>
      <c r="Q31" s="591"/>
      <c r="R31" s="598"/>
      <c r="S31" s="591"/>
      <c r="T31" s="598"/>
      <c r="U31" s="591"/>
      <c r="V31" s="598"/>
      <c r="W31" s="591"/>
      <c r="X31" s="598"/>
      <c r="Y31" s="2633"/>
      <c r="Z31" s="591"/>
      <c r="AA31" s="590">
        <f t="shared" si="0"/>
        <v>0</v>
      </c>
      <c r="AB31" s="2633"/>
      <c r="AC31" s="591"/>
      <c r="AD31" s="3003">
        <v>0</v>
      </c>
      <c r="AE31" s="594"/>
      <c r="AF31" s="595"/>
      <c r="AG31" s="596">
        <f t="shared" ref="AG31:AG39" si="1">ROUND(SUM(AA31-AD31),1)</f>
        <v>0</v>
      </c>
      <c r="AH31" s="572"/>
      <c r="AI31" s="2726">
        <f t="shared" ref="AI31:AI39" si="2">ROUND(IF(AD31=0,0,AG31/ABS(AD31)),3)</f>
        <v>0</v>
      </c>
    </row>
    <row r="32" spans="1:35" ht="14.25" customHeight="1">
      <c r="A32" s="1784" t="s">
        <v>1181</v>
      </c>
      <c r="B32" s="598">
        <v>0</v>
      </c>
      <c r="C32" s="591"/>
      <c r="D32" s="598"/>
      <c r="E32" s="591"/>
      <c r="F32" s="598"/>
      <c r="G32" s="591"/>
      <c r="H32" s="598"/>
      <c r="I32" s="591"/>
      <c r="J32" s="598"/>
      <c r="K32" s="591"/>
      <c r="L32" s="598"/>
      <c r="M32" s="591"/>
      <c r="N32" s="598"/>
      <c r="O32" s="591"/>
      <c r="P32" s="598"/>
      <c r="Q32" s="591"/>
      <c r="R32" s="598"/>
      <c r="S32" s="591"/>
      <c r="T32" s="598"/>
      <c r="U32" s="591"/>
      <c r="V32" s="598"/>
      <c r="W32" s="591"/>
      <c r="X32" s="598"/>
      <c r="Y32" s="2633"/>
      <c r="Z32" s="591"/>
      <c r="AA32" s="590">
        <f t="shared" si="0"/>
        <v>0</v>
      </c>
      <c r="AB32" s="2633"/>
      <c r="AC32" s="591"/>
      <c r="AD32" s="3003">
        <v>0</v>
      </c>
      <c r="AE32" s="594"/>
      <c r="AF32" s="595"/>
      <c r="AG32" s="596">
        <f t="shared" si="1"/>
        <v>0</v>
      </c>
      <c r="AH32" s="572"/>
      <c r="AI32" s="2726">
        <f t="shared" si="2"/>
        <v>0</v>
      </c>
    </row>
    <row r="33" spans="1:36" ht="14.25" customHeight="1">
      <c r="A33" s="1784" t="s">
        <v>1182</v>
      </c>
      <c r="B33" s="598">
        <v>0</v>
      </c>
      <c r="C33" s="591"/>
      <c r="D33" s="598"/>
      <c r="E33" s="591"/>
      <c r="F33" s="598"/>
      <c r="G33" s="591"/>
      <c r="H33" s="598"/>
      <c r="I33" s="591"/>
      <c r="J33" s="598"/>
      <c r="K33" s="591"/>
      <c r="L33" s="598"/>
      <c r="M33" s="591"/>
      <c r="N33" s="598"/>
      <c r="O33" s="591"/>
      <c r="P33" s="598"/>
      <c r="Q33" s="591"/>
      <c r="R33" s="598"/>
      <c r="S33" s="591"/>
      <c r="T33" s="598"/>
      <c r="U33" s="591"/>
      <c r="V33" s="598"/>
      <c r="W33" s="591"/>
      <c r="X33" s="598"/>
      <c r="Y33" s="2633"/>
      <c r="Z33" s="591"/>
      <c r="AA33" s="590">
        <f t="shared" si="0"/>
        <v>0</v>
      </c>
      <c r="AB33" s="2633"/>
      <c r="AC33" s="591"/>
      <c r="AD33" s="3003">
        <v>0</v>
      </c>
      <c r="AE33" s="594"/>
      <c r="AF33" s="595"/>
      <c r="AG33" s="596">
        <f t="shared" si="1"/>
        <v>0</v>
      </c>
      <c r="AH33" s="572"/>
      <c r="AI33" s="2726">
        <f t="shared" si="2"/>
        <v>0</v>
      </c>
    </row>
    <row r="34" spans="1:36" ht="14.25" customHeight="1">
      <c r="A34" s="1784" t="s">
        <v>1183</v>
      </c>
      <c r="B34" s="598">
        <v>0</v>
      </c>
      <c r="C34" s="591"/>
      <c r="D34" s="598"/>
      <c r="E34" s="591"/>
      <c r="F34" s="598"/>
      <c r="G34" s="591"/>
      <c r="H34" s="598"/>
      <c r="I34" s="591"/>
      <c r="J34" s="598"/>
      <c r="K34" s="591"/>
      <c r="L34" s="598"/>
      <c r="M34" s="591"/>
      <c r="N34" s="598"/>
      <c r="O34" s="591"/>
      <c r="P34" s="598"/>
      <c r="Q34" s="591"/>
      <c r="R34" s="598"/>
      <c r="S34" s="591"/>
      <c r="T34" s="598"/>
      <c r="U34" s="591"/>
      <c r="V34" s="598"/>
      <c r="W34" s="591"/>
      <c r="X34" s="598"/>
      <c r="Y34" s="2633"/>
      <c r="Z34" s="591"/>
      <c r="AA34" s="590">
        <f t="shared" si="0"/>
        <v>0</v>
      </c>
      <c r="AB34" s="2633"/>
      <c r="AC34" s="591"/>
      <c r="AD34" s="3003">
        <v>0</v>
      </c>
      <c r="AE34" s="594"/>
      <c r="AF34" s="595"/>
      <c r="AG34" s="596">
        <f t="shared" si="1"/>
        <v>0</v>
      </c>
      <c r="AH34" s="572"/>
      <c r="AI34" s="2726">
        <f t="shared" si="2"/>
        <v>0</v>
      </c>
    </row>
    <row r="35" spans="1:36" ht="14.25" customHeight="1">
      <c r="A35" s="1784" t="s">
        <v>1184</v>
      </c>
      <c r="B35" s="598">
        <v>0</v>
      </c>
      <c r="C35" s="591"/>
      <c r="D35" s="598"/>
      <c r="E35" s="591"/>
      <c r="F35" s="598"/>
      <c r="G35" s="591"/>
      <c r="H35" s="598"/>
      <c r="I35" s="591"/>
      <c r="J35" s="598"/>
      <c r="K35" s="591"/>
      <c r="L35" s="598"/>
      <c r="M35" s="591"/>
      <c r="N35" s="598"/>
      <c r="O35" s="591"/>
      <c r="P35" s="598"/>
      <c r="Q35" s="591"/>
      <c r="R35" s="598"/>
      <c r="S35" s="591"/>
      <c r="T35" s="598"/>
      <c r="U35" s="591"/>
      <c r="V35" s="598"/>
      <c r="W35" s="591"/>
      <c r="X35" s="598"/>
      <c r="Y35" s="2633"/>
      <c r="Z35" s="591"/>
      <c r="AA35" s="590">
        <f t="shared" si="0"/>
        <v>0</v>
      </c>
      <c r="AB35" s="2633"/>
      <c r="AC35" s="591"/>
      <c r="AD35" s="3003">
        <v>0</v>
      </c>
      <c r="AE35" s="594"/>
      <c r="AF35" s="595"/>
      <c r="AG35" s="596">
        <f t="shared" si="1"/>
        <v>0</v>
      </c>
      <c r="AH35" s="572"/>
      <c r="AI35" s="2726">
        <f t="shared" si="2"/>
        <v>0</v>
      </c>
    </row>
    <row r="36" spans="1:36" ht="14.25" customHeight="1">
      <c r="A36" s="1784" t="s">
        <v>1185</v>
      </c>
      <c r="B36" s="598">
        <v>0</v>
      </c>
      <c r="C36" s="591"/>
      <c r="D36" s="598"/>
      <c r="E36" s="591"/>
      <c r="F36" s="598"/>
      <c r="G36" s="591"/>
      <c r="H36" s="598"/>
      <c r="I36" s="591"/>
      <c r="J36" s="598"/>
      <c r="K36" s="591"/>
      <c r="L36" s="598"/>
      <c r="M36" s="591"/>
      <c r="N36" s="598"/>
      <c r="O36" s="591"/>
      <c r="P36" s="598"/>
      <c r="Q36" s="591"/>
      <c r="R36" s="598"/>
      <c r="S36" s="591"/>
      <c r="T36" s="598"/>
      <c r="U36" s="591"/>
      <c r="V36" s="598"/>
      <c r="W36" s="591"/>
      <c r="X36" s="598"/>
      <c r="Y36" s="2633"/>
      <c r="Z36" s="591"/>
      <c r="AA36" s="590">
        <f t="shared" si="0"/>
        <v>0</v>
      </c>
      <c r="AB36" s="2633"/>
      <c r="AC36" s="591"/>
      <c r="AD36" s="3003">
        <v>0</v>
      </c>
      <c r="AE36" s="594"/>
      <c r="AF36" s="595"/>
      <c r="AG36" s="596">
        <f t="shared" si="1"/>
        <v>0</v>
      </c>
      <c r="AH36" s="572"/>
      <c r="AI36" s="2726">
        <f t="shared" si="2"/>
        <v>0</v>
      </c>
    </row>
    <row r="37" spans="1:36" ht="14.25" customHeight="1">
      <c r="A37" s="1784" t="s">
        <v>1175</v>
      </c>
      <c r="B37" s="598">
        <v>0</v>
      </c>
      <c r="C37" s="591"/>
      <c r="D37" s="598"/>
      <c r="E37" s="591"/>
      <c r="F37" s="598"/>
      <c r="G37" s="591"/>
      <c r="H37" s="598"/>
      <c r="I37" s="591"/>
      <c r="J37" s="598"/>
      <c r="K37" s="591"/>
      <c r="L37" s="598"/>
      <c r="M37" s="591"/>
      <c r="N37" s="598"/>
      <c r="O37" s="591"/>
      <c r="P37" s="598"/>
      <c r="Q37" s="591"/>
      <c r="R37" s="598"/>
      <c r="S37" s="591"/>
      <c r="T37" s="598"/>
      <c r="U37" s="591"/>
      <c r="V37" s="598"/>
      <c r="W37" s="591"/>
      <c r="X37" s="598"/>
      <c r="Y37" s="1932"/>
      <c r="Z37" s="591"/>
      <c r="AA37" s="590">
        <f>ROUND(SUM(B37:X37),1)</f>
        <v>0</v>
      </c>
      <c r="AB37" s="1932"/>
      <c r="AC37" s="591"/>
      <c r="AD37" s="3003">
        <v>0</v>
      </c>
      <c r="AE37" s="594"/>
      <c r="AF37" s="595"/>
      <c r="AG37" s="596">
        <f t="shared" si="1"/>
        <v>0</v>
      </c>
      <c r="AH37" s="572"/>
      <c r="AI37" s="2726">
        <f t="shared" si="2"/>
        <v>0</v>
      </c>
    </row>
    <row r="38" spans="1:36" ht="14.25" customHeight="1">
      <c r="A38" s="1784" t="s">
        <v>1193</v>
      </c>
      <c r="B38" s="598">
        <v>0</v>
      </c>
      <c r="C38" s="591"/>
      <c r="D38" s="598"/>
      <c r="E38" s="591"/>
      <c r="F38" s="598"/>
      <c r="G38" s="591"/>
      <c r="H38" s="598"/>
      <c r="I38" s="591"/>
      <c r="J38" s="598"/>
      <c r="K38" s="591"/>
      <c r="L38" s="598"/>
      <c r="M38" s="591"/>
      <c r="N38" s="598"/>
      <c r="O38" s="591"/>
      <c r="P38" s="598"/>
      <c r="Q38" s="591"/>
      <c r="R38" s="598"/>
      <c r="S38" s="591"/>
      <c r="T38" s="598"/>
      <c r="U38" s="591"/>
      <c r="V38" s="598"/>
      <c r="W38" s="591"/>
      <c r="X38" s="598"/>
      <c r="Y38" s="1932"/>
      <c r="Z38" s="591"/>
      <c r="AA38" s="590">
        <f>ROUND(SUM(B38:X38),1)</f>
        <v>0</v>
      </c>
      <c r="AB38" s="1932"/>
      <c r="AC38" s="591"/>
      <c r="AD38" s="3003">
        <v>0</v>
      </c>
      <c r="AE38" s="594"/>
      <c r="AF38" s="595"/>
      <c r="AG38" s="596">
        <f t="shared" si="1"/>
        <v>0</v>
      </c>
      <c r="AH38" s="572"/>
      <c r="AI38" s="45">
        <f t="shared" si="2"/>
        <v>0</v>
      </c>
    </row>
    <row r="39" spans="1:36" ht="14.25" customHeight="1">
      <c r="A39" s="1784" t="s">
        <v>1194</v>
      </c>
      <c r="B39" s="598">
        <v>0</v>
      </c>
      <c r="C39" s="591"/>
      <c r="D39" s="598"/>
      <c r="E39" s="591"/>
      <c r="F39" s="598"/>
      <c r="G39" s="591"/>
      <c r="H39" s="598"/>
      <c r="I39" s="591"/>
      <c r="J39" s="598"/>
      <c r="K39" s="591"/>
      <c r="L39" s="598"/>
      <c r="M39" s="591"/>
      <c r="N39" s="598"/>
      <c r="O39" s="591"/>
      <c r="P39" s="598"/>
      <c r="Q39" s="591"/>
      <c r="R39" s="598"/>
      <c r="S39" s="591"/>
      <c r="T39" s="598"/>
      <c r="U39" s="591"/>
      <c r="V39" s="598"/>
      <c r="W39" s="591"/>
      <c r="X39" s="598"/>
      <c r="Y39" s="1932"/>
      <c r="Z39" s="591"/>
      <c r="AA39" s="590">
        <f>ROUND(SUM(B39:X39),1)</f>
        <v>0</v>
      </c>
      <c r="AB39" s="1932"/>
      <c r="AC39" s="591"/>
      <c r="AD39" s="3003">
        <v>0</v>
      </c>
      <c r="AE39" s="594"/>
      <c r="AF39" s="595"/>
      <c r="AG39" s="596">
        <f t="shared" si="1"/>
        <v>0</v>
      </c>
      <c r="AH39" s="572"/>
      <c r="AI39" s="45">
        <f t="shared" si="2"/>
        <v>0</v>
      </c>
    </row>
    <row r="40" spans="1:36" ht="14.25" customHeight="1">
      <c r="A40" s="1784" t="s">
        <v>1306</v>
      </c>
      <c r="B40" s="598"/>
      <c r="C40" s="591"/>
      <c r="D40" s="598"/>
      <c r="E40" s="591"/>
      <c r="F40" s="598"/>
      <c r="G40" s="591"/>
      <c r="H40" s="598"/>
      <c r="I40" s="591"/>
      <c r="J40" s="598"/>
      <c r="K40" s="591"/>
      <c r="L40" s="598"/>
      <c r="M40" s="591"/>
      <c r="N40" s="598"/>
      <c r="O40" s="591"/>
      <c r="P40" s="598"/>
      <c r="Q40" s="591"/>
      <c r="R40" s="598"/>
      <c r="S40" s="591"/>
      <c r="T40" s="598"/>
      <c r="U40" s="591"/>
      <c r="V40" s="598"/>
      <c r="W40" s="591"/>
      <c r="X40" s="598"/>
      <c r="Y40" s="1932"/>
      <c r="Z40" s="591"/>
      <c r="AA40" s="590"/>
      <c r="AB40" s="1932"/>
      <c r="AC40" s="591"/>
      <c r="AD40" s="3003"/>
      <c r="AE40" s="594"/>
      <c r="AF40" s="595"/>
      <c r="AG40" s="596"/>
      <c r="AH40" s="572"/>
      <c r="AI40" s="597"/>
    </row>
    <row r="41" spans="1:36" ht="14.25" customHeight="1">
      <c r="A41" s="1784" t="s">
        <v>1405</v>
      </c>
      <c r="B41" s="598">
        <v>10.7</v>
      </c>
      <c r="C41" s="591"/>
      <c r="D41" s="598"/>
      <c r="E41" s="591"/>
      <c r="F41" s="598"/>
      <c r="G41" s="591"/>
      <c r="H41" s="598"/>
      <c r="I41" s="591"/>
      <c r="J41" s="598"/>
      <c r="K41" s="591"/>
      <c r="L41" s="598"/>
      <c r="M41" s="591"/>
      <c r="N41" s="598"/>
      <c r="O41" s="591"/>
      <c r="P41" s="598"/>
      <c r="Q41" s="591"/>
      <c r="R41" s="598"/>
      <c r="S41" s="591"/>
      <c r="T41" s="598"/>
      <c r="U41" s="591"/>
      <c r="V41" s="598"/>
      <c r="W41" s="591"/>
      <c r="X41" s="598"/>
      <c r="Y41" s="1932"/>
      <c r="Z41" s="591"/>
      <c r="AA41" s="590">
        <f>ROUND(SUM(B41:X41),1)</f>
        <v>10.7</v>
      </c>
      <c r="AB41" s="1932"/>
      <c r="AC41" s="591"/>
      <c r="AD41" s="3003">
        <v>-8.3000000000000007</v>
      </c>
      <c r="AE41" s="594"/>
      <c r="AF41" s="595"/>
      <c r="AG41" s="596">
        <f>ROUND(SUM(AA41-AD41),1)</f>
        <v>19</v>
      </c>
      <c r="AH41" s="572"/>
      <c r="AI41" s="45">
        <f>ROUND(IF(AD41=0,0,AG41/ABS(AD41)),3)</f>
        <v>2.2890000000000001</v>
      </c>
    </row>
    <row r="42" spans="1:36" ht="14.25" customHeight="1">
      <c r="A42" s="1784" t="s">
        <v>1204</v>
      </c>
      <c r="B42" s="598">
        <v>0</v>
      </c>
      <c r="C42" s="591"/>
      <c r="D42" s="598"/>
      <c r="E42" s="591"/>
      <c r="F42" s="598"/>
      <c r="G42" s="591"/>
      <c r="H42" s="598"/>
      <c r="I42" s="591"/>
      <c r="J42" s="598"/>
      <c r="K42" s="591"/>
      <c r="L42" s="598"/>
      <c r="M42" s="591"/>
      <c r="N42" s="598"/>
      <c r="O42" s="591"/>
      <c r="P42" s="598"/>
      <c r="Q42" s="591"/>
      <c r="R42" s="598"/>
      <c r="S42" s="591"/>
      <c r="T42" s="598"/>
      <c r="U42" s="591"/>
      <c r="V42" s="598"/>
      <c r="W42" s="591"/>
      <c r="X42" s="598"/>
      <c r="Y42" s="2808"/>
      <c r="Z42" s="591"/>
      <c r="AA42" s="590">
        <f>ROUND(SUM(B42:X42),1)</f>
        <v>0</v>
      </c>
      <c r="AB42" s="2808"/>
      <c r="AC42" s="591"/>
      <c r="AD42" s="3003">
        <v>0</v>
      </c>
      <c r="AE42" s="594"/>
      <c r="AF42" s="595"/>
      <c r="AG42" s="596">
        <f>ROUND(SUM(AA42-AD42),1)</f>
        <v>0</v>
      </c>
      <c r="AH42" s="572"/>
      <c r="AI42" s="2726">
        <f>ROUND(IF(AD42=0,0,AG42/ABS(AD42)),3)</f>
        <v>0</v>
      </c>
    </row>
    <row r="43" spans="1:36" s="607" customFormat="1" ht="15.6">
      <c r="A43" s="588" t="s">
        <v>1240</v>
      </c>
      <c r="B43" s="256">
        <f>ROUND(SUM(B29:B42),1)</f>
        <v>10.7</v>
      </c>
      <c r="C43" s="2033"/>
      <c r="D43" s="256">
        <f>ROUND(SUM(D29:D42),1)</f>
        <v>0</v>
      </c>
      <c r="E43" s="2033"/>
      <c r="F43" s="256">
        <f>ROUND(SUM(F29:F42),1)</f>
        <v>0</v>
      </c>
      <c r="G43" s="2033"/>
      <c r="H43" s="256">
        <f>ROUND(SUM(H29:H42),1)</f>
        <v>0</v>
      </c>
      <c r="I43" s="602"/>
      <c r="J43" s="256">
        <f>ROUND(SUM(J29:J42),1)</f>
        <v>0</v>
      </c>
      <c r="K43" s="602"/>
      <c r="L43" s="256">
        <f>ROUND(SUM(L29:L42),1)</f>
        <v>0</v>
      </c>
      <c r="M43" s="602"/>
      <c r="N43" s="256">
        <f>ROUND(SUM(N29:N42),1)</f>
        <v>0</v>
      </c>
      <c r="O43" s="602"/>
      <c r="P43" s="256">
        <f>ROUND(SUM(P29:P42),1)</f>
        <v>0</v>
      </c>
      <c r="Q43" s="602"/>
      <c r="R43" s="256">
        <f>ROUND(SUM(R29:R42),1)</f>
        <v>0</v>
      </c>
      <c r="S43" s="602"/>
      <c r="T43" s="256">
        <f>ROUND(SUM(T29:T42),1)</f>
        <v>0</v>
      </c>
      <c r="U43" s="602"/>
      <c r="V43" s="256">
        <f>ROUND(SUM(V29:V42),1)</f>
        <v>0</v>
      </c>
      <c r="W43" s="602"/>
      <c r="X43" s="256">
        <f>ROUND(SUM(X29:X42),1)</f>
        <v>0</v>
      </c>
      <c r="Y43" s="604"/>
      <c r="Z43" s="602"/>
      <c r="AA43" s="526">
        <f>ROUND(SUM(AA29:AA42),1)</f>
        <v>10.7</v>
      </c>
      <c r="AB43" s="604"/>
      <c r="AC43" s="602"/>
      <c r="AD43" s="526">
        <f>ROUND(SUM(AD29:AD42),1)</f>
        <v>-8.3000000000000007</v>
      </c>
      <c r="AE43" s="605"/>
      <c r="AF43" s="606"/>
      <c r="AG43" s="256">
        <f>ROUND(SUM(AG29:AG42),1)</f>
        <v>19</v>
      </c>
      <c r="AH43" s="582"/>
      <c r="AI43" s="72">
        <f>ROUND(IF(AD43=0,0,AG43/ABS(AD43)),3)</f>
        <v>2.2890000000000001</v>
      </c>
      <c r="AJ43" s="1022"/>
    </row>
    <row r="44" spans="1:36" s="607" customFormat="1" ht="14.25" customHeight="1">
      <c r="A44" s="588"/>
      <c r="B44" s="273"/>
      <c r="C44" s="2033"/>
      <c r="D44" s="273"/>
      <c r="E44" s="2033"/>
      <c r="F44" s="273"/>
      <c r="G44" s="2033"/>
      <c r="H44" s="273"/>
      <c r="I44" s="602"/>
      <c r="J44" s="273"/>
      <c r="K44" s="602"/>
      <c r="L44" s="273"/>
      <c r="M44" s="602"/>
      <c r="N44" s="273"/>
      <c r="O44" s="602"/>
      <c r="P44" s="273"/>
      <c r="Q44" s="602"/>
      <c r="R44" s="273"/>
      <c r="S44" s="602"/>
      <c r="T44" s="273"/>
      <c r="U44" s="602"/>
      <c r="V44" s="273"/>
      <c r="W44" s="602"/>
      <c r="X44" s="273"/>
      <c r="Y44" s="2032"/>
      <c r="Z44" s="602"/>
      <c r="AA44" s="2035"/>
      <c r="AB44" s="2032"/>
      <c r="AC44" s="602"/>
      <c r="AD44" s="2994"/>
      <c r="AE44" s="605"/>
      <c r="AF44" s="606"/>
      <c r="AG44" s="2033"/>
      <c r="AH44" s="582"/>
      <c r="AI44" s="583"/>
      <c r="AJ44" s="1022"/>
    </row>
    <row r="45" spans="1:36" ht="15">
      <c r="A45" s="1568" t="s">
        <v>1060</v>
      </c>
      <c r="B45" s="2036">
        <v>0</v>
      </c>
      <c r="C45" s="596"/>
      <c r="D45" s="2036"/>
      <c r="E45" s="596"/>
      <c r="F45" s="2036"/>
      <c r="G45" s="591"/>
      <c r="H45" s="2036"/>
      <c r="I45" s="591"/>
      <c r="J45" s="2036"/>
      <c r="K45" s="591"/>
      <c r="L45" s="2036"/>
      <c r="M45" s="591"/>
      <c r="N45" s="2036"/>
      <c r="O45" s="591"/>
      <c r="P45" s="2036"/>
      <c r="Q45" s="591"/>
      <c r="R45" s="2036"/>
      <c r="S45" s="591"/>
      <c r="T45" s="2036"/>
      <c r="U45" s="591"/>
      <c r="V45" s="2036"/>
      <c r="W45" s="591"/>
      <c r="X45" s="2036"/>
      <c r="Y45" s="593"/>
      <c r="Z45" s="591"/>
      <c r="AA45" s="599">
        <f>ROUND(SUM(B45:X45),1)</f>
        <v>0</v>
      </c>
      <c r="AB45" s="593"/>
      <c r="AC45" s="591"/>
      <c r="AD45" s="3004">
        <v>0</v>
      </c>
      <c r="AE45" s="594"/>
      <c r="AF45" s="595"/>
      <c r="AG45" s="600">
        <f>ROUND(SUM(AA45-AD45),1)</f>
        <v>0</v>
      </c>
      <c r="AH45" s="572"/>
      <c r="AI45" s="1801">
        <f>ROUND(IF(AD45=0,0,AG45/ABS(AD45)),3)</f>
        <v>0</v>
      </c>
    </row>
    <row r="46" spans="1:36" ht="12" customHeight="1">
      <c r="A46" s="561"/>
      <c r="B46" s="591"/>
      <c r="C46" s="591"/>
      <c r="D46" s="591"/>
      <c r="E46" s="591"/>
      <c r="F46" s="591"/>
      <c r="G46" s="591"/>
      <c r="H46" s="591"/>
      <c r="I46" s="591"/>
      <c r="J46" s="591"/>
      <c r="K46" s="591"/>
      <c r="L46" s="591"/>
      <c r="M46" s="591"/>
      <c r="N46" s="591"/>
      <c r="O46" s="591"/>
      <c r="P46" s="591"/>
      <c r="Q46" s="591"/>
      <c r="R46" s="591"/>
      <c r="S46" s="591"/>
      <c r="T46" s="591"/>
      <c r="U46" s="591"/>
      <c r="V46" s="591"/>
      <c r="W46" s="591"/>
      <c r="X46" s="591"/>
      <c r="Y46" s="593"/>
      <c r="Z46" s="591"/>
      <c r="AA46" s="591"/>
      <c r="AB46" s="593"/>
      <c r="AC46" s="591"/>
      <c r="AD46" s="3001"/>
      <c r="AE46" s="594"/>
      <c r="AF46" s="595"/>
      <c r="AG46" s="596"/>
      <c r="AH46" s="572"/>
      <c r="AI46" s="573"/>
    </row>
    <row r="47" spans="1:36" ht="14.25" customHeight="1">
      <c r="A47" s="588" t="s">
        <v>194</v>
      </c>
      <c r="B47" s="601">
        <f>B25+B43+B45</f>
        <v>2195.1999999999998</v>
      </c>
      <c r="C47" s="602"/>
      <c r="D47" s="601">
        <f>ROUND(SUM(D25+D43+D45),1)</f>
        <v>0</v>
      </c>
      <c r="E47" s="603"/>
      <c r="F47" s="601">
        <f>ROUND(SUM(F25+F43+F45),1)</f>
        <v>0</v>
      </c>
      <c r="G47" s="603"/>
      <c r="H47" s="601">
        <f>ROUND(SUM(H25+H43+H45),1)</f>
        <v>0</v>
      </c>
      <c r="I47" s="603"/>
      <c r="J47" s="601">
        <f>ROUND(SUM(J25+J43+J45),1)</f>
        <v>0</v>
      </c>
      <c r="K47" s="603"/>
      <c r="L47" s="601">
        <f>ROUND(SUM(L25+L43+L45),1)</f>
        <v>0</v>
      </c>
      <c r="M47" s="603"/>
      <c r="N47" s="601">
        <f>ROUND(SUM(N25+N43+N45),1)</f>
        <v>0</v>
      </c>
      <c r="O47" s="603"/>
      <c r="P47" s="601">
        <f>ROUND(SUM(P25+P43+P45),1)</f>
        <v>0</v>
      </c>
      <c r="Q47" s="603"/>
      <c r="R47" s="601">
        <f>ROUND(SUM(R25+R43+R45),1)</f>
        <v>0</v>
      </c>
      <c r="S47" s="603"/>
      <c r="T47" s="601">
        <f>ROUND(SUM(T25+T43+T45),1)</f>
        <v>0</v>
      </c>
      <c r="U47" s="603"/>
      <c r="V47" s="601">
        <f>ROUND(SUM(V25+V43+V45),1)</f>
        <v>0</v>
      </c>
      <c r="W47" s="603"/>
      <c r="X47" s="601">
        <f>ROUND(SUM(X25+X43+X45),1)</f>
        <v>0</v>
      </c>
      <c r="Y47" s="604"/>
      <c r="Z47" s="602"/>
      <c r="AA47" s="601">
        <f>ROUND(SUM(AA25+AA43+AA45),1)</f>
        <v>2195.1999999999998</v>
      </c>
      <c r="AB47" s="604"/>
      <c r="AC47" s="602"/>
      <c r="AD47" s="601">
        <f>ROUND(SUM(AD25+AD43+AD45),1)</f>
        <v>2237.5</v>
      </c>
      <c r="AE47" s="605"/>
      <c r="AF47" s="606"/>
      <c r="AG47" s="601">
        <f>ROUND(SUM(AG25+AG43+AG45),1)</f>
        <v>-42.3</v>
      </c>
      <c r="AH47" s="582"/>
      <c r="AI47" s="1913">
        <f>ROUND(IF(AD47=0,0,AG47/ABS(AD47)),3)</f>
        <v>-1.9E-2</v>
      </c>
      <c r="AJ47" s="1023"/>
    </row>
    <row r="48" spans="1:36" ht="19.5" customHeight="1">
      <c r="A48" s="561"/>
      <c r="B48" s="591"/>
      <c r="C48" s="591"/>
      <c r="D48" s="591"/>
      <c r="E48" s="591"/>
      <c r="F48" s="591"/>
      <c r="G48" s="591"/>
      <c r="H48" s="591"/>
      <c r="I48" s="591"/>
      <c r="J48" s="591"/>
      <c r="K48" s="591"/>
      <c r="L48" s="591"/>
      <c r="M48" s="591"/>
      <c r="N48" s="591"/>
      <c r="O48" s="591"/>
      <c r="P48" s="591"/>
      <c r="Q48" s="591"/>
      <c r="R48" s="591"/>
      <c r="S48" s="591"/>
      <c r="T48" s="591"/>
      <c r="U48" s="591"/>
      <c r="V48" s="591"/>
      <c r="W48" s="591"/>
      <c r="X48" s="591"/>
      <c r="Y48" s="593"/>
      <c r="Z48" s="591"/>
      <c r="AA48" s="591"/>
      <c r="AB48" s="593"/>
      <c r="AC48" s="591"/>
      <c r="AD48" s="3001"/>
      <c r="AE48" s="594"/>
      <c r="AF48" s="595"/>
      <c r="AG48" s="596"/>
      <c r="AH48" s="572"/>
      <c r="AI48" s="573"/>
    </row>
    <row r="49" spans="1:36" ht="15.6">
      <c r="A49" s="608" t="s">
        <v>195</v>
      </c>
      <c r="B49" s="591"/>
      <c r="C49" s="591"/>
      <c r="D49" s="591"/>
      <c r="E49" s="591"/>
      <c r="F49" s="591"/>
      <c r="G49" s="591"/>
      <c r="H49" s="591"/>
      <c r="I49" s="591"/>
      <c r="J49" s="591"/>
      <c r="K49" s="591"/>
      <c r="L49" s="591"/>
      <c r="M49" s="591"/>
      <c r="N49" s="591"/>
      <c r="O49" s="591"/>
      <c r="P49" s="591"/>
      <c r="Q49" s="591"/>
      <c r="R49" s="591"/>
      <c r="S49" s="591"/>
      <c r="T49" s="591"/>
      <c r="U49" s="591"/>
      <c r="V49" s="591"/>
      <c r="W49" s="591"/>
      <c r="X49" s="591"/>
      <c r="Y49" s="593"/>
      <c r="Z49" s="591"/>
      <c r="AA49" s="591"/>
      <c r="AB49" s="593"/>
      <c r="AC49" s="591"/>
      <c r="AD49" s="3001"/>
      <c r="AE49" s="594"/>
      <c r="AF49" s="595"/>
      <c r="AG49" s="596"/>
      <c r="AH49" s="572"/>
      <c r="AI49" s="573"/>
    </row>
    <row r="50" spans="1:36" ht="14.25" customHeight="1">
      <c r="A50" s="609" t="s">
        <v>158</v>
      </c>
      <c r="B50" s="591"/>
      <c r="C50" s="591"/>
      <c r="D50" s="591"/>
      <c r="E50" s="591"/>
      <c r="F50" s="591"/>
      <c r="G50" s="591"/>
      <c r="H50" s="591"/>
      <c r="I50" s="591"/>
      <c r="J50" s="591"/>
      <c r="K50" s="591"/>
      <c r="L50" s="591"/>
      <c r="M50" s="591"/>
      <c r="N50" s="591"/>
      <c r="O50" s="591"/>
      <c r="P50" s="591"/>
      <c r="Q50" s="591"/>
      <c r="R50" s="591"/>
      <c r="S50" s="591"/>
      <c r="T50" s="591"/>
      <c r="U50" s="591"/>
      <c r="V50" s="591"/>
      <c r="W50" s="591"/>
      <c r="X50" s="591"/>
      <c r="Y50" s="593"/>
      <c r="Z50" s="591"/>
      <c r="AA50" s="591"/>
      <c r="AB50" s="593"/>
      <c r="AC50" s="591"/>
      <c r="AD50" s="3001"/>
      <c r="AE50" s="594"/>
      <c r="AF50" s="595"/>
      <c r="AG50" s="596"/>
      <c r="AH50" s="572"/>
      <c r="AI50" s="573"/>
    </row>
    <row r="51" spans="1:36" ht="14.25" customHeight="1">
      <c r="A51" s="609" t="s">
        <v>39</v>
      </c>
      <c r="B51" s="598">
        <v>0.5</v>
      </c>
      <c r="C51" s="591"/>
      <c r="D51" s="591"/>
      <c r="E51" s="590"/>
      <c r="F51" s="591"/>
      <c r="G51" s="591"/>
      <c r="H51" s="591"/>
      <c r="I51" s="591"/>
      <c r="J51" s="591"/>
      <c r="K51" s="591"/>
      <c r="L51" s="591"/>
      <c r="M51" s="591"/>
      <c r="N51" s="591"/>
      <c r="O51" s="591"/>
      <c r="P51" s="591"/>
      <c r="Q51" s="591"/>
      <c r="R51" s="591"/>
      <c r="S51" s="591"/>
      <c r="T51" s="591"/>
      <c r="U51" s="591"/>
      <c r="V51" s="591"/>
      <c r="W51" s="591"/>
      <c r="X51" s="591"/>
      <c r="Y51" s="593"/>
      <c r="Z51" s="591"/>
      <c r="AA51" s="590">
        <f>ROUND(SUM(B51:X51),1)</f>
        <v>0.5</v>
      </c>
      <c r="AB51" s="593"/>
      <c r="AC51" s="591"/>
      <c r="AD51" s="3003">
        <v>0.4</v>
      </c>
      <c r="AE51" s="594"/>
      <c r="AF51" s="595"/>
      <c r="AG51" s="596">
        <f>ROUND(SUM(AA51-AD51),1)</f>
        <v>0.1</v>
      </c>
      <c r="AH51" s="572"/>
      <c r="AI51" s="2612">
        <f>ROUND(IF(AD51=0,0,AG51/ABS(AD51)),3)</f>
        <v>0.25</v>
      </c>
    </row>
    <row r="52" spans="1:36" ht="14.25" customHeight="1">
      <c r="A52" s="2335" t="s">
        <v>1314</v>
      </c>
      <c r="B52" s="591"/>
      <c r="C52" s="591"/>
      <c r="D52" s="591"/>
      <c r="E52" s="591"/>
      <c r="F52" s="591"/>
      <c r="G52" s="591"/>
      <c r="H52" s="591"/>
      <c r="I52" s="591"/>
      <c r="J52" s="591"/>
      <c r="K52" s="591"/>
      <c r="L52" s="591"/>
      <c r="M52" s="591"/>
      <c r="N52" s="591"/>
      <c r="O52" s="591"/>
      <c r="P52" s="591"/>
      <c r="Q52" s="591"/>
      <c r="R52" s="591"/>
      <c r="S52" s="591"/>
      <c r="T52" s="591"/>
      <c r="U52" s="591"/>
      <c r="V52" s="591"/>
      <c r="W52" s="591"/>
      <c r="X52" s="591"/>
      <c r="Y52" s="593"/>
      <c r="Z52" s="591"/>
      <c r="AA52" s="591"/>
      <c r="AB52" s="593"/>
      <c r="AC52" s="591"/>
      <c r="AD52" s="3001"/>
      <c r="AE52" s="594"/>
      <c r="AF52" s="595"/>
      <c r="AG52" s="596"/>
      <c r="AH52" s="572"/>
      <c r="AI52" s="573"/>
    </row>
    <row r="53" spans="1:36" ht="14.25" customHeight="1">
      <c r="A53" s="2336" t="s">
        <v>1313</v>
      </c>
      <c r="B53" s="610">
        <v>113.3</v>
      </c>
      <c r="C53" s="591"/>
      <c r="D53" s="610"/>
      <c r="E53" s="591"/>
      <c r="F53" s="610"/>
      <c r="G53" s="591"/>
      <c r="H53" s="610"/>
      <c r="I53" s="591"/>
      <c r="J53" s="610"/>
      <c r="K53" s="591"/>
      <c r="L53" s="610"/>
      <c r="M53" s="591"/>
      <c r="N53" s="610"/>
      <c r="O53" s="591"/>
      <c r="P53" s="610"/>
      <c r="Q53" s="591"/>
      <c r="R53" s="610"/>
      <c r="S53" s="591"/>
      <c r="T53" s="610"/>
      <c r="U53" s="591"/>
      <c r="V53" s="610"/>
      <c r="W53" s="591"/>
      <c r="X53" s="610"/>
      <c r="Y53" s="593"/>
      <c r="Z53" s="591"/>
      <c r="AA53" s="599">
        <f>ROUND(SUM(B53:X53),1)</f>
        <v>113.3</v>
      </c>
      <c r="AB53" s="593"/>
      <c r="AC53" s="591"/>
      <c r="AD53" s="3005">
        <v>165.9</v>
      </c>
      <c r="AE53" s="594"/>
      <c r="AF53" s="595"/>
      <c r="AG53" s="610">
        <f>ROUND(SUM(AA53-AD53),1)</f>
        <v>-52.6</v>
      </c>
      <c r="AH53" s="572"/>
      <c r="AI53" s="1801">
        <f>ROUND(IF(AD53=0,0,AG53/ABS(AD53)),3)</f>
        <v>-0.317</v>
      </c>
    </row>
    <row r="54" spans="1:36" ht="15">
      <c r="A54" s="561"/>
      <c r="B54" s="591"/>
      <c r="C54" s="591"/>
      <c r="D54" s="591"/>
      <c r="E54" s="591"/>
      <c r="F54" s="591"/>
      <c r="G54" s="591"/>
      <c r="H54" s="591"/>
      <c r="I54" s="591"/>
      <c r="J54" s="591"/>
      <c r="K54" s="591"/>
      <c r="L54" s="591"/>
      <c r="M54" s="591"/>
      <c r="N54" s="591"/>
      <c r="O54" s="591"/>
      <c r="P54" s="591"/>
      <c r="Q54" s="591"/>
      <c r="R54" s="591"/>
      <c r="S54" s="591"/>
      <c r="T54" s="591"/>
      <c r="U54" s="591"/>
      <c r="V54" s="591"/>
      <c r="W54" s="591"/>
      <c r="X54" s="591"/>
      <c r="Y54" s="593"/>
      <c r="Z54" s="591"/>
      <c r="AA54" s="591"/>
      <c r="AB54" s="593"/>
      <c r="AC54" s="591"/>
      <c r="AD54" s="3001"/>
      <c r="AE54" s="594"/>
      <c r="AF54" s="595"/>
      <c r="AG54" s="596"/>
      <c r="AH54" s="572"/>
      <c r="AI54" s="573"/>
    </row>
    <row r="55" spans="1:36" ht="14.25" customHeight="1">
      <c r="A55" s="608" t="s">
        <v>196</v>
      </c>
      <c r="B55" s="601">
        <f>ROUND(SUM(B51:B53),1)</f>
        <v>113.8</v>
      </c>
      <c r="C55" s="602"/>
      <c r="D55" s="601">
        <f>ROUND(SUM(D51:D53),1)</f>
        <v>0</v>
      </c>
      <c r="E55" s="603"/>
      <c r="F55" s="601">
        <f>ROUND(SUM(F51:F53),1)</f>
        <v>0</v>
      </c>
      <c r="G55" s="603"/>
      <c r="H55" s="601">
        <f>ROUND(SUM(H51:H53),1)</f>
        <v>0</v>
      </c>
      <c r="I55" s="603"/>
      <c r="J55" s="601">
        <f>ROUND(SUM(J51:J53),1)</f>
        <v>0</v>
      </c>
      <c r="K55" s="603"/>
      <c r="L55" s="601">
        <f>ROUND(SUM(L51:L53),1)</f>
        <v>0</v>
      </c>
      <c r="M55" s="603"/>
      <c r="N55" s="601">
        <f>ROUND(SUM(N51:N53),1)</f>
        <v>0</v>
      </c>
      <c r="O55" s="603"/>
      <c r="P55" s="601">
        <f>ROUND(SUM(P51:P53),1)</f>
        <v>0</v>
      </c>
      <c r="Q55" s="603"/>
      <c r="R55" s="601">
        <f>ROUND(SUM(R51:R53),1)</f>
        <v>0</v>
      </c>
      <c r="S55" s="603"/>
      <c r="T55" s="601">
        <f>ROUND(SUM(T51:T53),1)</f>
        <v>0</v>
      </c>
      <c r="U55" s="603"/>
      <c r="V55" s="601">
        <f>ROUND(SUM(V51:V53),1)</f>
        <v>0</v>
      </c>
      <c r="W55" s="603"/>
      <c r="X55" s="601">
        <f>ROUND(SUM(X51:X53),1)</f>
        <v>0</v>
      </c>
      <c r="Y55" s="604"/>
      <c r="Z55" s="602"/>
      <c r="AA55" s="601">
        <f>ROUND(SUM(AA51:AA53),1)</f>
        <v>113.8</v>
      </c>
      <c r="AB55" s="604"/>
      <c r="AC55" s="602"/>
      <c r="AD55" s="601">
        <f>ROUND(SUM(AD51:AD53),1)</f>
        <v>166.3</v>
      </c>
      <c r="AE55" s="605"/>
      <c r="AF55" s="606"/>
      <c r="AG55" s="601">
        <f>ROUND(SUM(AG51:AG53),1)</f>
        <v>-52.5</v>
      </c>
      <c r="AH55" s="582"/>
      <c r="AI55" s="1913">
        <f>ROUND(IF(AD55=0,0,AG55/ABS(AD55)),3)</f>
        <v>-0.316</v>
      </c>
      <c r="AJ55" s="1024"/>
    </row>
    <row r="56" spans="1:36" ht="12" customHeight="1">
      <c r="A56" s="561"/>
      <c r="B56" s="591"/>
      <c r="C56" s="591"/>
      <c r="D56" s="592"/>
      <c r="E56" s="592"/>
      <c r="F56" s="592"/>
      <c r="G56" s="592"/>
      <c r="H56" s="592"/>
      <c r="I56" s="592"/>
      <c r="J56" s="592"/>
      <c r="K56" s="592"/>
      <c r="L56" s="592"/>
      <c r="M56" s="592"/>
      <c r="N56" s="592"/>
      <c r="O56" s="592"/>
      <c r="P56" s="592"/>
      <c r="Q56" s="592"/>
      <c r="R56" s="592"/>
      <c r="S56" s="592"/>
      <c r="T56" s="592"/>
      <c r="U56" s="592"/>
      <c r="V56" s="592"/>
      <c r="W56" s="592"/>
      <c r="X56" s="592"/>
      <c r="Y56" s="593"/>
      <c r="Z56" s="591"/>
      <c r="AA56" s="591" t="s">
        <v>16</v>
      </c>
      <c r="AB56" s="593"/>
      <c r="AC56" s="591"/>
      <c r="AD56" s="3001"/>
      <c r="AE56" s="594"/>
      <c r="AF56" s="595"/>
      <c r="AG56" s="596"/>
      <c r="AH56" s="572"/>
      <c r="AI56" s="573"/>
    </row>
    <row r="57" spans="1:36" ht="14.25" customHeight="1">
      <c r="A57" s="608" t="s">
        <v>45</v>
      </c>
      <c r="B57" s="591"/>
      <c r="C57" s="591"/>
      <c r="D57" s="592"/>
      <c r="E57" s="592"/>
      <c r="F57" s="592"/>
      <c r="G57" s="592"/>
      <c r="H57" s="592"/>
      <c r="I57" s="592"/>
      <c r="J57" s="592"/>
      <c r="K57" s="592"/>
      <c r="L57" s="592"/>
      <c r="M57" s="592"/>
      <c r="N57" s="592"/>
      <c r="O57" s="592"/>
      <c r="P57" s="592"/>
      <c r="Q57" s="592"/>
      <c r="R57" s="592"/>
      <c r="S57" s="592"/>
      <c r="T57" s="592"/>
      <c r="U57" s="592"/>
      <c r="V57" s="592"/>
      <c r="W57" s="592"/>
      <c r="X57" s="592"/>
      <c r="Y57" s="593"/>
      <c r="Z57" s="591"/>
      <c r="AA57" s="591"/>
      <c r="AB57" s="593"/>
      <c r="AC57" s="591"/>
      <c r="AD57" s="3001"/>
      <c r="AE57" s="594"/>
      <c r="AF57" s="595"/>
      <c r="AG57" s="596"/>
      <c r="AH57" s="572"/>
      <c r="AI57" s="573"/>
    </row>
    <row r="58" spans="1:36" ht="14.25" customHeight="1">
      <c r="A58" s="588" t="s">
        <v>197</v>
      </c>
      <c r="B58" s="601">
        <f>ROUND(SUM(B47-B55),1)</f>
        <v>2081.4</v>
      </c>
      <c r="C58" s="602"/>
      <c r="D58" s="601">
        <f>ROUND(SUM(D47-D55),1)</f>
        <v>0</v>
      </c>
      <c r="E58" s="612"/>
      <c r="F58" s="601">
        <f>ROUND(SUM(F47-F55),1)</f>
        <v>0</v>
      </c>
      <c r="G58" s="603"/>
      <c r="H58" s="601">
        <f>ROUND(SUM(H47-H55),1)</f>
        <v>0</v>
      </c>
      <c r="I58" s="603"/>
      <c r="J58" s="601">
        <f>ROUND(SUM(J47-J55),1)</f>
        <v>0</v>
      </c>
      <c r="K58" s="603"/>
      <c r="L58" s="601">
        <f>ROUND(SUM(L47-L55),1)</f>
        <v>0</v>
      </c>
      <c r="M58" s="603"/>
      <c r="N58" s="601">
        <f>ROUND(SUM(N47-N55),1)</f>
        <v>0</v>
      </c>
      <c r="O58" s="603"/>
      <c r="P58" s="601">
        <f>ROUND(SUM(P47-P55),1)</f>
        <v>0</v>
      </c>
      <c r="Q58" s="603"/>
      <c r="R58" s="601">
        <f>ROUND(SUM(R47-R55),1)</f>
        <v>0</v>
      </c>
      <c r="S58" s="603"/>
      <c r="T58" s="601">
        <f>ROUND(SUM(T47-T55),1)</f>
        <v>0</v>
      </c>
      <c r="U58" s="603"/>
      <c r="V58" s="601">
        <f>ROUND(SUM(V47-V55),1)</f>
        <v>0</v>
      </c>
      <c r="W58" s="603"/>
      <c r="X58" s="601">
        <f>ROUND(SUM(X47-X55),1)</f>
        <v>0</v>
      </c>
      <c r="Y58" s="604"/>
      <c r="Z58" s="602"/>
      <c r="AA58" s="601">
        <f>ROUND(SUM(AA47-AA55),1)</f>
        <v>2081.4</v>
      </c>
      <c r="AB58" s="604"/>
      <c r="AC58" s="602"/>
      <c r="AD58" s="601">
        <f>ROUND(SUM(AD47-AD55),1)</f>
        <v>2071.1999999999998</v>
      </c>
      <c r="AE58" s="605"/>
      <c r="AF58" s="606"/>
      <c r="AG58" s="601">
        <f>ROUND(SUM(+AG47-AG55),1)</f>
        <v>10.199999999999999</v>
      </c>
      <c r="AH58" s="582"/>
      <c r="AI58" s="1913">
        <f>ROUND(IF(AD58=0,0,AG58/ABS(AD58)),3)</f>
        <v>5.0000000000000001E-3</v>
      </c>
      <c r="AJ58" s="1023"/>
    </row>
    <row r="59" spans="1:36" ht="19.5" customHeight="1">
      <c r="A59" s="561"/>
      <c r="B59" s="596"/>
      <c r="C59" s="591"/>
      <c r="D59" s="591"/>
      <c r="E59" s="591"/>
      <c r="F59" s="591"/>
      <c r="G59" s="591"/>
      <c r="H59" s="591"/>
      <c r="I59" s="591"/>
      <c r="J59" s="591"/>
      <c r="K59" s="591"/>
      <c r="L59" s="591"/>
      <c r="M59" s="591"/>
      <c r="N59" s="591"/>
      <c r="O59" s="591"/>
      <c r="P59" s="591"/>
      <c r="Q59" s="591"/>
      <c r="R59" s="591"/>
      <c r="S59" s="591"/>
      <c r="T59" s="591"/>
      <c r="U59" s="591"/>
      <c r="V59" s="591"/>
      <c r="W59" s="591"/>
      <c r="X59" s="591"/>
      <c r="Y59" s="593"/>
      <c r="Z59" s="591"/>
      <c r="AA59" s="596" t="s">
        <v>16</v>
      </c>
      <c r="AB59" s="593"/>
      <c r="AC59" s="591"/>
      <c r="AD59" s="3002"/>
      <c r="AE59" s="594"/>
      <c r="AF59" s="595"/>
      <c r="AG59" s="596"/>
      <c r="AH59" s="572"/>
      <c r="AI59" s="573"/>
    </row>
    <row r="60" spans="1:36" ht="19.5" customHeight="1">
      <c r="A60" s="561"/>
      <c r="B60" s="591"/>
      <c r="C60" s="591"/>
      <c r="D60" s="591"/>
      <c r="E60" s="591"/>
      <c r="F60" s="591"/>
      <c r="G60" s="591"/>
      <c r="H60" s="591"/>
      <c r="I60" s="591"/>
      <c r="J60" s="591"/>
      <c r="K60" s="591"/>
      <c r="L60" s="591"/>
      <c r="M60" s="591"/>
      <c r="N60" s="591"/>
      <c r="O60" s="591"/>
      <c r="P60" s="591"/>
      <c r="Q60" s="591"/>
      <c r="R60" s="591"/>
      <c r="S60" s="591"/>
      <c r="T60" s="591"/>
      <c r="U60" s="591"/>
      <c r="V60" s="591"/>
      <c r="W60" s="591"/>
      <c r="X60" s="591"/>
      <c r="Y60" s="593"/>
      <c r="Z60" s="591"/>
      <c r="AA60" s="591"/>
      <c r="AB60" s="593"/>
      <c r="AC60" s="591"/>
      <c r="AD60" s="3001"/>
      <c r="AE60" s="594"/>
      <c r="AF60" s="595"/>
      <c r="AG60" s="596"/>
      <c r="AH60" s="572"/>
      <c r="AI60" s="573"/>
    </row>
    <row r="61" spans="1:36" ht="14.25" customHeight="1">
      <c r="A61" s="608" t="s">
        <v>47</v>
      </c>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593"/>
      <c r="Z61" s="591"/>
      <c r="AA61" s="591"/>
      <c r="AB61" s="593"/>
      <c r="AC61" s="591"/>
      <c r="AD61" s="3001"/>
      <c r="AE61" s="594"/>
      <c r="AF61" s="595"/>
      <c r="AG61" s="596"/>
      <c r="AH61" s="572"/>
      <c r="AI61" s="573"/>
    </row>
    <row r="62" spans="1:36" ht="14.25" customHeight="1">
      <c r="A62" s="609" t="s">
        <v>188</v>
      </c>
      <c r="B62" s="598">
        <v>357.9</v>
      </c>
      <c r="C62" s="591"/>
      <c r="D62" s="613"/>
      <c r="E62" s="591"/>
      <c r="F62" s="613"/>
      <c r="G62" s="591"/>
      <c r="H62" s="613"/>
      <c r="I62" s="591"/>
      <c r="J62" s="613"/>
      <c r="K62" s="591"/>
      <c r="L62" s="613"/>
      <c r="M62" s="591"/>
      <c r="N62" s="613"/>
      <c r="O62" s="591"/>
      <c r="P62" s="613"/>
      <c r="Q62" s="591"/>
      <c r="R62" s="613"/>
      <c r="S62" s="591"/>
      <c r="T62" s="613"/>
      <c r="U62" s="591"/>
      <c r="V62" s="613"/>
      <c r="W62" s="591"/>
      <c r="X62" s="613"/>
      <c r="Y62" s="593"/>
      <c r="Z62" s="591"/>
      <c r="AA62" s="590">
        <f>ROUND(SUM(B62:X62),1)</f>
        <v>357.9</v>
      </c>
      <c r="AB62" s="593"/>
      <c r="AC62" s="591"/>
      <c r="AD62" s="3003">
        <v>526.9</v>
      </c>
      <c r="AE62" s="594"/>
      <c r="AF62" s="595"/>
      <c r="AG62" s="596">
        <f>ROUND(SUM(AA62-AD62),1)</f>
        <v>-169</v>
      </c>
      <c r="AH62" s="572"/>
      <c r="AI62" s="45">
        <f>ROUND(IF(AD62=0,0,AG62/ABS(AD62)),3)</f>
        <v>-0.32100000000000001</v>
      </c>
    </row>
    <row r="63" spans="1:36" ht="14.25" customHeight="1">
      <c r="A63" s="609" t="s">
        <v>198</v>
      </c>
      <c r="B63" s="611">
        <v>-2274.1</v>
      </c>
      <c r="C63" s="591"/>
      <c r="D63" s="611"/>
      <c r="E63" s="591"/>
      <c r="F63" s="611"/>
      <c r="G63" s="591"/>
      <c r="H63" s="611"/>
      <c r="I63" s="591"/>
      <c r="J63" s="611"/>
      <c r="K63" s="591"/>
      <c r="L63" s="611"/>
      <c r="M63" s="591"/>
      <c r="N63" s="611"/>
      <c r="O63" s="591"/>
      <c r="P63" s="611"/>
      <c r="Q63" s="591"/>
      <c r="R63" s="611"/>
      <c r="S63" s="591"/>
      <c r="T63" s="611"/>
      <c r="U63" s="591"/>
      <c r="V63" s="611"/>
      <c r="W63" s="591"/>
      <c r="X63" s="611"/>
      <c r="Y63" s="593"/>
      <c r="Z63" s="591"/>
      <c r="AA63" s="599">
        <f>ROUND(SUM(B63:X63),1)</f>
        <v>-2274.1</v>
      </c>
      <c r="AB63" s="593"/>
      <c r="AC63" s="591"/>
      <c r="AD63" s="3006">
        <v>-2302.1999999999998</v>
      </c>
      <c r="AE63" s="594"/>
      <c r="AF63" s="595"/>
      <c r="AG63" s="610">
        <f>ROUND(SUM(-(AA63-AD63)),1)</f>
        <v>-28.1</v>
      </c>
      <c r="AH63" s="572"/>
      <c r="AI63" s="1801">
        <f>ROUND(IF(AD63=0,0,AG63/ABS(AD63)),3)</f>
        <v>-1.2E-2</v>
      </c>
    </row>
    <row r="64" spans="1:36" ht="15">
      <c r="A64" s="561"/>
      <c r="B64" s="591"/>
      <c r="C64" s="591"/>
      <c r="D64" s="614"/>
      <c r="E64" s="591"/>
      <c r="F64" s="614"/>
      <c r="G64" s="591"/>
      <c r="H64" s="614"/>
      <c r="I64" s="591"/>
      <c r="J64" s="614"/>
      <c r="K64" s="591"/>
      <c r="L64" s="614"/>
      <c r="M64" s="591"/>
      <c r="N64" s="614"/>
      <c r="O64" s="591"/>
      <c r="P64" s="614"/>
      <c r="Q64" s="591"/>
      <c r="R64" s="614"/>
      <c r="S64" s="591"/>
      <c r="T64" s="614"/>
      <c r="U64" s="591"/>
      <c r="V64" s="614"/>
      <c r="W64" s="591"/>
      <c r="X64" s="614"/>
      <c r="Y64" s="593"/>
      <c r="Z64" s="591"/>
      <c r="AA64" s="591"/>
      <c r="AB64" s="593"/>
      <c r="AC64" s="591"/>
      <c r="AD64" s="3001"/>
      <c r="AE64" s="594"/>
      <c r="AF64" s="595"/>
      <c r="AG64" s="596"/>
      <c r="AH64" s="572"/>
      <c r="AI64" s="573"/>
    </row>
    <row r="65" spans="1:38" ht="14.25" customHeight="1">
      <c r="A65" s="608" t="s">
        <v>1081</v>
      </c>
      <c r="B65" s="615">
        <f>ROUND(SUM(B62:B63),1)</f>
        <v>-1916.2</v>
      </c>
      <c r="C65" s="602"/>
      <c r="D65" s="615">
        <f>ROUND(SUM(D62:D63),1)</f>
        <v>0</v>
      </c>
      <c r="E65" s="603"/>
      <c r="F65" s="615">
        <f>ROUND(SUM(F62:F63),1)</f>
        <v>0</v>
      </c>
      <c r="G65" s="603"/>
      <c r="H65" s="615">
        <f>ROUND(SUM(H62:H63),1)</f>
        <v>0</v>
      </c>
      <c r="I65" s="603"/>
      <c r="J65" s="615">
        <f>ROUND(SUM(J62:J63),1)</f>
        <v>0</v>
      </c>
      <c r="K65" s="603"/>
      <c r="L65" s="615">
        <f>ROUND(SUM(L62:L63),1)</f>
        <v>0</v>
      </c>
      <c r="M65" s="603"/>
      <c r="N65" s="615">
        <f>ROUND(SUM(N62:N63),1)</f>
        <v>0</v>
      </c>
      <c r="O65" s="603"/>
      <c r="P65" s="615">
        <f>ROUND(SUM(P62:P63),1)</f>
        <v>0</v>
      </c>
      <c r="Q65" s="603"/>
      <c r="R65" s="615">
        <f>ROUND(SUM(R62:R63),1)</f>
        <v>0</v>
      </c>
      <c r="S65" s="603"/>
      <c r="T65" s="615">
        <f>ROUND(SUM(T62:T63),1)</f>
        <v>0</v>
      </c>
      <c r="U65" s="603"/>
      <c r="V65" s="615">
        <f>ROUND(SUM(V62:V63),1)</f>
        <v>0</v>
      </c>
      <c r="W65" s="603"/>
      <c r="X65" s="615">
        <f>ROUND(SUM(X62:X63),1)</f>
        <v>0</v>
      </c>
      <c r="Y65" s="604"/>
      <c r="Z65" s="602"/>
      <c r="AA65" s="615">
        <f>ROUND(SUM(AA62:AA63),1)</f>
        <v>-1916.2</v>
      </c>
      <c r="AB65" s="604"/>
      <c r="AC65" s="602"/>
      <c r="AD65" s="615">
        <f>ROUND(SUM(AD62:AD63),1)</f>
        <v>-1775.3</v>
      </c>
      <c r="AE65" s="605"/>
      <c r="AF65" s="606"/>
      <c r="AG65" s="615">
        <f>ROUND(SUM(AG62-AG63),1)</f>
        <v>-140.9</v>
      </c>
      <c r="AH65" s="582"/>
      <c r="AI65" s="1913">
        <f>ROUND(IF(AD65=0,0,AG65/ABS(AD65)),3)</f>
        <v>-7.9000000000000001E-2</v>
      </c>
      <c r="AJ65" s="1023"/>
    </row>
    <row r="66" spans="1:38" ht="19.5" customHeight="1">
      <c r="A66" s="561"/>
      <c r="B66" s="591"/>
      <c r="C66" s="591"/>
      <c r="D66" s="614"/>
      <c r="E66" s="591"/>
      <c r="F66" s="614"/>
      <c r="G66" s="591"/>
      <c r="H66" s="614"/>
      <c r="I66" s="591"/>
      <c r="J66" s="614"/>
      <c r="K66" s="591"/>
      <c r="L66" s="614"/>
      <c r="M66" s="591"/>
      <c r="N66" s="614"/>
      <c r="O66" s="591"/>
      <c r="P66" s="614"/>
      <c r="Q66" s="591"/>
      <c r="R66" s="614"/>
      <c r="S66" s="591"/>
      <c r="T66" s="614"/>
      <c r="U66" s="591"/>
      <c r="V66" s="614"/>
      <c r="W66" s="591"/>
      <c r="X66" s="614"/>
      <c r="Y66" s="593"/>
      <c r="Z66" s="591"/>
      <c r="AA66" s="591" t="s">
        <v>16</v>
      </c>
      <c r="AB66" s="593"/>
      <c r="AC66" s="591"/>
      <c r="AD66" s="3001"/>
      <c r="AE66" s="594"/>
      <c r="AF66" s="595"/>
      <c r="AG66" s="596"/>
      <c r="AH66" s="572"/>
      <c r="AI66" s="573"/>
    </row>
    <row r="67" spans="1:38" ht="19.5" customHeight="1">
      <c r="A67" s="561"/>
      <c r="B67" s="591"/>
      <c r="C67" s="591"/>
      <c r="D67" s="614"/>
      <c r="E67" s="591"/>
      <c r="F67" s="614"/>
      <c r="G67" s="591"/>
      <c r="H67" s="614"/>
      <c r="I67" s="591"/>
      <c r="J67" s="614"/>
      <c r="K67" s="591"/>
      <c r="L67" s="614"/>
      <c r="M67" s="591"/>
      <c r="N67" s="614"/>
      <c r="O67" s="591"/>
      <c r="P67" s="614"/>
      <c r="Q67" s="591"/>
      <c r="R67" s="614"/>
      <c r="S67" s="591"/>
      <c r="T67" s="614"/>
      <c r="U67" s="591"/>
      <c r="V67" s="614"/>
      <c r="W67" s="591"/>
      <c r="X67" s="614"/>
      <c r="Y67" s="593"/>
      <c r="Z67" s="591"/>
      <c r="AA67" s="591"/>
      <c r="AB67" s="593"/>
      <c r="AC67" s="591"/>
      <c r="AD67" s="3001"/>
      <c r="AE67" s="594"/>
      <c r="AF67" s="595"/>
      <c r="AG67" s="596"/>
      <c r="AH67" s="572"/>
      <c r="AI67" s="573"/>
    </row>
    <row r="68" spans="1:38" ht="14.25" customHeight="1">
      <c r="A68" s="588" t="s">
        <v>199</v>
      </c>
      <c r="B68" s="591"/>
      <c r="C68" s="591"/>
      <c r="D68" s="592"/>
      <c r="E68" s="591"/>
      <c r="F68" s="592"/>
      <c r="G68" s="591"/>
      <c r="H68" s="592"/>
      <c r="I68" s="591"/>
      <c r="J68" s="592"/>
      <c r="K68" s="591"/>
      <c r="L68" s="592"/>
      <c r="M68" s="591"/>
      <c r="N68" s="592"/>
      <c r="O68" s="591"/>
      <c r="P68" s="592"/>
      <c r="Q68" s="591"/>
      <c r="R68" s="592"/>
      <c r="S68" s="591"/>
      <c r="T68" s="592"/>
      <c r="U68" s="591"/>
      <c r="V68" s="592"/>
      <c r="W68" s="591"/>
      <c r="X68" s="592"/>
      <c r="Y68" s="593"/>
      <c r="Z68" s="591"/>
      <c r="AA68" s="591"/>
      <c r="AB68" s="593"/>
      <c r="AC68" s="591"/>
      <c r="AD68" s="3001"/>
      <c r="AE68" s="594"/>
      <c r="AF68" s="595"/>
      <c r="AG68" s="596"/>
      <c r="AH68" s="572"/>
      <c r="AI68" s="573"/>
    </row>
    <row r="69" spans="1:38" ht="14.25" customHeight="1">
      <c r="A69" s="588" t="s">
        <v>200</v>
      </c>
      <c r="B69" s="591"/>
      <c r="C69" s="591"/>
      <c r="D69" s="592"/>
      <c r="E69" s="591"/>
      <c r="F69" s="592"/>
      <c r="G69" s="591"/>
      <c r="H69" s="592"/>
      <c r="I69" s="591"/>
      <c r="J69" s="592"/>
      <c r="K69" s="591"/>
      <c r="L69" s="592"/>
      <c r="M69" s="591"/>
      <c r="N69" s="592"/>
      <c r="O69" s="591"/>
      <c r="P69" s="592"/>
      <c r="Q69" s="591"/>
      <c r="R69" s="592"/>
      <c r="S69" s="591"/>
      <c r="T69" s="592"/>
      <c r="U69" s="591"/>
      <c r="V69" s="592"/>
      <c r="W69" s="591"/>
      <c r="X69" s="592"/>
      <c r="Y69" s="593"/>
      <c r="Z69" s="591"/>
      <c r="AA69" s="591"/>
      <c r="AB69" s="593"/>
      <c r="AC69" s="591"/>
      <c r="AD69" s="3001"/>
      <c r="AE69" s="594"/>
      <c r="AF69" s="595"/>
      <c r="AG69" s="596"/>
      <c r="AH69" s="572"/>
      <c r="AI69" s="573"/>
    </row>
    <row r="70" spans="1:38" ht="14.25" customHeight="1">
      <c r="A70" s="588" t="s">
        <v>1429</v>
      </c>
      <c r="B70" s="601">
        <f>ROUND(SUM(+B58+B65),1)</f>
        <v>165.2</v>
      </c>
      <c r="C70" s="602"/>
      <c r="D70" s="601">
        <f>ROUND(SUM(+D58+D65),1)</f>
        <v>0</v>
      </c>
      <c r="E70" s="602"/>
      <c r="F70" s="601">
        <f>ROUND(SUM(+F58+F65),1)</f>
        <v>0</v>
      </c>
      <c r="G70" s="602"/>
      <c r="H70" s="601">
        <f>ROUND(SUM(+H58+H65),1)</f>
        <v>0</v>
      </c>
      <c r="I70" s="602"/>
      <c r="J70" s="601">
        <f>ROUND(SUM(+J58+J65),1)</f>
        <v>0</v>
      </c>
      <c r="K70" s="602"/>
      <c r="L70" s="601">
        <f>ROUND(SUM(+L58+L65),1)</f>
        <v>0</v>
      </c>
      <c r="M70" s="602"/>
      <c r="N70" s="601">
        <f>ROUND(SUM(+N58+N65),1)</f>
        <v>0</v>
      </c>
      <c r="O70" s="602"/>
      <c r="P70" s="601">
        <f>ROUND(SUM(+P58+P65),1)</f>
        <v>0</v>
      </c>
      <c r="Q70" s="602"/>
      <c r="R70" s="601">
        <f>ROUND(SUM(+R58+R65),1)</f>
        <v>0</v>
      </c>
      <c r="S70" s="602"/>
      <c r="T70" s="601">
        <f>ROUND(SUM(+T58+T65),1)</f>
        <v>0</v>
      </c>
      <c r="U70" s="602"/>
      <c r="V70" s="601">
        <f>ROUND(SUM(+V58+V65),1)</f>
        <v>0</v>
      </c>
      <c r="W70" s="602"/>
      <c r="X70" s="601">
        <f>ROUND(SUM(+X58+X65),1)</f>
        <v>0</v>
      </c>
      <c r="Y70" s="604"/>
      <c r="Z70" s="602"/>
      <c r="AA70" s="601">
        <f>ROUND(SUM(+AA58+AA65),1)</f>
        <v>165.2</v>
      </c>
      <c r="AB70" s="604"/>
      <c r="AC70" s="602"/>
      <c r="AD70" s="601">
        <f>ROUND(SUM(+AD58+AD65),1)</f>
        <v>295.89999999999998</v>
      </c>
      <c r="AE70" s="605"/>
      <c r="AF70" s="606"/>
      <c r="AG70" s="601">
        <f>ROUND(SUM(+AG58+AG65),1)</f>
        <v>-130.69999999999999</v>
      </c>
      <c r="AH70" s="582"/>
      <c r="AI70" s="2777">
        <f>ROUND(IF(AD70=0,0,AG70/ABS(AD70)),3)</f>
        <v>-0.442</v>
      </c>
      <c r="AJ70" s="1023"/>
    </row>
    <row r="71" spans="1:38" ht="15">
      <c r="A71" s="561"/>
      <c r="B71" s="562"/>
      <c r="C71" s="562"/>
      <c r="D71" s="616"/>
      <c r="E71" s="562"/>
      <c r="F71" s="617"/>
      <c r="G71" s="562"/>
      <c r="H71" s="617"/>
      <c r="I71" s="562"/>
      <c r="J71" s="617"/>
      <c r="K71" s="562"/>
      <c r="L71" s="618"/>
      <c r="M71" s="562"/>
      <c r="N71" s="617"/>
      <c r="O71" s="562"/>
      <c r="P71" s="617"/>
      <c r="Q71" s="562"/>
      <c r="R71" s="617"/>
      <c r="S71" s="562"/>
      <c r="T71" s="617"/>
      <c r="U71" s="562"/>
      <c r="V71" s="617"/>
      <c r="W71" s="562"/>
      <c r="X71" s="617"/>
      <c r="Y71" s="585"/>
      <c r="Z71" s="562"/>
      <c r="AA71" s="562" t="s">
        <v>16</v>
      </c>
      <c r="AB71" s="585"/>
      <c r="AC71" s="562"/>
      <c r="AD71" s="2999"/>
      <c r="AE71" s="568"/>
      <c r="AF71" s="586"/>
      <c r="AG71" s="587"/>
      <c r="AH71" s="572"/>
      <c r="AI71" s="573"/>
    </row>
    <row r="72" spans="1:38" ht="15">
      <c r="A72" s="561"/>
      <c r="B72" s="561"/>
      <c r="C72" s="561"/>
      <c r="D72" s="565"/>
      <c r="E72" s="561"/>
      <c r="F72" s="587"/>
      <c r="G72" s="561"/>
      <c r="H72" s="564"/>
      <c r="I72" s="561"/>
      <c r="J72" s="564"/>
      <c r="K72" s="561"/>
      <c r="L72" s="619"/>
      <c r="M72" s="561"/>
      <c r="N72" s="564"/>
      <c r="O72" s="561"/>
      <c r="P72" s="564"/>
      <c r="Q72" s="561"/>
      <c r="R72" s="564"/>
      <c r="S72" s="561"/>
      <c r="T72" s="587"/>
      <c r="U72" s="562"/>
      <c r="V72" s="587"/>
      <c r="W72" s="562"/>
      <c r="X72" s="587"/>
      <c r="Y72" s="584"/>
      <c r="Z72" s="561"/>
      <c r="AA72" s="562"/>
      <c r="AB72" s="585"/>
      <c r="AC72" s="562"/>
      <c r="AD72" s="2998"/>
      <c r="AE72" s="566"/>
      <c r="AF72" s="586"/>
      <c r="AG72" s="587"/>
      <c r="AH72" s="572"/>
      <c r="AI72" s="573"/>
    </row>
    <row r="73" spans="1:38" ht="19.5" customHeight="1" thickBot="1">
      <c r="A73" s="588" t="s">
        <v>146</v>
      </c>
      <c r="B73" s="620">
        <f>ROUND(SUM(B12+B70),1)</f>
        <v>324.89999999999998</v>
      </c>
      <c r="C73" s="575"/>
      <c r="D73" s="620">
        <f>ROUND(SUM(D12+D70),1)</f>
        <v>0</v>
      </c>
      <c r="E73" s="575"/>
      <c r="F73" s="620">
        <f>ROUND(SUM(F12+F70),1)</f>
        <v>0</v>
      </c>
      <c r="G73" s="575"/>
      <c r="H73" s="620">
        <f>ROUND(SUM(H12+H70),1)</f>
        <v>0</v>
      </c>
      <c r="I73" s="575"/>
      <c r="J73" s="620">
        <f>ROUND(SUM(J12+J70),1)</f>
        <v>0</v>
      </c>
      <c r="K73" s="575"/>
      <c r="L73" s="620">
        <f>ROUND(SUM(L12+L70),1)</f>
        <v>0</v>
      </c>
      <c r="M73" s="575"/>
      <c r="N73" s="620">
        <f>ROUND(SUM(N12+N70),1)</f>
        <v>0</v>
      </c>
      <c r="O73" s="575"/>
      <c r="P73" s="620">
        <f>ROUND(SUM(P12+P70),1)</f>
        <v>0</v>
      </c>
      <c r="Q73" s="575"/>
      <c r="R73" s="620">
        <f>ROUND(SUM(R12+R70),1)</f>
        <v>0</v>
      </c>
      <c r="S73" s="575"/>
      <c r="T73" s="620">
        <f>ROUND(SUM(T12+T70),1)</f>
        <v>0</v>
      </c>
      <c r="U73" s="575"/>
      <c r="V73" s="620">
        <f>ROUND(SUM(V12+V70),1)</f>
        <v>0</v>
      </c>
      <c r="W73" s="575"/>
      <c r="X73" s="620">
        <f>ROUND(SUM(X12+X70),1)</f>
        <v>0</v>
      </c>
      <c r="Y73" s="578"/>
      <c r="Z73" s="575"/>
      <c r="AA73" s="620">
        <f>ROUND(SUM(AA12+AA70),1)</f>
        <v>324.89999999999998</v>
      </c>
      <c r="AB73" s="578"/>
      <c r="AC73" s="575"/>
      <c r="AD73" s="620">
        <f>ROUND(SUM(AD12+AD70),1)</f>
        <v>414.6</v>
      </c>
      <c r="AE73" s="621"/>
      <c r="AF73" s="580"/>
      <c r="AG73" s="620">
        <f>ROUND(SUM(+AG12+AG70),1)</f>
        <v>-89.7</v>
      </c>
      <c r="AH73" s="582"/>
      <c r="AI73" s="127">
        <f>ROUND(IF(AD73=0,0,AG73/ABS(AD73)),3)</f>
        <v>-0.216</v>
      </c>
      <c r="AJ73" s="1025"/>
      <c r="AK73" s="607"/>
      <c r="AL73" s="607"/>
    </row>
    <row r="74" spans="1:38" ht="14.25" customHeight="1" thickTop="1">
      <c r="A74" s="622"/>
      <c r="B74" s="623"/>
      <c r="C74" s="624"/>
      <c r="D74" s="623"/>
      <c r="E74" s="555"/>
      <c r="F74" s="623"/>
      <c r="G74" s="555"/>
      <c r="H74" s="625"/>
      <c r="I74" s="555"/>
      <c r="J74" s="625"/>
      <c r="K74" s="555"/>
      <c r="L74" s="625"/>
      <c r="M74" s="555"/>
      <c r="N74" s="625"/>
      <c r="O74" s="555"/>
      <c r="P74" s="625"/>
      <c r="Q74" s="555"/>
      <c r="R74" s="625"/>
      <c r="S74" s="555"/>
      <c r="T74" s="625"/>
      <c r="U74" s="556"/>
      <c r="V74" s="625"/>
      <c r="W74" s="556"/>
      <c r="X74" s="625"/>
      <c r="Y74" s="623"/>
      <c r="Z74" s="624"/>
      <c r="AA74" s="623"/>
      <c r="AB74" s="623"/>
      <c r="AC74" s="624"/>
      <c r="AD74" s="623"/>
      <c r="AE74" s="626"/>
      <c r="AF74" s="623"/>
      <c r="AG74" s="623"/>
      <c r="AH74" s="627"/>
      <c r="AI74" s="628"/>
    </row>
    <row r="75" spans="1:38">
      <c r="L75" s="556"/>
      <c r="T75" s="629"/>
      <c r="U75" s="629"/>
      <c r="V75" s="629"/>
      <c r="W75" s="629"/>
      <c r="X75" s="629"/>
      <c r="AD75" s="2566"/>
    </row>
    <row r="76" spans="1:38" ht="12" customHeight="1">
      <c r="A76" s="573"/>
      <c r="L76" s="556"/>
      <c r="R76" s="630"/>
      <c r="T76" s="624"/>
      <c r="X76" s="624"/>
    </row>
    <row r="77" spans="1:38">
      <c r="B77" s="2566"/>
      <c r="L77" s="556"/>
      <c r="R77" s="630"/>
      <c r="T77" s="624"/>
      <c r="X77" s="624"/>
    </row>
    <row r="78" spans="1:38">
      <c r="A78" s="589"/>
      <c r="L78" s="556"/>
    </row>
    <row r="79" spans="1:38">
      <c r="A79" s="3305"/>
      <c r="B79" s="2566"/>
      <c r="L79" s="556"/>
      <c r="R79" s="631"/>
    </row>
    <row r="80" spans="1:38">
      <c r="A80" s="632"/>
      <c r="B80" s="2566"/>
      <c r="L80" s="556"/>
    </row>
    <row r="81" spans="1:35">
      <c r="A81" s="633"/>
      <c r="L81" s="556"/>
      <c r="AI81" s="624"/>
    </row>
    <row r="82" spans="1:35">
      <c r="L82" s="556"/>
    </row>
    <row r="83" spans="1:35">
      <c r="L83" s="556"/>
    </row>
    <row r="84" spans="1:35">
      <c r="L84" s="556"/>
    </row>
    <row r="85" spans="1:35">
      <c r="L85" s="556"/>
    </row>
    <row r="86" spans="1:35">
      <c r="L86" s="556"/>
    </row>
    <row r="87" spans="1:35">
      <c r="L87" s="556"/>
    </row>
    <row r="88" spans="1:35">
      <c r="L88" s="556"/>
    </row>
    <row r="89" spans="1:35">
      <c r="L89" s="556"/>
    </row>
    <row r="90" spans="1:35">
      <c r="L90" s="556"/>
    </row>
    <row r="91" spans="1:35">
      <c r="L91" s="556"/>
    </row>
    <row r="92" spans="1:35">
      <c r="L92" s="556"/>
    </row>
    <row r="93" spans="1:35">
      <c r="L93" s="556"/>
    </row>
    <row r="94" spans="1:35">
      <c r="L94" s="556"/>
    </row>
    <row r="95" spans="1:35">
      <c r="L95" s="556"/>
    </row>
    <row r="96" spans="1:35">
      <c r="L96" s="556"/>
    </row>
    <row r="97" spans="12:12">
      <c r="L97" s="556"/>
    </row>
    <row r="98" spans="12:12">
      <c r="L98" s="556"/>
    </row>
    <row r="99" spans="12:12">
      <c r="L99" s="556"/>
    </row>
    <row r="100" spans="12:12">
      <c r="L100" s="556"/>
    </row>
    <row r="101" spans="12:12">
      <c r="L101" s="556"/>
    </row>
    <row r="102" spans="12:12">
      <c r="L102" s="556"/>
    </row>
    <row r="103" spans="12:12">
      <c r="L103" s="556"/>
    </row>
    <row r="104" spans="12:12">
      <c r="L104" s="556"/>
    </row>
    <row r="105" spans="12:12">
      <c r="L105" s="556"/>
    </row>
    <row r="106" spans="12:12">
      <c r="L106" s="556"/>
    </row>
    <row r="107" spans="12:12">
      <c r="L107" s="556"/>
    </row>
    <row r="108" spans="12:12">
      <c r="L108" s="556"/>
    </row>
    <row r="109" spans="12:12">
      <c r="L109" s="556"/>
    </row>
    <row r="110" spans="12:12">
      <c r="L110" s="556"/>
    </row>
    <row r="111" spans="12:12">
      <c r="L111" s="556"/>
    </row>
    <row r="112" spans="12:12">
      <c r="L112" s="556"/>
    </row>
    <row r="113" spans="12:12">
      <c r="L113" s="556"/>
    </row>
    <row r="114" spans="12:12">
      <c r="L114" s="556"/>
    </row>
    <row r="115" spans="12:12">
      <c r="L115" s="556"/>
    </row>
    <row r="116" spans="12:12">
      <c r="L116" s="556"/>
    </row>
    <row r="117" spans="12:12">
      <c r="L117" s="556"/>
    </row>
    <row r="118" spans="12:12">
      <c r="L118" s="556"/>
    </row>
    <row r="119" spans="12:12">
      <c r="L119" s="556"/>
    </row>
    <row r="120" spans="12:12">
      <c r="L120" s="556"/>
    </row>
    <row r="121" spans="12:12">
      <c r="L121" s="556"/>
    </row>
    <row r="122" spans="12:12">
      <c r="L122" s="556"/>
    </row>
    <row r="123" spans="12:12">
      <c r="L123" s="556"/>
    </row>
    <row r="124" spans="12:12">
      <c r="L124" s="556"/>
    </row>
    <row r="125" spans="12:12">
      <c r="L125" s="556"/>
    </row>
    <row r="126" spans="12:12">
      <c r="L126" s="556"/>
    </row>
    <row r="127" spans="12:12">
      <c r="L127" s="556"/>
    </row>
    <row r="128" spans="12:12">
      <c r="L128" s="556"/>
    </row>
    <row r="129" spans="12:12">
      <c r="L129" s="556"/>
    </row>
    <row r="130" spans="12:12">
      <c r="L130" s="556"/>
    </row>
    <row r="131" spans="12:12">
      <c r="L131" s="556"/>
    </row>
    <row r="132" spans="12:12">
      <c r="L132" s="556"/>
    </row>
    <row r="133" spans="12:12">
      <c r="L133" s="556"/>
    </row>
    <row r="134" spans="12:12">
      <c r="L134" s="556"/>
    </row>
    <row r="135" spans="12:12">
      <c r="L135" s="556"/>
    </row>
    <row r="136" spans="12:12">
      <c r="L136" s="556"/>
    </row>
    <row r="137" spans="12:12">
      <c r="L137" s="556"/>
    </row>
    <row r="138" spans="12:12">
      <c r="L138" s="556"/>
    </row>
    <row r="139" spans="12:12">
      <c r="L139" s="556"/>
    </row>
    <row r="140" spans="12:12">
      <c r="L140" s="556"/>
    </row>
    <row r="141" spans="12:12">
      <c r="L141" s="556"/>
    </row>
    <row r="142" spans="12:12">
      <c r="L142" s="556"/>
    </row>
    <row r="143" spans="12:12">
      <c r="L143" s="556"/>
    </row>
    <row r="144" spans="12:12">
      <c r="L144" s="556"/>
    </row>
    <row r="145" spans="12:12">
      <c r="L145" s="556"/>
    </row>
    <row r="146" spans="12:12">
      <c r="L146" s="556"/>
    </row>
    <row r="147" spans="12:12">
      <c r="L147" s="556"/>
    </row>
    <row r="148" spans="12:12">
      <c r="L148" s="556"/>
    </row>
    <row r="149" spans="12:12">
      <c r="L149" s="556"/>
    </row>
    <row r="150" spans="12:12">
      <c r="L150" s="556"/>
    </row>
    <row r="151" spans="12:12">
      <c r="L151" s="556"/>
    </row>
    <row r="152" spans="12:12">
      <c r="L152" s="556"/>
    </row>
    <row r="153" spans="12:12">
      <c r="L153" s="556"/>
    </row>
    <row r="154" spans="12:12">
      <c r="L154" s="556"/>
    </row>
    <row r="155" spans="12:12">
      <c r="L155" s="556"/>
    </row>
    <row r="156" spans="12:12">
      <c r="L156" s="556"/>
    </row>
    <row r="157" spans="12:12">
      <c r="L157" s="556"/>
    </row>
    <row r="158" spans="12:12">
      <c r="L158" s="556"/>
    </row>
    <row r="159" spans="12:12">
      <c r="L159" s="556"/>
    </row>
    <row r="160" spans="12:12">
      <c r="L160" s="556"/>
    </row>
    <row r="161" spans="12:12">
      <c r="L161" s="556"/>
    </row>
    <row r="162" spans="12:12">
      <c r="L162" s="556"/>
    </row>
    <row r="163" spans="12:12">
      <c r="L163" s="556"/>
    </row>
    <row r="164" spans="12:12">
      <c r="L164" s="556"/>
    </row>
    <row r="165" spans="12:12">
      <c r="L165" s="556"/>
    </row>
    <row r="166" spans="12:12">
      <c r="L166" s="556"/>
    </row>
    <row r="167" spans="12:12">
      <c r="L167" s="556"/>
    </row>
    <row r="168" spans="12:12">
      <c r="L168" s="556"/>
    </row>
    <row r="169" spans="12:12">
      <c r="L169" s="556"/>
    </row>
    <row r="170" spans="12:12">
      <c r="L170" s="556"/>
    </row>
    <row r="171" spans="12:12">
      <c r="L171" s="556"/>
    </row>
    <row r="172" spans="12:12">
      <c r="L172" s="556"/>
    </row>
    <row r="173" spans="12:12">
      <c r="L173" s="556"/>
    </row>
    <row r="174" spans="12:12">
      <c r="L174" s="556"/>
    </row>
    <row r="175" spans="12:12">
      <c r="L175" s="556"/>
    </row>
    <row r="176" spans="12:12">
      <c r="L176" s="556"/>
    </row>
    <row r="177" spans="12:12">
      <c r="L177" s="556"/>
    </row>
    <row r="178" spans="12:12">
      <c r="L178" s="556"/>
    </row>
    <row r="179" spans="12:12">
      <c r="L179" s="556"/>
    </row>
    <row r="180" spans="12:12">
      <c r="L180" s="556"/>
    </row>
    <row r="181" spans="12:12">
      <c r="L181" s="556"/>
    </row>
    <row r="182" spans="12:12">
      <c r="L182" s="556"/>
    </row>
    <row r="183" spans="12:12">
      <c r="L183" s="556"/>
    </row>
    <row r="184" spans="12:12">
      <c r="L184" s="556"/>
    </row>
    <row r="185" spans="12:12">
      <c r="L185" s="556"/>
    </row>
    <row r="186" spans="12:12">
      <c r="L186" s="556"/>
    </row>
    <row r="187" spans="12:12">
      <c r="L187" s="556"/>
    </row>
    <row r="188" spans="12:12">
      <c r="L188" s="556"/>
    </row>
    <row r="189" spans="12:12">
      <c r="L189" s="556"/>
    </row>
    <row r="190" spans="12:12">
      <c r="L190" s="556"/>
    </row>
    <row r="191" spans="12:12">
      <c r="L191" s="556"/>
    </row>
    <row r="192" spans="12:12">
      <c r="L192" s="556"/>
    </row>
    <row r="193" spans="12:12">
      <c r="L193" s="556"/>
    </row>
    <row r="194" spans="12:12">
      <c r="L194" s="556"/>
    </row>
    <row r="195" spans="12:12">
      <c r="L195" s="556"/>
    </row>
    <row r="196" spans="12:12">
      <c r="L196" s="556"/>
    </row>
    <row r="197" spans="12:12">
      <c r="L197" s="556"/>
    </row>
    <row r="198" spans="12:12">
      <c r="L198" s="556"/>
    </row>
    <row r="199" spans="12:12">
      <c r="L199" s="556"/>
    </row>
    <row r="200" spans="12:12">
      <c r="L200" s="556"/>
    </row>
    <row r="201" spans="12:12">
      <c r="L201" s="556"/>
    </row>
    <row r="202" spans="12:12">
      <c r="L202" s="556"/>
    </row>
    <row r="203" spans="12:12">
      <c r="L203" s="556"/>
    </row>
    <row r="204" spans="12:12">
      <c r="L204" s="556"/>
    </row>
    <row r="205" spans="12:12">
      <c r="L205" s="556"/>
    </row>
    <row r="206" spans="12:12">
      <c r="L206" s="556"/>
    </row>
    <row r="207" spans="12:12">
      <c r="L207" s="556"/>
    </row>
    <row r="208" spans="12:12">
      <c r="L208" s="556"/>
    </row>
    <row r="209" spans="12:12">
      <c r="L209" s="556"/>
    </row>
    <row r="210" spans="12:12">
      <c r="L210" s="556"/>
    </row>
    <row r="211" spans="12:12">
      <c r="L211" s="556"/>
    </row>
    <row r="212" spans="12:12">
      <c r="L212" s="556"/>
    </row>
    <row r="213" spans="12:12">
      <c r="L213" s="556"/>
    </row>
    <row r="214" spans="12:12">
      <c r="L214" s="556"/>
    </row>
    <row r="215" spans="12:12">
      <c r="L215" s="556"/>
    </row>
    <row r="216" spans="12:12">
      <c r="L216" s="556"/>
    </row>
    <row r="217" spans="12:12">
      <c r="L217" s="556"/>
    </row>
    <row r="218" spans="12:12">
      <c r="L218" s="556"/>
    </row>
    <row r="219" spans="12:12">
      <c r="L219" s="556"/>
    </row>
    <row r="220" spans="12:12">
      <c r="L220" s="556"/>
    </row>
    <row r="221" spans="12:12">
      <c r="L221" s="556"/>
    </row>
    <row r="222" spans="12:12">
      <c r="L222" s="556"/>
    </row>
    <row r="223" spans="12:12">
      <c r="L223" s="556"/>
    </row>
    <row r="224" spans="12:12">
      <c r="L224" s="556"/>
    </row>
    <row r="225" spans="12:12">
      <c r="L225" s="556"/>
    </row>
    <row r="226" spans="12:12">
      <c r="L226" s="556"/>
    </row>
    <row r="227" spans="12:12">
      <c r="L227" s="556"/>
    </row>
    <row r="228" spans="12:12">
      <c r="L228" s="556"/>
    </row>
    <row r="229" spans="12:12">
      <c r="L229" s="556"/>
    </row>
    <row r="230" spans="12:12">
      <c r="L230" s="556"/>
    </row>
    <row r="231" spans="12:12">
      <c r="L231" s="556"/>
    </row>
    <row r="232" spans="12:12">
      <c r="L232" s="556"/>
    </row>
    <row r="233" spans="12:12">
      <c r="L233" s="556"/>
    </row>
    <row r="234" spans="12:12">
      <c r="L234" s="556"/>
    </row>
    <row r="235" spans="12:12">
      <c r="L235" s="556"/>
    </row>
    <row r="236" spans="12:12">
      <c r="L236" s="556"/>
    </row>
    <row r="237" spans="12:12">
      <c r="L237" s="556"/>
    </row>
    <row r="238" spans="12:12">
      <c r="L238" s="556"/>
    </row>
    <row r="239" spans="12:12">
      <c r="L239" s="556"/>
    </row>
    <row r="240" spans="12:12">
      <c r="L240" s="556"/>
    </row>
    <row r="241" spans="12:12">
      <c r="L241" s="556"/>
    </row>
    <row r="242" spans="12:12">
      <c r="L242" s="556"/>
    </row>
    <row r="243" spans="12:12">
      <c r="L243" s="556"/>
    </row>
    <row r="244" spans="12:12">
      <c r="L244" s="556"/>
    </row>
    <row r="245" spans="12:12">
      <c r="L245" s="556"/>
    </row>
    <row r="246" spans="12:12">
      <c r="L246" s="556"/>
    </row>
    <row r="247" spans="12:12">
      <c r="L247" s="556"/>
    </row>
    <row r="248" spans="12:12">
      <c r="L248" s="556"/>
    </row>
    <row r="249" spans="12:12">
      <c r="L249" s="556"/>
    </row>
    <row r="250" spans="12:12">
      <c r="L250" s="556"/>
    </row>
    <row r="251" spans="12:12">
      <c r="L251" s="556"/>
    </row>
    <row r="252" spans="12:12">
      <c r="L252" s="556"/>
    </row>
    <row r="253" spans="12:12">
      <c r="L253" s="556"/>
    </row>
    <row r="254" spans="12:12">
      <c r="L254" s="556"/>
    </row>
    <row r="255" spans="12:12">
      <c r="L255" s="556"/>
    </row>
    <row r="256" spans="12:12">
      <c r="L256" s="556"/>
    </row>
    <row r="257" spans="12:12">
      <c r="L257" s="556"/>
    </row>
  </sheetData>
  <customSheetViews>
    <customSheetView guid="{8EE6466D-211E-4E05-9F84-CC0A1C6F79F4}" scale="70" showGridLines="0" fitToPage="1">
      <selection activeCell="C74" sqref="C74"/>
      <rowBreaks count="1" manualBreakCount="1">
        <brk id="44" max="34" man="1"/>
      </rowBreaks>
      <pageMargins left="0.5" right="0.5" top="0.5" bottom="0.3" header="0.5" footer="0.25"/>
      <pageSetup scale="48" orientation="landscape" r:id="rId1"/>
      <headerFooter scaleWithDoc="0" alignWithMargins="0">
        <oddFooter>&amp;C&amp;8 28</oddFooter>
      </headerFooter>
    </customSheetView>
  </customSheetViews>
  <mergeCells count="2">
    <mergeCell ref="AB5:AD5"/>
    <mergeCell ref="AA8:AI8"/>
  </mergeCells>
  <pageMargins left="0.5" right="0.5" top="0.5" bottom="0.3" header="0.5" footer="0.25"/>
  <pageSetup scale="46" firstPageNumber="28" orientation="landscape" useFirstPageNumber="1" r:id="rId2"/>
  <headerFooter scaleWithDoc="0" alignWithMargins="0">
    <oddFooter>&amp;C&amp;8&amp;P</oddFooter>
  </headerFooter>
  <rowBreaks count="1" manualBreakCount="1">
    <brk id="82" max="34" man="1"/>
  </rowBreaks>
  <ignoredErrors>
    <ignoredError sqref="AJ37 AI18 AJ38:AJ40 AJ41 AI71:AI73 AI21 AI24 AI48:AI50 AI67:AI69 AI66 AI59:AI61 AI56:AI57 AI54 AI52 AI64 AI51 AI65 AI53 AI55 AI58 AI62:AI63 AI44 AI46 AI40 AI38:AI39 AI41 AI47 AI45 AI43" unlockedFormula="1"/>
    <ignoredError sqref="C43 E43 G43 I43 K43"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A112"/>
  <sheetViews>
    <sheetView zoomScale="70" zoomScaleNormal="70" workbookViewId="0"/>
  </sheetViews>
  <sheetFormatPr defaultColWidth="8.90625" defaultRowHeight="15"/>
  <cols>
    <col min="1" max="1" width="2.54296875" style="301" customWidth="1"/>
    <col min="2" max="2" width="15.6328125" style="301" customWidth="1"/>
    <col min="3" max="3" width="32.81640625" style="301" customWidth="1"/>
    <col min="4" max="4" width="2" style="301" customWidth="1"/>
    <col min="5" max="5" width="12.54296875" style="301" customWidth="1"/>
    <col min="6" max="6" width="1.81640625" style="301" customWidth="1"/>
    <col min="7" max="7" width="10.6328125" style="301" customWidth="1"/>
    <col min="8" max="8" width="1.81640625" style="301" customWidth="1"/>
    <col min="9" max="9" width="12.6328125" style="301" customWidth="1"/>
    <col min="10" max="10" width="1.81640625" style="301" customWidth="1"/>
    <col min="11" max="11" width="13.1796875" style="301" customWidth="1"/>
    <col min="12" max="12" width="1.1796875" style="301" customWidth="1"/>
    <col min="13" max="13" width="10.54296875" style="301" customWidth="1"/>
    <col min="14" max="14" width="1.81640625" style="301" customWidth="1"/>
    <col min="15" max="15" width="12.453125" style="301" customWidth="1"/>
    <col min="16" max="16" width="1.81640625" style="301" customWidth="1"/>
    <col min="17" max="17" width="12.1796875" style="301" customWidth="1"/>
    <col min="18" max="18" width="1.81640625" style="301" customWidth="1"/>
    <col min="19" max="19" width="12.1796875" style="301" customWidth="1"/>
    <col min="20" max="20" width="1.81640625" style="301" customWidth="1"/>
    <col min="21" max="21" width="10.81640625" style="301" customWidth="1"/>
    <col min="22" max="22" width="1.81640625" style="301" customWidth="1"/>
    <col min="23" max="23" width="10.08984375" style="301" customWidth="1"/>
    <col min="24" max="24" width="1.81640625" style="301" customWidth="1"/>
    <col min="25" max="25" width="10.81640625" style="301" customWidth="1"/>
    <col min="26" max="26" width="1.81640625" style="301" customWidth="1"/>
    <col min="27" max="27" width="9.6328125" style="301" bestFit="1" customWidth="1"/>
    <col min="28" max="29" width="1.81640625" style="301" customWidth="1"/>
    <col min="30" max="30" width="12.6328125" style="301" customWidth="1"/>
    <col min="31" max="32" width="1.08984375" style="301" customWidth="1"/>
    <col min="33" max="33" width="12.6328125" style="301" customWidth="1"/>
    <col min="34" max="35" width="1" style="301" customWidth="1"/>
    <col min="36" max="36" width="13.08984375" style="301" bestFit="1" customWidth="1"/>
    <col min="37" max="37" width="1.36328125" style="301" customWidth="1"/>
    <col min="38" max="38" width="12.36328125" style="301" customWidth="1"/>
    <col min="39" max="16384" width="8.90625" style="301"/>
  </cols>
  <sheetData>
    <row r="1" spans="1:40">
      <c r="B1" s="1172" t="s">
        <v>1103</v>
      </c>
    </row>
    <row r="2" spans="1:40">
      <c r="B2" s="1687"/>
    </row>
    <row r="3" spans="1:40" ht="19.5" customHeight="1">
      <c r="A3" s="634"/>
      <c r="B3" s="640" t="s">
        <v>0</v>
      </c>
      <c r="C3" s="635"/>
      <c r="D3" s="635"/>
      <c r="E3" s="635"/>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L3" s="739" t="s">
        <v>201</v>
      </c>
    </row>
    <row r="4" spans="1:40" ht="19.5" customHeight="1">
      <c r="A4" s="634"/>
      <c r="B4" s="640" t="s">
        <v>1146</v>
      </c>
      <c r="C4" s="635"/>
      <c r="D4" s="635"/>
      <c r="E4" s="635"/>
      <c r="F4" s="636"/>
      <c r="G4" s="636"/>
      <c r="H4" s="636"/>
      <c r="I4" s="636"/>
      <c r="J4" s="636"/>
      <c r="K4" s="636"/>
      <c r="L4" s="636"/>
      <c r="M4" s="636"/>
      <c r="N4" s="636"/>
      <c r="O4" s="636"/>
      <c r="P4" s="636"/>
      <c r="Q4" s="636"/>
      <c r="R4" s="636"/>
      <c r="S4" s="636"/>
      <c r="T4" s="636"/>
      <c r="U4" s="636"/>
      <c r="V4" s="636"/>
      <c r="W4" s="636"/>
      <c r="X4" s="636"/>
      <c r="Y4" s="636"/>
      <c r="Z4" s="636"/>
      <c r="AA4" s="636"/>
      <c r="AB4" s="636"/>
      <c r="AC4" s="636"/>
      <c r="AE4" s="637"/>
      <c r="AF4" s="637"/>
    </row>
    <row r="5" spans="1:40" ht="19.5" customHeight="1">
      <c r="A5" s="634"/>
      <c r="B5" s="560" t="s">
        <v>153</v>
      </c>
      <c r="C5" s="635"/>
      <c r="D5" s="635"/>
      <c r="E5" s="635"/>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L5" s="506"/>
    </row>
    <row r="6" spans="1:40" ht="19.5" customHeight="1">
      <c r="A6" s="634"/>
      <c r="B6" s="2996" t="s">
        <v>1489</v>
      </c>
      <c r="C6" s="635"/>
      <c r="D6" s="635"/>
      <c r="E6" s="635"/>
      <c r="F6" s="636"/>
      <c r="G6" s="636"/>
      <c r="H6" s="638"/>
      <c r="I6" s="636"/>
      <c r="J6" s="636"/>
      <c r="K6" s="636"/>
      <c r="L6" s="636"/>
      <c r="M6" s="636"/>
      <c r="N6" s="636"/>
      <c r="O6" s="636"/>
      <c r="P6" s="636"/>
      <c r="Q6" s="636"/>
      <c r="R6" s="636"/>
      <c r="S6" s="636"/>
      <c r="T6" s="636"/>
      <c r="U6" s="636"/>
      <c r="V6" s="636"/>
      <c r="W6" s="636"/>
      <c r="X6" s="636"/>
      <c r="Y6" s="636"/>
      <c r="Z6" s="636"/>
      <c r="AA6" s="636"/>
      <c r="AB6" s="636"/>
      <c r="AC6" s="636"/>
      <c r="AD6" s="636"/>
      <c r="AE6" s="639"/>
      <c r="AF6" s="639"/>
      <c r="AG6" s="639"/>
      <c r="AH6" s="639"/>
      <c r="AI6" s="639"/>
    </row>
    <row r="7" spans="1:40" ht="19.5" customHeight="1">
      <c r="A7" s="634"/>
      <c r="B7" s="640" t="s">
        <v>993</v>
      </c>
      <c r="C7" s="635"/>
      <c r="D7" s="635"/>
      <c r="E7" s="635"/>
      <c r="F7" s="636"/>
      <c r="G7" s="636"/>
      <c r="H7" s="638"/>
      <c r="I7" s="636"/>
      <c r="J7" s="636"/>
      <c r="K7" s="636"/>
      <c r="L7" s="636"/>
      <c r="M7" s="636"/>
      <c r="N7" s="636"/>
      <c r="O7" s="636"/>
      <c r="P7" s="636"/>
      <c r="Q7" s="636"/>
      <c r="R7" s="636"/>
      <c r="S7" s="636"/>
      <c r="T7" s="636"/>
      <c r="U7" s="636"/>
      <c r="V7" s="636"/>
      <c r="W7" s="636"/>
      <c r="X7" s="636"/>
      <c r="Y7" s="636"/>
      <c r="Z7" s="636"/>
      <c r="AA7" s="636"/>
      <c r="AB7" s="636"/>
      <c r="AC7" s="636"/>
      <c r="AD7" s="636"/>
      <c r="AE7" s="639"/>
      <c r="AF7" s="639"/>
      <c r="AG7" s="639"/>
      <c r="AH7" s="639"/>
      <c r="AI7" s="639"/>
    </row>
    <row r="8" spans="1:40" ht="19.5" customHeight="1">
      <c r="A8" s="634"/>
      <c r="C8" s="635"/>
      <c r="D8" s="635"/>
      <c r="E8" s="635"/>
      <c r="F8" s="636"/>
      <c r="G8" s="636"/>
      <c r="H8" s="636"/>
      <c r="I8" s="636"/>
      <c r="J8" s="636"/>
      <c r="K8" s="636"/>
      <c r="L8" s="636"/>
      <c r="M8" s="636"/>
      <c r="N8" s="636"/>
      <c r="O8" s="636"/>
      <c r="P8" s="636"/>
      <c r="Q8" s="636"/>
      <c r="R8" s="636"/>
      <c r="S8" s="636"/>
      <c r="T8" s="636"/>
      <c r="U8" s="636"/>
      <c r="V8" s="636"/>
      <c r="W8" s="636"/>
      <c r="X8" s="636"/>
      <c r="Y8" s="636"/>
      <c r="Z8" s="636"/>
      <c r="AA8" s="636"/>
      <c r="AB8" s="636"/>
      <c r="AC8" s="641"/>
    </row>
    <row r="9" spans="1:40" ht="15.75" customHeight="1">
      <c r="A9" s="634"/>
      <c r="B9" s="640"/>
      <c r="C9" s="635"/>
      <c r="D9" s="635"/>
      <c r="E9" s="635"/>
      <c r="F9" s="636"/>
      <c r="G9" s="636"/>
      <c r="H9" s="636"/>
      <c r="I9" s="636"/>
      <c r="J9" s="636"/>
      <c r="K9" s="636"/>
      <c r="L9" s="636"/>
      <c r="M9" s="636"/>
      <c r="N9" s="636"/>
      <c r="O9" s="636"/>
      <c r="P9" s="636"/>
      <c r="Q9" s="636"/>
      <c r="R9" s="636"/>
      <c r="S9" s="636"/>
      <c r="T9" s="636"/>
      <c r="U9" s="636"/>
      <c r="V9" s="636"/>
      <c r="W9" s="636"/>
      <c r="X9" s="636"/>
      <c r="Y9" s="636"/>
      <c r="Z9" s="636"/>
      <c r="AA9" s="636"/>
      <c r="AB9" s="636"/>
      <c r="AC9" s="641"/>
    </row>
    <row r="10" spans="1:40" ht="15.75" customHeight="1">
      <c r="A10" s="634"/>
      <c r="B10" s="642"/>
      <c r="C10" s="635"/>
      <c r="D10" s="635"/>
      <c r="E10" s="635"/>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41"/>
      <c r="AD10" s="3405" t="s">
        <v>1490</v>
      </c>
      <c r="AE10" s="3412"/>
      <c r="AF10" s="3412"/>
      <c r="AG10" s="3412"/>
      <c r="AH10" s="3412"/>
      <c r="AI10" s="3412"/>
      <c r="AJ10" s="3412"/>
      <c r="AK10" s="3412"/>
      <c r="AL10" s="3412"/>
    </row>
    <row r="11" spans="1:40" ht="15.75" customHeight="1">
      <c r="A11" s="634"/>
      <c r="B11" s="642"/>
      <c r="C11" s="635"/>
      <c r="D11" s="635"/>
      <c r="E11" s="1504"/>
      <c r="F11" s="1505"/>
      <c r="G11" s="1505"/>
      <c r="H11" s="1505"/>
      <c r="I11" s="1505"/>
      <c r="J11" s="1505"/>
      <c r="K11" s="1505"/>
      <c r="L11" s="1505"/>
      <c r="M11" s="1505"/>
      <c r="N11" s="1505"/>
      <c r="O11" s="1505"/>
      <c r="P11" s="1505"/>
      <c r="Q11" s="1505"/>
      <c r="R11" s="1505"/>
      <c r="S11" s="1505"/>
      <c r="T11" s="1505"/>
      <c r="U11" s="1505"/>
      <c r="V11" s="1505"/>
      <c r="W11" s="1505"/>
      <c r="X11" s="1505"/>
      <c r="Y11" s="1505"/>
      <c r="Z11" s="1505"/>
      <c r="AA11" s="1505"/>
      <c r="AB11" s="1505"/>
      <c r="AC11" s="1506"/>
      <c r="AD11" s="1461"/>
      <c r="AE11" s="1507"/>
      <c r="AF11" s="1507"/>
      <c r="AG11" s="1507"/>
      <c r="AH11" s="1507"/>
      <c r="AI11" s="1507"/>
      <c r="AJ11" s="1507"/>
      <c r="AK11" s="1507"/>
      <c r="AL11" s="1507"/>
    </row>
    <row r="12" spans="1:40" ht="15.75" customHeight="1">
      <c r="A12" s="643"/>
      <c r="B12" s="643"/>
      <c r="C12" s="643"/>
      <c r="D12" s="643"/>
      <c r="E12" s="1476">
        <v>2016</v>
      </c>
      <c r="F12" s="1508"/>
      <c r="G12" s="1508"/>
      <c r="H12" s="1508"/>
      <c r="I12" s="1508"/>
      <c r="J12" s="1508"/>
      <c r="K12" s="1508"/>
      <c r="L12" s="1508"/>
      <c r="M12" s="1508"/>
      <c r="N12" s="1508"/>
      <c r="O12" s="1508"/>
      <c r="P12" s="1508"/>
      <c r="Q12" s="1508"/>
      <c r="R12" s="1508"/>
      <c r="S12" s="1508"/>
      <c r="T12" s="1508"/>
      <c r="U12" s="1508"/>
      <c r="V12" s="1508"/>
      <c r="W12" s="1476">
        <v>2017</v>
      </c>
      <c r="X12" s="1508"/>
      <c r="Y12" s="1508"/>
      <c r="Z12" s="1508"/>
      <c r="AA12" s="1508"/>
      <c r="AB12" s="1508"/>
      <c r="AC12" s="1508"/>
      <c r="AD12" s="1509"/>
      <c r="AE12" s="1509"/>
      <c r="AF12" s="1509"/>
      <c r="AG12" s="1509"/>
      <c r="AH12" s="1509"/>
      <c r="AI12" s="1509"/>
      <c r="AJ12" s="1483" t="s">
        <v>8</v>
      </c>
      <c r="AK12" s="1483"/>
      <c r="AL12" s="1478" t="s">
        <v>9</v>
      </c>
      <c r="AM12" s="1512"/>
    </row>
    <row r="13" spans="1:40" ht="15.75" customHeight="1">
      <c r="A13" s="223"/>
      <c r="B13" s="223"/>
      <c r="C13" s="223"/>
      <c r="D13" s="223"/>
      <c r="E13" s="2191" t="s">
        <v>129</v>
      </c>
      <c r="F13" s="477"/>
      <c r="G13" s="2191" t="s">
        <v>130</v>
      </c>
      <c r="H13" s="477"/>
      <c r="I13" s="2191" t="s">
        <v>131</v>
      </c>
      <c r="J13" s="477"/>
      <c r="K13" s="2191" t="s">
        <v>132</v>
      </c>
      <c r="L13" s="477"/>
      <c r="M13" s="2191" t="s">
        <v>133</v>
      </c>
      <c r="N13" s="477"/>
      <c r="O13" s="2191" t="s">
        <v>134</v>
      </c>
      <c r="P13" s="477"/>
      <c r="Q13" s="2191" t="s">
        <v>135</v>
      </c>
      <c r="R13" s="477"/>
      <c r="S13" s="2191" t="s">
        <v>136</v>
      </c>
      <c r="T13" s="477"/>
      <c r="U13" s="2191" t="s">
        <v>137</v>
      </c>
      <c r="V13" s="477"/>
      <c r="W13" s="2191" t="s">
        <v>154</v>
      </c>
      <c r="X13" s="477"/>
      <c r="Y13" s="2191" t="s">
        <v>139</v>
      </c>
      <c r="Z13" s="477"/>
      <c r="AA13" s="2191" t="s">
        <v>140</v>
      </c>
      <c r="AB13" s="477"/>
      <c r="AC13" s="477"/>
      <c r="AD13" s="2191">
        <v>2016</v>
      </c>
      <c r="AE13" s="477"/>
      <c r="AF13" s="477"/>
      <c r="AG13" s="1510">
        <v>2015</v>
      </c>
      <c r="AH13" s="1511"/>
      <c r="AI13" s="1511"/>
      <c r="AJ13" s="1491" t="s">
        <v>13</v>
      </c>
      <c r="AK13" s="1481"/>
      <c r="AL13" s="1491" t="s">
        <v>14</v>
      </c>
      <c r="AM13" s="2194"/>
      <c r="AN13" s="645"/>
    </row>
    <row r="14" spans="1:40" ht="3.75" customHeight="1">
      <c r="A14" s="223"/>
      <c r="B14" s="221"/>
      <c r="C14" s="221"/>
      <c r="D14" s="22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368"/>
      <c r="AJ14" s="645"/>
      <c r="AK14" s="645"/>
      <c r="AL14" s="645"/>
      <c r="AM14" s="645"/>
    </row>
    <row r="15" spans="1:40" ht="15.75" customHeight="1">
      <c r="A15" s="223"/>
      <c r="B15" s="375" t="s">
        <v>1430</v>
      </c>
      <c r="C15" s="221"/>
      <c r="D15" s="223"/>
      <c r="E15" s="294">
        <v>-890.8</v>
      </c>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5"/>
      <c r="AD15" s="336">
        <v>-890.8</v>
      </c>
      <c r="AE15" s="422"/>
      <c r="AF15" s="423"/>
      <c r="AG15" s="646">
        <v>-724.4</v>
      </c>
      <c r="AH15" s="294"/>
      <c r="AI15" s="647"/>
      <c r="AJ15" s="646">
        <f>+AD15-AG15</f>
        <v>-166.39999999999998</v>
      </c>
      <c r="AK15" s="648"/>
      <c r="AL15" s="2731">
        <f>ROUND(IF(AG15=0,0,-AJ15/(AG15)),3)</f>
        <v>-0.23</v>
      </c>
      <c r="AM15" s="650"/>
    </row>
    <row r="16" spans="1:40" ht="15.75" customHeight="1">
      <c r="A16" s="223"/>
      <c r="B16" s="221"/>
      <c r="C16" s="221"/>
      <c r="D16" s="223"/>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472"/>
      <c r="AD16" s="367"/>
      <c r="AE16" s="485"/>
      <c r="AF16" s="253"/>
      <c r="AG16" s="367"/>
      <c r="AH16" s="367"/>
      <c r="AI16" s="644"/>
      <c r="AJ16" s="645"/>
      <c r="AK16" s="645"/>
      <c r="AL16" s="645"/>
    </row>
    <row r="17" spans="1:44" ht="15.6">
      <c r="A17" s="223"/>
      <c r="B17" s="221" t="s">
        <v>202</v>
      </c>
      <c r="C17" s="223"/>
      <c r="D17" s="223"/>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472"/>
      <c r="AD17" s="367"/>
      <c r="AE17" s="485"/>
      <c r="AF17" s="253"/>
      <c r="AG17" s="367"/>
      <c r="AH17" s="367"/>
      <c r="AI17" s="644"/>
      <c r="AJ17" s="645"/>
      <c r="AK17" s="645"/>
      <c r="AL17" s="645"/>
    </row>
    <row r="18" spans="1:44" ht="15.6">
      <c r="A18" s="223"/>
      <c r="B18" s="489" t="s">
        <v>1238</v>
      </c>
      <c r="C18" s="223"/>
      <c r="D18" s="223"/>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472"/>
      <c r="AD18" s="367"/>
      <c r="AE18" s="2047"/>
      <c r="AF18" s="253"/>
      <c r="AG18" s="367"/>
      <c r="AH18" s="367"/>
      <c r="AI18" s="644"/>
      <c r="AJ18" s="645"/>
      <c r="AK18" s="645"/>
      <c r="AL18" s="645"/>
    </row>
    <row r="19" spans="1:44" ht="15.6">
      <c r="A19" s="223"/>
      <c r="B19" s="2027" t="s">
        <v>1309</v>
      </c>
      <c r="C19" s="223"/>
      <c r="D19" s="223"/>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472"/>
      <c r="AD19" s="367"/>
      <c r="AE19" s="2047"/>
      <c r="AF19" s="253"/>
      <c r="AG19" s="367"/>
      <c r="AH19" s="367"/>
      <c r="AI19" s="644"/>
      <c r="AJ19" s="645"/>
      <c r="AK19" s="645"/>
      <c r="AL19" s="645"/>
    </row>
    <row r="20" spans="1:44">
      <c r="A20" s="223"/>
      <c r="B20" s="1256" t="s">
        <v>1259</v>
      </c>
      <c r="C20" s="223"/>
      <c r="D20" s="223"/>
      <c r="E20" s="2607">
        <f>+' Exhibit I State'!E19</f>
        <v>0.3</v>
      </c>
      <c r="F20" s="2720"/>
      <c r="G20" s="2607"/>
      <c r="H20" s="2720"/>
      <c r="I20" s="2607"/>
      <c r="J20" s="2768"/>
      <c r="K20" s="2607"/>
      <c r="L20" s="2769"/>
      <c r="M20" s="2607"/>
      <c r="N20" s="2769"/>
      <c r="O20" s="2607"/>
      <c r="P20" s="561"/>
      <c r="Q20" s="2607"/>
      <c r="R20" s="561"/>
      <c r="S20" s="2607"/>
      <c r="T20" s="561"/>
      <c r="U20" s="2607"/>
      <c r="V20" s="561"/>
      <c r="W20" s="3239"/>
      <c r="X20" s="561"/>
      <c r="Y20" s="3239"/>
      <c r="Z20" s="561"/>
      <c r="AA20" s="2816"/>
      <c r="AB20" s="2029"/>
      <c r="AC20" s="561"/>
      <c r="AD20" s="261">
        <f>ROUND(SUM(E20:AA20),1)</f>
        <v>0.3</v>
      </c>
      <c r="AE20" s="2030"/>
      <c r="AF20" s="562"/>
      <c r="AG20" s="591">
        <v>3</v>
      </c>
      <c r="AH20" s="566"/>
      <c r="AI20" s="586"/>
      <c r="AJ20" s="596">
        <f>ROUND(SUM(AD20-AG20),1)</f>
        <v>-2.7</v>
      </c>
      <c r="AK20" s="572"/>
      <c r="AL20" s="45">
        <f>ROUND(IF(AG20=0,0,AJ20/ABS(AG20)),3)</f>
        <v>-0.9</v>
      </c>
      <c r="AM20" s="1021"/>
    </row>
    <row r="21" spans="1:44">
      <c r="A21" s="223"/>
      <c r="B21" s="1256" t="s">
        <v>1261</v>
      </c>
      <c r="C21" s="223"/>
      <c r="D21" s="223"/>
      <c r="E21" s="2607">
        <f>+' Exhibit I State'!E20</f>
        <v>30.8</v>
      </c>
      <c r="F21" s="2720"/>
      <c r="G21" s="2607"/>
      <c r="H21" s="2720"/>
      <c r="I21" s="2607"/>
      <c r="J21" s="2768"/>
      <c r="K21" s="2607"/>
      <c r="L21" s="2769"/>
      <c r="M21" s="2607"/>
      <c r="N21" s="2769"/>
      <c r="O21" s="2607"/>
      <c r="P21" s="561"/>
      <c r="Q21" s="2607"/>
      <c r="R21" s="561"/>
      <c r="S21" s="2607"/>
      <c r="T21" s="561"/>
      <c r="U21" s="2607"/>
      <c r="V21" s="561"/>
      <c r="W21" s="3239"/>
      <c r="X21" s="561"/>
      <c r="Y21" s="3239"/>
      <c r="Z21" s="561"/>
      <c r="AA21" s="2816"/>
      <c r="AB21" s="2029"/>
      <c r="AC21" s="561"/>
      <c r="AD21" s="261">
        <f>ROUND(SUM(E21:AA21),1)</f>
        <v>30.8</v>
      </c>
      <c r="AE21" s="2030"/>
      <c r="AF21" s="562"/>
      <c r="AG21" s="591">
        <v>32.6</v>
      </c>
      <c r="AH21" s="566"/>
      <c r="AI21" s="586"/>
      <c r="AJ21" s="596">
        <f>ROUND(SUM(AD21-AG21),1)</f>
        <v>-1.8</v>
      </c>
      <c r="AK21" s="572"/>
      <c r="AL21" s="45">
        <f>ROUND(IF(AG21=0,0,AJ21/ABS(AG21)),3)</f>
        <v>-5.5E-2</v>
      </c>
      <c r="AM21" s="1021"/>
    </row>
    <row r="22" spans="1:44">
      <c r="A22" s="223"/>
      <c r="B22" s="1256" t="s">
        <v>1263</v>
      </c>
      <c r="C22" s="223"/>
      <c r="D22" s="223"/>
      <c r="E22" s="2607">
        <f>+' Exhibit I State'!E21</f>
        <v>12.6</v>
      </c>
      <c r="F22" s="2720"/>
      <c r="G22" s="2607"/>
      <c r="H22" s="2720"/>
      <c r="I22" s="2607"/>
      <c r="J22" s="2768"/>
      <c r="K22" s="2607"/>
      <c r="L22" s="2769"/>
      <c r="M22" s="2607"/>
      <c r="N22" s="2769"/>
      <c r="O22" s="2607"/>
      <c r="P22" s="561"/>
      <c r="Q22" s="2607"/>
      <c r="R22" s="561"/>
      <c r="S22" s="2607"/>
      <c r="T22" s="561"/>
      <c r="U22" s="2607"/>
      <c r="V22" s="561"/>
      <c r="W22" s="3239"/>
      <c r="X22" s="561"/>
      <c r="Y22" s="3239"/>
      <c r="Z22" s="561"/>
      <c r="AA22" s="2816"/>
      <c r="AB22" s="2029"/>
      <c r="AC22" s="561"/>
      <c r="AD22" s="261">
        <f>ROUND(SUM(E22:AA22),1)</f>
        <v>12.6</v>
      </c>
      <c r="AE22" s="2030"/>
      <c r="AF22" s="562"/>
      <c r="AG22" s="591">
        <v>13.4</v>
      </c>
      <c r="AH22" s="566"/>
      <c r="AI22" s="586"/>
      <c r="AJ22" s="596">
        <f>ROUND(SUM(AD22-AG22),1)</f>
        <v>-0.8</v>
      </c>
      <c r="AK22" s="572"/>
      <c r="AL22" s="45">
        <f>ROUND(IF(AG22=0,0,AJ22/ABS(AG22)),3)</f>
        <v>-0.06</v>
      </c>
      <c r="AM22" s="1021"/>
    </row>
    <row r="23" spans="1:44" ht="15.6">
      <c r="A23" s="223"/>
      <c r="B23" s="588" t="s">
        <v>1361</v>
      </c>
      <c r="C23" s="223"/>
      <c r="D23" s="223"/>
      <c r="E23" s="2770">
        <f>ROUND(SUM(E20:E22),1)</f>
        <v>43.7</v>
      </c>
      <c r="F23" s="2771"/>
      <c r="G23" s="2770">
        <f>ROUND(SUM(G20:G22),1)</f>
        <v>0</v>
      </c>
      <c r="H23" s="2771"/>
      <c r="I23" s="2770">
        <f>ROUND(SUM(I20:I22),1)</f>
        <v>0</v>
      </c>
      <c r="J23" s="2771"/>
      <c r="K23" s="2770">
        <f>ROUND(SUM(K20:K22),1)</f>
        <v>0</v>
      </c>
      <c r="L23" s="2769"/>
      <c r="M23" s="2770">
        <f>ROUND(SUM(M20:M22),1)</f>
        <v>0</v>
      </c>
      <c r="N23" s="2769"/>
      <c r="O23" s="2770">
        <f>ROUND(SUM(O20:O22),1)</f>
        <v>0</v>
      </c>
      <c r="P23" s="561"/>
      <c r="Q23" s="2770">
        <f>ROUND(SUM(Q20:Q22),1)</f>
        <v>0</v>
      </c>
      <c r="R23" s="561"/>
      <c r="S23" s="2770">
        <f>ROUND(SUM(S20:S22),1)</f>
        <v>0</v>
      </c>
      <c r="T23" s="561"/>
      <c r="U23" s="2770">
        <f>ROUND(SUM(U20:U22),1)</f>
        <v>0</v>
      </c>
      <c r="V23" s="561"/>
      <c r="W23" s="3009">
        <f>ROUND(SUM(W20:W22),1)</f>
        <v>0</v>
      </c>
      <c r="X23" s="561"/>
      <c r="Y23" s="3009">
        <f>ROUND(SUM(Y20:Y22),1)</f>
        <v>0</v>
      </c>
      <c r="Z23" s="561"/>
      <c r="AA23" s="1269">
        <f>ROUND(SUM(AA20:AA22),1)</f>
        <v>0</v>
      </c>
      <c r="AB23" s="2029"/>
      <c r="AC23" s="561"/>
      <c r="AD23" s="483">
        <f>ROUND(SUM(AD20:AD22),1)</f>
        <v>43.7</v>
      </c>
      <c r="AE23" s="2030"/>
      <c r="AF23" s="562"/>
      <c r="AG23" s="483">
        <f>ROUND(SUM(AG20:AG22),1)</f>
        <v>49</v>
      </c>
      <c r="AH23" s="566"/>
      <c r="AI23" s="586"/>
      <c r="AJ23" s="2193">
        <f>ROUND(SUM(AD23-AG23),1)</f>
        <v>-5.3</v>
      </c>
      <c r="AK23" s="582"/>
      <c r="AL23" s="72">
        <f>ROUND(IF(AG23=0,0,AJ23/ABS(AG23)),3)</f>
        <v>-0.108</v>
      </c>
      <c r="AM23" s="1021"/>
    </row>
    <row r="24" spans="1:44" ht="15.6">
      <c r="A24" s="223"/>
      <c r="B24" s="2027" t="s">
        <v>1310</v>
      </c>
      <c r="C24" s="223"/>
      <c r="D24" s="223"/>
      <c r="E24" s="2772"/>
      <c r="F24" s="2771"/>
      <c r="G24" s="2772"/>
      <c r="H24" s="2771"/>
      <c r="I24" s="2772"/>
      <c r="J24" s="2771"/>
      <c r="K24" s="2772"/>
      <c r="L24" s="2769"/>
      <c r="M24" s="2772"/>
      <c r="N24" s="2769"/>
      <c r="O24" s="2772"/>
      <c r="P24" s="561"/>
      <c r="Q24" s="2772"/>
      <c r="R24" s="561"/>
      <c r="S24" s="2772"/>
      <c r="T24" s="561"/>
      <c r="U24" s="2772"/>
      <c r="V24" s="561"/>
      <c r="W24" s="315"/>
      <c r="X24" s="561"/>
      <c r="Y24" s="315"/>
      <c r="Z24" s="561"/>
      <c r="AA24" s="315"/>
      <c r="AB24" s="2029"/>
      <c r="AC24" s="561"/>
      <c r="AD24" s="273"/>
      <c r="AE24" s="2030"/>
      <c r="AF24" s="562"/>
      <c r="AG24" s="273"/>
      <c r="AH24" s="566"/>
      <c r="AI24" s="586"/>
      <c r="AJ24" s="2033"/>
      <c r="AK24" s="582"/>
      <c r="AL24" s="114"/>
      <c r="AM24" s="1021"/>
    </row>
    <row r="25" spans="1:44" ht="15.6">
      <c r="A25" s="223"/>
      <c r="B25" s="1256" t="s">
        <v>1266</v>
      </c>
      <c r="C25" s="223"/>
      <c r="D25" s="223"/>
      <c r="E25" s="2607">
        <f>+' Exhibit I State'!E24</f>
        <v>0</v>
      </c>
      <c r="F25" s="2771"/>
      <c r="G25" s="2607"/>
      <c r="H25" s="2771"/>
      <c r="I25" s="2607"/>
      <c r="J25" s="2771"/>
      <c r="K25" s="2607"/>
      <c r="L25" s="2769"/>
      <c r="M25" s="2607"/>
      <c r="N25" s="2769"/>
      <c r="O25" s="2607"/>
      <c r="P25" s="561"/>
      <c r="Q25" s="2607"/>
      <c r="R25" s="561"/>
      <c r="S25" s="2607"/>
      <c r="T25" s="561"/>
      <c r="U25" s="2607"/>
      <c r="V25" s="561"/>
      <c r="W25" s="3239"/>
      <c r="X25" s="561"/>
      <c r="Y25" s="3239"/>
      <c r="Z25" s="561"/>
      <c r="AA25" s="2816"/>
      <c r="AB25" s="2029"/>
      <c r="AC25" s="561"/>
      <c r="AD25" s="1860">
        <v>0</v>
      </c>
      <c r="AE25" s="2030"/>
      <c r="AF25" s="562"/>
      <c r="AG25" s="591">
        <v>0</v>
      </c>
      <c r="AH25" s="566"/>
      <c r="AI25" s="586"/>
      <c r="AJ25" s="596">
        <f>ROUND(SUM(AD25-AG25),1)</f>
        <v>0</v>
      </c>
      <c r="AK25" s="572"/>
      <c r="AL25" s="2767">
        <f>ROUND(IF(AG25=0,0,AJ25/ABS(AG25)),3)</f>
        <v>0</v>
      </c>
      <c r="AM25" s="1021"/>
      <c r="AN25" s="557"/>
      <c r="AO25" s="557"/>
      <c r="AP25" s="557"/>
      <c r="AQ25" s="557"/>
      <c r="AR25" s="557"/>
    </row>
    <row r="26" spans="1:44" ht="15.6">
      <c r="A26" s="223"/>
      <c r="B26" s="1256" t="s">
        <v>1267</v>
      </c>
      <c r="C26" s="223"/>
      <c r="D26" s="223"/>
      <c r="E26" s="2607">
        <f>+' Exhibit I State'!E25</f>
        <v>0.8</v>
      </c>
      <c r="F26" s="2720"/>
      <c r="G26" s="2607"/>
      <c r="H26" s="2720"/>
      <c r="I26" s="2607"/>
      <c r="J26" s="2771"/>
      <c r="K26" s="2607"/>
      <c r="L26" s="2769"/>
      <c r="M26" s="2607"/>
      <c r="N26" s="2769"/>
      <c r="O26" s="2607"/>
      <c r="P26" s="561"/>
      <c r="Q26" s="2607"/>
      <c r="R26" s="561"/>
      <c r="S26" s="2607"/>
      <c r="T26" s="561"/>
      <c r="U26" s="2607"/>
      <c r="V26" s="561"/>
      <c r="W26" s="3239"/>
      <c r="X26" s="561"/>
      <c r="Y26" s="3239"/>
      <c r="Z26" s="561"/>
      <c r="AA26" s="2816"/>
      <c r="AB26" s="2029"/>
      <c r="AC26" s="561"/>
      <c r="AD26" s="261">
        <f>ROUND(SUM(E26:AA26),1)</f>
        <v>0.8</v>
      </c>
      <c r="AE26" s="2030"/>
      <c r="AF26" s="562"/>
      <c r="AG26" s="591">
        <v>0.1</v>
      </c>
      <c r="AH26" s="566"/>
      <c r="AI26" s="586"/>
      <c r="AJ26" s="596">
        <f>ROUND(SUM(AD26-AG26),1)</f>
        <v>0.7</v>
      </c>
      <c r="AK26" s="572"/>
      <c r="AL26" s="2741">
        <f>ROUND(IF(AG26=0,1,AJ26/ABS(AG26)),3)</f>
        <v>7</v>
      </c>
      <c r="AM26" s="1021"/>
      <c r="AN26" s="557"/>
      <c r="AO26" s="557"/>
      <c r="AP26" s="557"/>
      <c r="AQ26" s="557"/>
      <c r="AR26" s="557"/>
    </row>
    <row r="27" spans="1:44" ht="15.6">
      <c r="A27" s="223"/>
      <c r="B27" s="1256" t="s">
        <v>1270</v>
      </c>
      <c r="C27" s="223"/>
      <c r="D27" s="223"/>
      <c r="E27" s="2607">
        <f>+' Exhibit I State'!E26</f>
        <v>48.2</v>
      </c>
      <c r="F27" s="2720"/>
      <c r="G27" s="2607"/>
      <c r="H27" s="2720"/>
      <c r="I27" s="2607"/>
      <c r="J27" s="2771"/>
      <c r="K27" s="2607"/>
      <c r="L27" s="2769"/>
      <c r="M27" s="2607"/>
      <c r="N27" s="2769"/>
      <c r="O27" s="2607"/>
      <c r="P27" s="561"/>
      <c r="Q27" s="2607"/>
      <c r="R27" s="561"/>
      <c r="S27" s="2607"/>
      <c r="T27" s="561"/>
      <c r="U27" s="2607"/>
      <c r="V27" s="561"/>
      <c r="W27" s="3239"/>
      <c r="X27" s="561"/>
      <c r="Y27" s="3239"/>
      <c r="Z27" s="561"/>
      <c r="AA27" s="2816"/>
      <c r="AB27" s="2029"/>
      <c r="AC27" s="561"/>
      <c r="AD27" s="261">
        <f>ROUND(SUM(E27:AA27),1)</f>
        <v>48.2</v>
      </c>
      <c r="AE27" s="2030"/>
      <c r="AF27" s="562"/>
      <c r="AG27" s="591">
        <v>50.8</v>
      </c>
      <c r="AH27" s="566"/>
      <c r="AI27" s="586"/>
      <c r="AJ27" s="596">
        <f>ROUND(SUM(AD27-AG27),1)</f>
        <v>-2.6</v>
      </c>
      <c r="AK27" s="572"/>
      <c r="AL27" s="2726">
        <f>ROUND(IF(AG27=0,0,AJ27/ABS(AG27)),3)</f>
        <v>-5.0999999999999997E-2</v>
      </c>
      <c r="AM27" s="1021"/>
      <c r="AN27" s="557"/>
      <c r="AO27" s="557"/>
      <c r="AP27" s="557"/>
      <c r="AQ27" s="557"/>
      <c r="AR27" s="557"/>
    </row>
    <row r="28" spans="1:44" ht="15.6">
      <c r="A28" s="223"/>
      <c r="B28" s="588" t="s">
        <v>1362</v>
      </c>
      <c r="C28" s="223"/>
      <c r="D28" s="223"/>
      <c r="E28" s="2770">
        <f>ROUND(SUM(E25:E27),1)</f>
        <v>49</v>
      </c>
      <c r="F28" s="2720"/>
      <c r="G28" s="2770">
        <f>ROUND(SUM(G25:G27),1)</f>
        <v>0</v>
      </c>
      <c r="H28" s="2720"/>
      <c r="I28" s="2770">
        <f>ROUND(SUM(I25:I27),1)</f>
        <v>0</v>
      </c>
      <c r="J28" s="2771"/>
      <c r="K28" s="2770">
        <f>ROUND(SUM(K25:K27),1)</f>
        <v>0</v>
      </c>
      <c r="L28" s="2769"/>
      <c r="M28" s="2770">
        <f>ROUND(SUM(M25:M27),1)</f>
        <v>0</v>
      </c>
      <c r="N28" s="2769"/>
      <c r="O28" s="2770">
        <f>ROUND(SUM(O25:O27),1)</f>
        <v>0</v>
      </c>
      <c r="P28" s="561"/>
      <c r="Q28" s="2770">
        <f>ROUND(SUM(Q25:Q27),1)</f>
        <v>0</v>
      </c>
      <c r="R28" s="561"/>
      <c r="S28" s="2770">
        <f>ROUND(SUM(S25:S27),1)</f>
        <v>0</v>
      </c>
      <c r="T28" s="561"/>
      <c r="U28" s="2770">
        <f>ROUND(SUM(U25:U27),1)</f>
        <v>0</v>
      </c>
      <c r="V28" s="561"/>
      <c r="W28" s="3009">
        <f>ROUND(SUM(W25:W27),1)</f>
        <v>0</v>
      </c>
      <c r="X28" s="561"/>
      <c r="Y28" s="3009">
        <f>ROUND(SUM(Y25:Y27),1)</f>
        <v>0</v>
      </c>
      <c r="Z28" s="561"/>
      <c r="AA28" s="1269">
        <f>ROUND(SUM(AA25:AA27),1)</f>
        <v>0</v>
      </c>
      <c r="AB28" s="2029"/>
      <c r="AC28" s="561"/>
      <c r="AD28" s="1269">
        <f>ROUND(SUM(AD25:AD27),1)</f>
        <v>49</v>
      </c>
      <c r="AE28" s="2030"/>
      <c r="AF28" s="562"/>
      <c r="AG28" s="1269">
        <f>ROUND(SUM(AG25:AG27),1)</f>
        <v>50.9</v>
      </c>
      <c r="AH28" s="566"/>
      <c r="AI28" s="586"/>
      <c r="AJ28" s="1269">
        <f>ROUND(SUM(AJ25:AJ27),1)</f>
        <v>-1.9</v>
      </c>
      <c r="AK28" s="572"/>
      <c r="AL28" s="2764">
        <f>ROUND(IF(AG28=0,0,AJ28/ABS(AG28)),3)</f>
        <v>-3.6999999999999998E-2</v>
      </c>
      <c r="AM28" s="1021"/>
      <c r="AN28" s="557"/>
      <c r="AO28" s="557"/>
      <c r="AP28" s="557"/>
      <c r="AQ28" s="557"/>
      <c r="AR28" s="557"/>
    </row>
    <row r="29" spans="1:44" ht="15.6">
      <c r="A29" s="223"/>
      <c r="B29" s="2027" t="s">
        <v>1311</v>
      </c>
      <c r="C29" s="223"/>
      <c r="D29" s="223"/>
      <c r="E29" s="2773"/>
      <c r="F29" s="2773"/>
      <c r="G29" s="2773"/>
      <c r="H29" s="2773"/>
      <c r="I29" s="2773"/>
      <c r="J29" s="2773"/>
      <c r="K29" s="2773"/>
      <c r="L29" s="2773"/>
      <c r="M29" s="2773"/>
      <c r="N29" s="2773"/>
      <c r="O29" s="2773"/>
      <c r="P29" s="367"/>
      <c r="Q29" s="2773"/>
      <c r="R29" s="367"/>
      <c r="S29" s="2773"/>
      <c r="T29" s="367"/>
      <c r="U29" s="2773"/>
      <c r="V29" s="367"/>
      <c r="W29" s="367"/>
      <c r="X29" s="367"/>
      <c r="Y29" s="367"/>
      <c r="Z29" s="367"/>
      <c r="AA29" s="367"/>
      <c r="AB29" s="367"/>
      <c r="AC29" s="472"/>
      <c r="AD29" s="367"/>
      <c r="AE29" s="2047"/>
      <c r="AF29" s="253"/>
      <c r="AG29" s="367"/>
      <c r="AH29" s="367"/>
      <c r="AI29" s="644"/>
      <c r="AJ29" s="645"/>
      <c r="AK29" s="645"/>
      <c r="AL29" s="2774"/>
    </row>
    <row r="30" spans="1:44" ht="15.6">
      <c r="A30" s="223"/>
      <c r="B30" s="1256" t="s">
        <v>1276</v>
      </c>
      <c r="C30" s="223"/>
      <c r="D30" s="223"/>
      <c r="E30" s="2607">
        <f>+' Exhibit I State'!E29</f>
        <v>0</v>
      </c>
      <c r="F30" s="2720"/>
      <c r="G30" s="2607"/>
      <c r="H30" s="2720"/>
      <c r="I30" s="2607"/>
      <c r="J30" s="2771"/>
      <c r="K30" s="2607"/>
      <c r="L30" s="2769"/>
      <c r="M30" s="2607"/>
      <c r="N30" s="2769"/>
      <c r="O30" s="2607"/>
      <c r="P30" s="561"/>
      <c r="Q30" s="2607"/>
      <c r="R30" s="561"/>
      <c r="S30" s="2607"/>
      <c r="T30" s="561"/>
      <c r="U30" s="2607"/>
      <c r="V30" s="561"/>
      <c r="W30" s="3239"/>
      <c r="X30" s="561"/>
      <c r="Y30" s="3239"/>
      <c r="Z30" s="561"/>
      <c r="AA30" s="2816"/>
      <c r="AB30" s="2029"/>
      <c r="AC30" s="561"/>
      <c r="AD30" s="261">
        <f>ROUND(SUM(E30:AA30),1)</f>
        <v>0</v>
      </c>
      <c r="AE30" s="2030"/>
      <c r="AF30" s="562"/>
      <c r="AG30" s="591">
        <v>0</v>
      </c>
      <c r="AH30" s="566"/>
      <c r="AI30" s="586"/>
      <c r="AJ30" s="596">
        <f>ROUND(SUM(AD30-AG30),1)</f>
        <v>0</v>
      </c>
      <c r="AK30" s="572"/>
      <c r="AL30" s="2726">
        <f>ROUND(IF(AG30=0,0,AJ30/ABS(AG30)),3)</f>
        <v>0</v>
      </c>
      <c r="AM30" s="1021"/>
      <c r="AN30" s="557"/>
      <c r="AO30" s="557"/>
      <c r="AP30" s="557"/>
    </row>
    <row r="31" spans="1:44" ht="15.6">
      <c r="A31" s="223"/>
      <c r="B31" s="588" t="s">
        <v>1363</v>
      </c>
      <c r="C31" s="223"/>
      <c r="D31" s="223"/>
      <c r="E31" s="256">
        <f>ROUND(SUM(E30:E30),1)</f>
        <v>0</v>
      </c>
      <c r="F31" s="1838"/>
      <c r="G31" s="256">
        <f>ROUND(SUM(G30:G30),1)</f>
        <v>0</v>
      </c>
      <c r="H31" s="1838"/>
      <c r="I31" s="256">
        <f>ROUND(SUM(I30:I30),1)</f>
        <v>0</v>
      </c>
      <c r="J31" s="1838"/>
      <c r="K31" s="256">
        <f>ROUND(SUM(K30:K30),1)</f>
        <v>0</v>
      </c>
      <c r="L31" s="561"/>
      <c r="M31" s="256">
        <f>ROUND(SUM(M30:M30),1)</f>
        <v>0</v>
      </c>
      <c r="N31" s="561"/>
      <c r="O31" s="256">
        <f>ROUND(SUM(O30:O30),1)</f>
        <v>0</v>
      </c>
      <c r="P31" s="561"/>
      <c r="Q31" s="256">
        <f>ROUND(SUM(Q30:Q30),1)</f>
        <v>0</v>
      </c>
      <c r="R31" s="561"/>
      <c r="S31" s="256">
        <f>ROUND(SUM(S30:S30),1)</f>
        <v>0</v>
      </c>
      <c r="T31" s="561"/>
      <c r="U31" s="256">
        <f>ROUND(SUM(U30:U30),1)</f>
        <v>0</v>
      </c>
      <c r="V31" s="561"/>
      <c r="W31" s="256">
        <f>ROUND(SUM(W30:W30),1)</f>
        <v>0</v>
      </c>
      <c r="X31" s="561"/>
      <c r="Y31" s="256">
        <f>ROUND(SUM(Y30:Y30),1)</f>
        <v>0</v>
      </c>
      <c r="Z31" s="561"/>
      <c r="AA31" s="256">
        <f>ROUND(SUM(AA30:AA30),1)</f>
        <v>0</v>
      </c>
      <c r="AB31" s="2029"/>
      <c r="AC31" s="561"/>
      <c r="AD31" s="256">
        <f>ROUND(SUM(AD30:AD30),1)</f>
        <v>0</v>
      </c>
      <c r="AE31" s="2030"/>
      <c r="AF31" s="562"/>
      <c r="AG31" s="256">
        <f>ROUND(SUM(AG30:AG30),1)</f>
        <v>0</v>
      </c>
      <c r="AH31" s="566"/>
      <c r="AI31" s="586"/>
      <c r="AJ31" s="2193">
        <f>ROUND(SUM(AD31-AG31),1)</f>
        <v>0</v>
      </c>
      <c r="AK31" s="582"/>
      <c r="AL31" s="2745">
        <f>ROUND(IF(AG31=0,0,AJ31/ABS(AG31)),3)</f>
        <v>0</v>
      </c>
      <c r="AM31" s="1021"/>
      <c r="AN31" s="557"/>
      <c r="AO31" s="557"/>
      <c r="AP31" s="557"/>
    </row>
    <row r="32" spans="1:44" ht="15.6">
      <c r="A32" s="223"/>
      <c r="B32" s="588"/>
      <c r="C32" s="223"/>
      <c r="D32" s="223"/>
      <c r="E32" s="483"/>
      <c r="F32" s="1838"/>
      <c r="G32" s="483"/>
      <c r="H32" s="1838"/>
      <c r="I32" s="483"/>
      <c r="J32" s="1838"/>
      <c r="K32" s="483"/>
      <c r="L32" s="561"/>
      <c r="M32" s="483"/>
      <c r="N32" s="561"/>
      <c r="O32" s="3009"/>
      <c r="P32" s="561"/>
      <c r="Q32" s="3009"/>
      <c r="R32" s="561"/>
      <c r="S32" s="3009"/>
      <c r="T32" s="561"/>
      <c r="U32" s="3009"/>
      <c r="V32" s="561"/>
      <c r="W32" s="3009"/>
      <c r="X32" s="561"/>
      <c r="Y32" s="3009"/>
      <c r="Z32" s="561"/>
      <c r="AA32" s="1269"/>
      <c r="AB32" s="2029"/>
      <c r="AC32" s="561"/>
      <c r="AD32" s="483"/>
      <c r="AE32" s="2030"/>
      <c r="AF32" s="562"/>
      <c r="AG32" s="562"/>
      <c r="AH32" s="566"/>
      <c r="AI32" s="586"/>
      <c r="AJ32" s="587"/>
      <c r="AK32" s="572"/>
      <c r="AL32" s="2763"/>
      <c r="AM32" s="1021"/>
      <c r="AN32" s="557"/>
      <c r="AO32" s="557"/>
      <c r="AP32" s="557"/>
    </row>
    <row r="33" spans="1:42" ht="15.6">
      <c r="A33" s="223"/>
      <c r="B33" s="588" t="s">
        <v>1272</v>
      </c>
      <c r="C33" s="223"/>
      <c r="D33" s="223"/>
      <c r="E33" s="2031">
        <f>ROUND(SUM(E11+E28+E23+E31),1)</f>
        <v>92.7</v>
      </c>
      <c r="F33" s="261"/>
      <c r="G33" s="2031">
        <f>ROUND(SUM(G11+G28+G23+G31),1)</f>
        <v>0</v>
      </c>
      <c r="H33" s="261"/>
      <c r="I33" s="2031">
        <f>ROUND(SUM(I11+I28+I23+I31),1)</f>
        <v>0</v>
      </c>
      <c r="J33" s="261"/>
      <c r="K33" s="2031">
        <f>ROUND(SUM(K11+K28+K23+K31),1)</f>
        <v>0</v>
      </c>
      <c r="L33" s="561"/>
      <c r="M33" s="2031">
        <f>ROUND(SUM(M11+M28+M23+M31),1)</f>
        <v>0</v>
      </c>
      <c r="N33" s="561"/>
      <c r="O33" s="2031">
        <f>ROUND(SUM(O11+O28+O23+O31),1)</f>
        <v>0</v>
      </c>
      <c r="P33" s="561"/>
      <c r="Q33" s="2031">
        <f>ROUND(SUM(Q11+Q28+Q23+Q31),1)</f>
        <v>0</v>
      </c>
      <c r="R33" s="561"/>
      <c r="S33" s="2031">
        <f>ROUND(SUM(S11+S28+S23+S31),1)</f>
        <v>0</v>
      </c>
      <c r="T33" s="561"/>
      <c r="U33" s="2031">
        <f>ROUND(SUM(U11+U28+U23+U31),1)</f>
        <v>0</v>
      </c>
      <c r="V33" s="561"/>
      <c r="W33" s="2031">
        <f>ROUND(SUM(W11+W28+W23+W31),1)</f>
        <v>0</v>
      </c>
      <c r="X33" s="561"/>
      <c r="Y33" s="2031">
        <f>ROUND(SUM(Y11+Y28+Y23+Y31),1)</f>
        <v>0</v>
      </c>
      <c r="Z33" s="561"/>
      <c r="AA33" s="2031">
        <f>ROUND(SUM(AA11+AA28+AA23+AA31),1)</f>
        <v>0</v>
      </c>
      <c r="AB33" s="2029"/>
      <c r="AC33" s="561"/>
      <c r="AD33" s="2031">
        <f>ROUND(SUM(AD11+AD28+AD23+AD31),1)</f>
        <v>92.7</v>
      </c>
      <c r="AE33" s="2030"/>
      <c r="AF33" s="562"/>
      <c r="AG33" s="2031">
        <f>ROUND(SUM(AG11+AG28+AG23+AG31),1)</f>
        <v>99.9</v>
      </c>
      <c r="AH33" s="566"/>
      <c r="AI33" s="586"/>
      <c r="AJ33" s="2193">
        <f>ROUND(SUM(AD33-AG33),1)</f>
        <v>-7.2</v>
      </c>
      <c r="AK33" s="582"/>
      <c r="AL33" s="2745">
        <f>ROUND(IF(AG33=0,0,AJ33/ABS(AG33)),3)</f>
        <v>-7.1999999999999995E-2</v>
      </c>
      <c r="AM33" s="1021"/>
      <c r="AN33" s="557"/>
      <c r="AO33" s="557"/>
      <c r="AP33" s="557"/>
    </row>
    <row r="34" spans="1:42" ht="15.6">
      <c r="A34" s="223"/>
      <c r="B34" s="588"/>
      <c r="C34" s="223"/>
      <c r="D34" s="223"/>
      <c r="E34" s="2034"/>
      <c r="F34" s="261"/>
      <c r="G34" s="2034"/>
      <c r="H34" s="261"/>
      <c r="I34" s="2034"/>
      <c r="J34" s="261"/>
      <c r="K34" s="2034"/>
      <c r="L34" s="561"/>
      <c r="M34" s="2034"/>
      <c r="N34" s="561"/>
      <c r="O34" s="2034"/>
      <c r="P34" s="561"/>
      <c r="Q34" s="2034"/>
      <c r="R34" s="561"/>
      <c r="S34" s="2034"/>
      <c r="T34" s="561"/>
      <c r="U34" s="2034"/>
      <c r="V34" s="561"/>
      <c r="W34" s="2034"/>
      <c r="X34" s="561"/>
      <c r="Y34" s="2034"/>
      <c r="Z34" s="561"/>
      <c r="AA34" s="2034"/>
      <c r="AB34" s="2635"/>
      <c r="AC34" s="561"/>
      <c r="AD34" s="2034"/>
      <c r="AE34" s="2030"/>
      <c r="AF34" s="562"/>
      <c r="AG34" s="2034"/>
      <c r="AH34" s="566"/>
      <c r="AI34" s="586"/>
      <c r="AJ34" s="2033"/>
      <c r="AK34" s="582"/>
      <c r="AL34" s="2731"/>
      <c r="AM34" s="1021"/>
      <c r="AN34" s="557"/>
      <c r="AO34" s="557"/>
      <c r="AP34" s="557"/>
    </row>
    <row r="35" spans="1:42" ht="15.6">
      <c r="A35" s="223"/>
      <c r="B35" s="489" t="s">
        <v>1173</v>
      </c>
      <c r="C35" s="223"/>
      <c r="D35" s="223"/>
      <c r="E35" s="372"/>
      <c r="F35" s="261"/>
      <c r="G35" s="516"/>
      <c r="H35" s="261"/>
      <c r="I35" s="516"/>
      <c r="J35" s="261"/>
      <c r="K35" s="516"/>
      <c r="L35" s="261"/>
      <c r="M35" s="516"/>
      <c r="N35" s="261"/>
      <c r="O35" s="516"/>
      <c r="P35" s="261"/>
      <c r="Q35" s="516"/>
      <c r="R35" s="261"/>
      <c r="S35" s="516"/>
      <c r="T35" s="261"/>
      <c r="U35" s="516"/>
      <c r="V35" s="261"/>
      <c r="W35" s="679"/>
      <c r="X35" s="261"/>
      <c r="Y35" s="679"/>
      <c r="Z35" s="261"/>
      <c r="AA35" s="516"/>
      <c r="AB35" s="261"/>
      <c r="AC35" s="250"/>
      <c r="AD35" s="516"/>
      <c r="AE35" s="1933"/>
      <c r="AF35" s="255"/>
      <c r="AG35" s="651"/>
      <c r="AH35" s="274"/>
      <c r="AI35" s="654"/>
      <c r="AJ35" s="251"/>
      <c r="AK35" s="652"/>
      <c r="AL35" s="2726"/>
      <c r="AM35" s="645"/>
    </row>
    <row r="36" spans="1:42" ht="15.6">
      <c r="A36" s="223"/>
      <c r="B36" s="1784" t="s">
        <v>1301</v>
      </c>
      <c r="C36" s="223"/>
      <c r="D36" s="223"/>
      <c r="E36" s="372"/>
      <c r="F36" s="261"/>
      <c r="G36" s="516"/>
      <c r="H36" s="261"/>
      <c r="I36" s="516"/>
      <c r="J36" s="261"/>
      <c r="K36" s="516"/>
      <c r="L36" s="261"/>
      <c r="M36" s="516"/>
      <c r="N36" s="261"/>
      <c r="O36" s="516"/>
      <c r="P36" s="261"/>
      <c r="Q36" s="516"/>
      <c r="R36" s="261"/>
      <c r="S36" s="516"/>
      <c r="T36" s="261"/>
      <c r="U36" s="516"/>
      <c r="V36" s="261"/>
      <c r="W36" s="679"/>
      <c r="X36" s="261"/>
      <c r="Y36" s="679"/>
      <c r="Z36" s="261"/>
      <c r="AA36" s="516"/>
      <c r="AB36" s="261"/>
      <c r="AC36" s="250"/>
      <c r="AD36" s="516"/>
      <c r="AE36" s="1933"/>
      <c r="AF36" s="255"/>
      <c r="AG36" s="651"/>
      <c r="AH36" s="274"/>
      <c r="AI36" s="654"/>
      <c r="AJ36" s="251"/>
      <c r="AK36" s="652"/>
      <c r="AL36" s="2726"/>
      <c r="AM36" s="645"/>
    </row>
    <row r="37" spans="1:42" ht="15.6">
      <c r="A37" s="223"/>
      <c r="B37" s="1784" t="s">
        <v>1207</v>
      </c>
      <c r="C37" s="223"/>
      <c r="D37" s="223"/>
      <c r="E37" s="372">
        <f>+' Exhibit I State'!E36+'Exhibit I Federal'!E18</f>
        <v>0</v>
      </c>
      <c r="F37" s="261"/>
      <c r="G37" s="372"/>
      <c r="H37" s="261"/>
      <c r="I37" s="372"/>
      <c r="J37" s="261"/>
      <c r="K37" s="372"/>
      <c r="L37" s="261"/>
      <c r="M37" s="372"/>
      <c r="N37" s="261"/>
      <c r="O37" s="372"/>
      <c r="P37" s="261"/>
      <c r="Q37" s="372"/>
      <c r="R37" s="261"/>
      <c r="S37" s="372"/>
      <c r="T37" s="261"/>
      <c r="U37" s="372"/>
      <c r="V37" s="261"/>
      <c r="W37" s="1120"/>
      <c r="X37" s="261"/>
      <c r="Y37" s="1120"/>
      <c r="Z37" s="261"/>
      <c r="AA37" s="1120"/>
      <c r="AB37" s="261"/>
      <c r="AC37" s="250"/>
      <c r="AD37" s="516">
        <f t="shared" ref="AD37:AD60" si="0">ROUND(SUM(E37:AA37),1)</f>
        <v>0</v>
      </c>
      <c r="AE37" s="1933"/>
      <c r="AF37" s="255"/>
      <c r="AG37" s="2151">
        <v>0</v>
      </c>
      <c r="AH37" s="274"/>
      <c r="AI37" s="654"/>
      <c r="AJ37" s="251">
        <f t="shared" ref="AJ37:AJ60" si="1">ROUND(SUM(+AD37-AG37),1)</f>
        <v>0</v>
      </c>
      <c r="AK37" s="652"/>
      <c r="AL37" s="2726">
        <f>ROUND(IF(AG37=0,0,AJ37/ABS(AG37)),3)</f>
        <v>0</v>
      </c>
      <c r="AM37" s="645"/>
    </row>
    <row r="38" spans="1:42" ht="15.6">
      <c r="A38" s="223"/>
      <c r="B38" s="1784" t="s">
        <v>1302</v>
      </c>
      <c r="C38" s="223"/>
      <c r="D38" s="223"/>
      <c r="E38" s="372"/>
      <c r="F38" s="261"/>
      <c r="G38" s="372"/>
      <c r="H38" s="261"/>
      <c r="I38" s="372"/>
      <c r="J38" s="261"/>
      <c r="K38" s="372"/>
      <c r="L38" s="261"/>
      <c r="M38" s="372"/>
      <c r="N38" s="261"/>
      <c r="O38" s="372"/>
      <c r="P38" s="261"/>
      <c r="Q38" s="372"/>
      <c r="R38" s="261"/>
      <c r="S38" s="372"/>
      <c r="T38" s="261"/>
      <c r="U38" s="372"/>
      <c r="V38" s="261"/>
      <c r="W38" s="1120"/>
      <c r="X38" s="261"/>
      <c r="Y38" s="1120"/>
      <c r="Z38" s="261"/>
      <c r="AA38" s="1120"/>
      <c r="AB38" s="261"/>
      <c r="AC38" s="250"/>
      <c r="AD38" s="516"/>
      <c r="AE38" s="1933"/>
      <c r="AF38" s="255"/>
      <c r="AG38" s="2151"/>
      <c r="AH38" s="274"/>
      <c r="AI38" s="654"/>
      <c r="AJ38" s="251"/>
      <c r="AK38" s="652"/>
      <c r="AL38" s="2726"/>
      <c r="AM38" s="645"/>
    </row>
    <row r="39" spans="1:42" ht="15.6">
      <c r="A39" s="223"/>
      <c r="B39" s="1784" t="s">
        <v>1208</v>
      </c>
      <c r="C39" s="223"/>
      <c r="D39" s="223"/>
      <c r="E39" s="372">
        <f>+' Exhibit I State'!E38+'Exhibit I Federal'!E20</f>
        <v>9.4</v>
      </c>
      <c r="F39" s="261"/>
      <c r="G39" s="372"/>
      <c r="H39" s="261"/>
      <c r="I39" s="372"/>
      <c r="J39" s="261"/>
      <c r="K39" s="372"/>
      <c r="L39" s="261"/>
      <c r="M39" s="372"/>
      <c r="N39" s="261"/>
      <c r="O39" s="372"/>
      <c r="P39" s="261"/>
      <c r="Q39" s="372"/>
      <c r="R39" s="261"/>
      <c r="S39" s="372"/>
      <c r="T39" s="261"/>
      <c r="U39" s="372"/>
      <c r="V39" s="261"/>
      <c r="W39" s="1120"/>
      <c r="X39" s="261"/>
      <c r="Y39" s="1120"/>
      <c r="Z39" s="261"/>
      <c r="AA39" s="1120"/>
      <c r="AB39" s="261"/>
      <c r="AC39" s="250"/>
      <c r="AD39" s="516">
        <f t="shared" si="0"/>
        <v>9.4</v>
      </c>
      <c r="AE39" s="1933"/>
      <c r="AF39" s="255"/>
      <c r="AG39" s="2151">
        <v>9.1</v>
      </c>
      <c r="AH39" s="274"/>
      <c r="AI39" s="654"/>
      <c r="AJ39" s="251">
        <f t="shared" si="1"/>
        <v>0.3</v>
      </c>
      <c r="AK39" s="652"/>
      <c r="AL39" s="2726">
        <f>ROUND(IF(AG39=0,0,AJ39/ABS(AG39)),3)</f>
        <v>3.3000000000000002E-2</v>
      </c>
      <c r="AM39" s="645"/>
    </row>
    <row r="40" spans="1:42" ht="15.6">
      <c r="A40" s="223"/>
      <c r="B40" s="1784" t="s">
        <v>1307</v>
      </c>
      <c r="C40" s="223"/>
      <c r="D40" s="223"/>
      <c r="E40" s="372"/>
      <c r="F40" s="261"/>
      <c r="G40" s="372"/>
      <c r="H40" s="261"/>
      <c r="I40" s="372"/>
      <c r="J40" s="261"/>
      <c r="K40" s="372"/>
      <c r="L40" s="261"/>
      <c r="M40" s="372"/>
      <c r="N40" s="261"/>
      <c r="O40" s="372"/>
      <c r="P40" s="261"/>
      <c r="Q40" s="372"/>
      <c r="R40" s="261"/>
      <c r="S40" s="372"/>
      <c r="T40" s="261"/>
      <c r="U40" s="372"/>
      <c r="V40" s="261"/>
      <c r="W40" s="1120"/>
      <c r="X40" s="261"/>
      <c r="Y40" s="1120"/>
      <c r="Z40" s="261"/>
      <c r="AA40" s="1120"/>
      <c r="AB40" s="261"/>
      <c r="AC40" s="250"/>
      <c r="AD40" s="516"/>
      <c r="AE40" s="1933"/>
      <c r="AF40" s="255"/>
      <c r="AG40" s="2151"/>
      <c r="AH40" s="274"/>
      <c r="AI40" s="654"/>
      <c r="AJ40" s="251"/>
      <c r="AK40" s="652"/>
      <c r="AL40" s="2726"/>
      <c r="AM40" s="645"/>
    </row>
    <row r="41" spans="1:42" ht="15.6">
      <c r="A41" s="223"/>
      <c r="B41" s="1784" t="s">
        <v>1212</v>
      </c>
      <c r="C41" s="223"/>
      <c r="D41" s="223"/>
      <c r="E41" s="372">
        <f>+' Exhibit I State'!E40+'Exhibit I Federal'!E22</f>
        <v>2.6</v>
      </c>
      <c r="F41" s="261"/>
      <c r="G41" s="372"/>
      <c r="H41" s="261"/>
      <c r="I41" s="372"/>
      <c r="J41" s="261"/>
      <c r="K41" s="372"/>
      <c r="L41" s="261"/>
      <c r="M41" s="372"/>
      <c r="N41" s="261"/>
      <c r="O41" s="372"/>
      <c r="P41" s="261"/>
      <c r="Q41" s="372"/>
      <c r="R41" s="261"/>
      <c r="S41" s="372"/>
      <c r="T41" s="261"/>
      <c r="U41" s="372"/>
      <c r="V41" s="261"/>
      <c r="W41" s="1120"/>
      <c r="X41" s="261"/>
      <c r="Y41" s="1120"/>
      <c r="Z41" s="261"/>
      <c r="AA41" s="1120"/>
      <c r="AB41" s="261"/>
      <c r="AC41" s="250"/>
      <c r="AD41" s="516">
        <f t="shared" si="0"/>
        <v>2.6</v>
      </c>
      <c r="AE41" s="1933"/>
      <c r="AF41" s="255"/>
      <c r="AG41" s="2151">
        <v>1.7</v>
      </c>
      <c r="AH41" s="274"/>
      <c r="AI41" s="654"/>
      <c r="AJ41" s="251">
        <f t="shared" si="1"/>
        <v>0.9</v>
      </c>
      <c r="AK41" s="652"/>
      <c r="AL41" s="2726">
        <f>ROUND(IF(AG41=0,0,AJ41/ABS(AG41)),3)</f>
        <v>0.52900000000000003</v>
      </c>
      <c r="AM41" s="645"/>
    </row>
    <row r="42" spans="1:42" ht="15.6">
      <c r="A42" s="223"/>
      <c r="B42" s="1784" t="s">
        <v>1383</v>
      </c>
      <c r="C42" s="223"/>
      <c r="D42" s="223"/>
      <c r="E42" s="372">
        <f>+' Exhibit I State'!E41+'Exhibit I Federal'!E23</f>
        <v>0</v>
      </c>
      <c r="F42" s="261"/>
      <c r="G42" s="372"/>
      <c r="H42" s="261"/>
      <c r="I42" s="372"/>
      <c r="J42" s="261"/>
      <c r="K42" s="372"/>
      <c r="L42" s="261"/>
      <c r="M42" s="372"/>
      <c r="N42" s="261"/>
      <c r="O42" s="372"/>
      <c r="P42" s="261"/>
      <c r="Q42" s="372"/>
      <c r="R42" s="261"/>
      <c r="S42" s="372"/>
      <c r="T42" s="261"/>
      <c r="U42" s="372"/>
      <c r="V42" s="261"/>
      <c r="W42" s="1120"/>
      <c r="X42" s="261"/>
      <c r="Y42" s="1120"/>
      <c r="Z42" s="261"/>
      <c r="AA42" s="1120"/>
      <c r="AB42" s="261"/>
      <c r="AC42" s="250"/>
      <c r="AD42" s="516">
        <f t="shared" si="0"/>
        <v>0</v>
      </c>
      <c r="AE42" s="2802"/>
      <c r="AF42" s="255"/>
      <c r="AG42" s="2151">
        <f>+' Exhibit I State'!AI41</f>
        <v>0</v>
      </c>
      <c r="AH42" s="274"/>
      <c r="AI42" s="654"/>
      <c r="AJ42" s="251">
        <f>ROUND(SUM(+AD42-AG42),1)</f>
        <v>0</v>
      </c>
      <c r="AK42" s="652"/>
      <c r="AL42" s="2726">
        <f>ROUND(IF(AG42=0,0,AJ42/ABS(AG42)),3)</f>
        <v>0</v>
      </c>
      <c r="AM42" s="645"/>
    </row>
    <row r="43" spans="1:42" ht="15.6">
      <c r="A43" s="223"/>
      <c r="B43" s="1784" t="s">
        <v>1215</v>
      </c>
      <c r="C43" s="223"/>
      <c r="D43" s="223"/>
      <c r="E43" s="372">
        <f>+' Exhibit I State'!E42+'Exhibit I Federal'!E24</f>
        <v>66.099999999999994</v>
      </c>
      <c r="F43" s="261"/>
      <c r="G43" s="372"/>
      <c r="H43" s="261"/>
      <c r="I43" s="372"/>
      <c r="J43" s="261"/>
      <c r="K43" s="372"/>
      <c r="L43" s="261"/>
      <c r="M43" s="372"/>
      <c r="N43" s="261"/>
      <c r="O43" s="372"/>
      <c r="P43" s="261"/>
      <c r="Q43" s="372"/>
      <c r="R43" s="261"/>
      <c r="S43" s="372"/>
      <c r="T43" s="261"/>
      <c r="U43" s="372"/>
      <c r="V43" s="261"/>
      <c r="W43" s="1120"/>
      <c r="X43" s="261"/>
      <c r="Y43" s="1120"/>
      <c r="Z43" s="261"/>
      <c r="AA43" s="1120"/>
      <c r="AB43" s="261"/>
      <c r="AC43" s="250"/>
      <c r="AD43" s="516">
        <f t="shared" si="0"/>
        <v>66.099999999999994</v>
      </c>
      <c r="AE43" s="1933"/>
      <c r="AF43" s="255"/>
      <c r="AG43" s="2151">
        <v>58.6</v>
      </c>
      <c r="AH43" s="274"/>
      <c r="AI43" s="654"/>
      <c r="AJ43" s="251">
        <f t="shared" si="1"/>
        <v>7.5</v>
      </c>
      <c r="AK43" s="652"/>
      <c r="AL43" s="2726">
        <f>ROUND(IF(AG43=0,0,AJ43/ABS(AG43)),3)</f>
        <v>0.128</v>
      </c>
      <c r="AM43" s="645"/>
    </row>
    <row r="44" spans="1:42" ht="15.6">
      <c r="A44" s="223"/>
      <c r="B44" s="1784" t="s">
        <v>1216</v>
      </c>
      <c r="C44" s="223"/>
      <c r="D44" s="223"/>
      <c r="E44" s="372">
        <f>+' Exhibit I State'!E43+'Exhibit I Federal'!E25</f>
        <v>0.1</v>
      </c>
      <c r="F44" s="261"/>
      <c r="G44" s="372"/>
      <c r="H44" s="261"/>
      <c r="I44" s="372"/>
      <c r="J44" s="261"/>
      <c r="K44" s="372"/>
      <c r="L44" s="261"/>
      <c r="M44" s="372"/>
      <c r="N44" s="261"/>
      <c r="O44" s="372"/>
      <c r="P44" s="261"/>
      <c r="Q44" s="372"/>
      <c r="R44" s="261"/>
      <c r="S44" s="372"/>
      <c r="T44" s="261"/>
      <c r="U44" s="372"/>
      <c r="V44" s="261"/>
      <c r="W44" s="1120"/>
      <c r="X44" s="261"/>
      <c r="Y44" s="1120"/>
      <c r="Z44" s="261"/>
      <c r="AA44" s="1120"/>
      <c r="AB44" s="261"/>
      <c r="AC44" s="250"/>
      <c r="AD44" s="516">
        <f t="shared" si="0"/>
        <v>0.1</v>
      </c>
      <c r="AE44" s="1933"/>
      <c r="AF44" s="255"/>
      <c r="AG44" s="3213">
        <v>0</v>
      </c>
      <c r="AH44" s="274"/>
      <c r="AI44" s="654"/>
      <c r="AJ44" s="1255">
        <f>ROUND(SUM(+AD44-AG44),1)</f>
        <v>0.1</v>
      </c>
      <c r="AK44" s="1860"/>
      <c r="AL44" s="2726">
        <f>ROUND(IF(AG44=0,1,AJ44/ABS(AG44)),3)</f>
        <v>1</v>
      </c>
      <c r="AM44" s="645"/>
    </row>
    <row r="45" spans="1:42" ht="15.6">
      <c r="A45" s="223"/>
      <c r="B45" s="1784" t="s">
        <v>1174</v>
      </c>
      <c r="C45" s="223"/>
      <c r="D45" s="223"/>
      <c r="E45" s="372">
        <f>+' Exhibit I State'!E44+'Exhibit I Federal'!E26</f>
        <v>2.2999999999999998</v>
      </c>
      <c r="F45" s="261"/>
      <c r="G45" s="372"/>
      <c r="H45" s="261"/>
      <c r="I45" s="372"/>
      <c r="J45" s="261"/>
      <c r="K45" s="372"/>
      <c r="L45" s="261"/>
      <c r="M45" s="372"/>
      <c r="N45" s="261"/>
      <c r="O45" s="372"/>
      <c r="P45" s="261"/>
      <c r="Q45" s="372"/>
      <c r="R45" s="261"/>
      <c r="S45" s="372"/>
      <c r="T45" s="261"/>
      <c r="U45" s="372"/>
      <c r="V45" s="261"/>
      <c r="W45" s="1120"/>
      <c r="X45" s="261"/>
      <c r="Y45" s="1120"/>
      <c r="Z45" s="261"/>
      <c r="AA45" s="1120"/>
      <c r="AB45" s="261"/>
      <c r="AC45" s="250"/>
      <c r="AD45" s="516">
        <f t="shared" si="0"/>
        <v>2.2999999999999998</v>
      </c>
      <c r="AE45" s="1933"/>
      <c r="AF45" s="255"/>
      <c r="AG45" s="2151">
        <v>0.1</v>
      </c>
      <c r="AH45" s="274"/>
      <c r="AI45" s="654"/>
      <c r="AJ45" s="251">
        <f t="shared" si="1"/>
        <v>2.2000000000000002</v>
      </c>
      <c r="AK45" s="652"/>
      <c r="AL45" s="2799">
        <f>ROUND(IF(AG45=0,1,AJ45/ABS(AG45)),3)</f>
        <v>22</v>
      </c>
      <c r="AM45" s="645"/>
    </row>
    <row r="46" spans="1:42" ht="15.6">
      <c r="A46" s="223"/>
      <c r="B46" s="1784" t="s">
        <v>1175</v>
      </c>
      <c r="C46" s="223"/>
      <c r="D46" s="223"/>
      <c r="E46" s="372">
        <f>+' Exhibit I State'!E45+'Exhibit I Federal'!E27</f>
        <v>0.2</v>
      </c>
      <c r="F46" s="261"/>
      <c r="G46" s="372"/>
      <c r="H46" s="261"/>
      <c r="I46" s="372"/>
      <c r="J46" s="261"/>
      <c r="K46" s="372"/>
      <c r="L46" s="261"/>
      <c r="M46" s="372"/>
      <c r="N46" s="261"/>
      <c r="O46" s="372"/>
      <c r="P46" s="261"/>
      <c r="Q46" s="372"/>
      <c r="R46" s="261"/>
      <c r="S46" s="372"/>
      <c r="T46" s="261"/>
      <c r="U46" s="372"/>
      <c r="V46" s="261"/>
      <c r="W46" s="1120"/>
      <c r="X46" s="261"/>
      <c r="Y46" s="1120"/>
      <c r="Z46" s="261"/>
      <c r="AA46" s="1120"/>
      <c r="AB46" s="261"/>
      <c r="AC46" s="250"/>
      <c r="AD46" s="516">
        <f t="shared" si="0"/>
        <v>0.2</v>
      </c>
      <c r="AE46" s="1933"/>
      <c r="AF46" s="255"/>
      <c r="AG46" s="2151">
        <v>0.1</v>
      </c>
      <c r="AH46" s="274"/>
      <c r="AI46" s="654"/>
      <c r="AJ46" s="251">
        <f>ROUND(SUM(+AD46-AG46),1)</f>
        <v>0.1</v>
      </c>
      <c r="AK46" s="652"/>
      <c r="AL46" s="2726">
        <f>ROUND(IF(AG46=0,1,AJ46/ABS(AG46)),3)</f>
        <v>1</v>
      </c>
      <c r="AM46" s="645"/>
    </row>
    <row r="47" spans="1:42" ht="15.6">
      <c r="A47" s="223"/>
      <c r="B47" s="1784" t="s">
        <v>1305</v>
      </c>
      <c r="C47" s="223"/>
      <c r="D47" s="223"/>
      <c r="E47" s="372"/>
      <c r="F47" s="261"/>
      <c r="G47" s="372"/>
      <c r="H47" s="261"/>
      <c r="I47" s="372"/>
      <c r="J47" s="261"/>
      <c r="K47" s="372"/>
      <c r="L47" s="261"/>
      <c r="M47" s="372"/>
      <c r="N47" s="261"/>
      <c r="O47" s="372"/>
      <c r="P47" s="261"/>
      <c r="Q47" s="372"/>
      <c r="R47" s="261"/>
      <c r="S47" s="372"/>
      <c r="T47" s="261"/>
      <c r="U47" s="372"/>
      <c r="V47" s="261"/>
      <c r="W47" s="1120"/>
      <c r="X47" s="261"/>
      <c r="Y47" s="1120"/>
      <c r="Z47" s="261"/>
      <c r="AA47" s="1120"/>
      <c r="AB47" s="261"/>
      <c r="AC47" s="250"/>
      <c r="AD47" s="516"/>
      <c r="AE47" s="1933"/>
      <c r="AF47" s="255"/>
      <c r="AG47" s="2151"/>
      <c r="AH47" s="274"/>
      <c r="AI47" s="654"/>
      <c r="AJ47" s="251"/>
      <c r="AK47" s="652"/>
      <c r="AL47" s="45"/>
      <c r="AM47" s="645"/>
    </row>
    <row r="48" spans="1:42" ht="15.6">
      <c r="A48" s="223"/>
      <c r="B48" s="1784" t="s">
        <v>1220</v>
      </c>
      <c r="C48" s="223"/>
      <c r="D48" s="223"/>
      <c r="E48" s="372">
        <f>+' Exhibit I State'!E47+'Exhibit I Federal'!E29</f>
        <v>0</v>
      </c>
      <c r="F48" s="261"/>
      <c r="G48" s="372"/>
      <c r="H48" s="261"/>
      <c r="I48" s="372"/>
      <c r="J48" s="261"/>
      <c r="K48" s="372"/>
      <c r="L48" s="261"/>
      <c r="M48" s="372"/>
      <c r="N48" s="261"/>
      <c r="O48" s="372"/>
      <c r="P48" s="261"/>
      <c r="Q48" s="372"/>
      <c r="R48" s="261"/>
      <c r="S48" s="372"/>
      <c r="T48" s="261"/>
      <c r="U48" s="372"/>
      <c r="V48" s="261"/>
      <c r="W48" s="1120"/>
      <c r="X48" s="261"/>
      <c r="Y48" s="1120"/>
      <c r="Z48" s="261"/>
      <c r="AA48" s="1120"/>
      <c r="AB48" s="261"/>
      <c r="AC48" s="250"/>
      <c r="AD48" s="516">
        <f t="shared" si="0"/>
        <v>0</v>
      </c>
      <c r="AE48" s="1933"/>
      <c r="AF48" s="255"/>
      <c r="AG48" s="2151">
        <v>12.2</v>
      </c>
      <c r="AH48" s="274"/>
      <c r="AI48" s="654"/>
      <c r="AJ48" s="251">
        <f t="shared" si="1"/>
        <v>-12.2</v>
      </c>
      <c r="AK48" s="652"/>
      <c r="AL48" s="2726">
        <f>ROUND(IF(AG48=0,0,AJ48/ABS(AG48)),3)</f>
        <v>-1</v>
      </c>
      <c r="AM48" s="645"/>
    </row>
    <row r="49" spans="1:39" ht="15.6">
      <c r="A49" s="223"/>
      <c r="B49" s="1784" t="s">
        <v>1222</v>
      </c>
      <c r="C49" s="223"/>
      <c r="D49" s="223"/>
      <c r="E49" s="372">
        <f>+' Exhibit I State'!E48+'Exhibit I Federal'!E30</f>
        <v>0</v>
      </c>
      <c r="F49" s="372">
        <f>+' Exhibit I State'!F48+'Exhibit I Federal'!F31</f>
        <v>0</v>
      </c>
      <c r="G49" s="372"/>
      <c r="H49" s="372"/>
      <c r="I49" s="372"/>
      <c r="J49" s="372"/>
      <c r="K49" s="372"/>
      <c r="L49" s="372"/>
      <c r="M49" s="372"/>
      <c r="N49" s="372"/>
      <c r="O49" s="372"/>
      <c r="P49" s="372"/>
      <c r="Q49" s="372"/>
      <c r="R49" s="261"/>
      <c r="S49" s="372"/>
      <c r="T49" s="261"/>
      <c r="U49" s="372"/>
      <c r="V49" s="261"/>
      <c r="W49" s="1120"/>
      <c r="X49" s="261"/>
      <c r="Y49" s="1120"/>
      <c r="Z49" s="261"/>
      <c r="AA49" s="1120"/>
      <c r="AB49" s="261"/>
      <c r="AC49" s="250"/>
      <c r="AD49" s="516">
        <f t="shared" si="0"/>
        <v>0</v>
      </c>
      <c r="AE49" s="2802"/>
      <c r="AF49" s="255"/>
      <c r="AG49" s="2151">
        <v>0</v>
      </c>
      <c r="AH49" s="274"/>
      <c r="AI49" s="654"/>
      <c r="AJ49" s="251">
        <f t="shared" si="1"/>
        <v>0</v>
      </c>
      <c r="AK49" s="652"/>
      <c r="AL49" s="2726">
        <f>ROUND(IF(AG49=0,0,AJ49/ABS(AG49)),3)</f>
        <v>0</v>
      </c>
      <c r="AM49" s="645"/>
    </row>
    <row r="50" spans="1:39" ht="15.6">
      <c r="A50" s="223"/>
      <c r="B50" s="1784" t="s">
        <v>1223</v>
      </c>
      <c r="C50" s="223"/>
      <c r="D50" s="223"/>
      <c r="E50" s="372">
        <f>+' Exhibit I State'!E49+'Exhibit I Federal'!E31</f>
        <v>0.1</v>
      </c>
      <c r="F50" s="261"/>
      <c r="G50" s="372"/>
      <c r="H50" s="261"/>
      <c r="I50" s="372"/>
      <c r="J50" s="261"/>
      <c r="K50" s="372"/>
      <c r="L50" s="261"/>
      <c r="M50" s="372"/>
      <c r="N50" s="261"/>
      <c r="O50" s="372"/>
      <c r="P50" s="261"/>
      <c r="Q50" s="372"/>
      <c r="R50" s="261"/>
      <c r="S50" s="372"/>
      <c r="T50" s="261"/>
      <c r="U50" s="372"/>
      <c r="V50" s="261"/>
      <c r="W50" s="1120"/>
      <c r="X50" s="261"/>
      <c r="Y50" s="1120"/>
      <c r="Z50" s="261"/>
      <c r="AA50" s="1120"/>
      <c r="AB50" s="261"/>
      <c r="AC50" s="250"/>
      <c r="AD50" s="516">
        <f t="shared" si="0"/>
        <v>0.1</v>
      </c>
      <c r="AE50" s="1933"/>
      <c r="AF50" s="255"/>
      <c r="AG50" s="2151">
        <v>0</v>
      </c>
      <c r="AH50" s="274"/>
      <c r="AI50" s="654"/>
      <c r="AJ50" s="251">
        <f t="shared" si="1"/>
        <v>0.1</v>
      </c>
      <c r="AK50" s="652"/>
      <c r="AL50" s="2726">
        <f>ROUND(IF(AG50=0,1,AJ50/ABS(AG50)),3)</f>
        <v>1</v>
      </c>
      <c r="AM50" s="645"/>
    </row>
    <row r="51" spans="1:39" ht="15.6">
      <c r="A51" s="223"/>
      <c r="B51" s="1784" t="s">
        <v>1193</v>
      </c>
      <c r="C51" s="223"/>
      <c r="D51" s="223"/>
      <c r="E51" s="372">
        <f>+' Exhibit I State'!E50+'Exhibit I Federal'!E32</f>
        <v>0</v>
      </c>
      <c r="F51" s="261"/>
      <c r="G51" s="372"/>
      <c r="H51" s="261"/>
      <c r="I51" s="372"/>
      <c r="J51" s="261"/>
      <c r="K51" s="372"/>
      <c r="L51" s="261"/>
      <c r="M51" s="372"/>
      <c r="N51" s="261"/>
      <c r="O51" s="372"/>
      <c r="P51" s="261"/>
      <c r="Q51" s="372"/>
      <c r="R51" s="261"/>
      <c r="S51" s="372"/>
      <c r="T51" s="261"/>
      <c r="U51" s="372"/>
      <c r="V51" s="261"/>
      <c r="W51" s="1120"/>
      <c r="X51" s="261"/>
      <c r="Y51" s="1120"/>
      <c r="Z51" s="261"/>
      <c r="AA51" s="1120"/>
      <c r="AB51" s="261"/>
      <c r="AC51" s="250"/>
      <c r="AD51" s="516">
        <f t="shared" si="0"/>
        <v>0</v>
      </c>
      <c r="AE51" s="1933"/>
      <c r="AF51" s="255"/>
      <c r="AG51" s="2151">
        <v>0.1</v>
      </c>
      <c r="AH51" s="274"/>
      <c r="AI51" s="654"/>
      <c r="AJ51" s="251">
        <f t="shared" si="1"/>
        <v>-0.1</v>
      </c>
      <c r="AK51" s="652"/>
      <c r="AL51" s="45">
        <f>ROUND(IF(AG51=0,0,AJ51/ABS(AG51)),3)</f>
        <v>-1</v>
      </c>
      <c r="AM51" s="645"/>
    </row>
    <row r="52" spans="1:39" ht="15.6">
      <c r="A52" s="223"/>
      <c r="B52" s="1784" t="s">
        <v>1194</v>
      </c>
      <c r="C52" s="223"/>
      <c r="D52" s="223"/>
      <c r="E52" s="372">
        <f>+' Exhibit I State'!E51+'Exhibit I Federal'!E33</f>
        <v>0.7</v>
      </c>
      <c r="F52" s="261"/>
      <c r="G52" s="372"/>
      <c r="H52" s="261"/>
      <c r="I52" s="372"/>
      <c r="J52" s="261"/>
      <c r="K52" s="372"/>
      <c r="L52" s="261"/>
      <c r="M52" s="372"/>
      <c r="N52" s="261"/>
      <c r="O52" s="372"/>
      <c r="P52" s="261"/>
      <c r="Q52" s="372"/>
      <c r="R52" s="261"/>
      <c r="S52" s="372"/>
      <c r="T52" s="261"/>
      <c r="U52" s="372"/>
      <c r="V52" s="261"/>
      <c r="W52" s="1120"/>
      <c r="X52" s="261"/>
      <c r="Y52" s="1120"/>
      <c r="Z52" s="261"/>
      <c r="AA52" s="1120"/>
      <c r="AB52" s="261"/>
      <c r="AC52" s="250"/>
      <c r="AD52" s="516">
        <f t="shared" si="0"/>
        <v>0.7</v>
      </c>
      <c r="AE52" s="1933"/>
      <c r="AF52" s="255"/>
      <c r="AG52" s="3145">
        <v>0.2</v>
      </c>
      <c r="AH52" s="274"/>
      <c r="AI52" s="654"/>
      <c r="AJ52" s="251">
        <f t="shared" si="1"/>
        <v>0.5</v>
      </c>
      <c r="AK52" s="652"/>
      <c r="AL52" s="45">
        <f>ROUND(IF(AG52=0,0,AJ52/ABS(AG52)),3)</f>
        <v>2.5</v>
      </c>
      <c r="AM52" s="645"/>
    </row>
    <row r="53" spans="1:39" ht="15.6">
      <c r="A53" s="223"/>
      <c r="B53" s="1784" t="s">
        <v>1306</v>
      </c>
      <c r="C53" s="223"/>
      <c r="D53" s="223"/>
      <c r="E53" s="372"/>
      <c r="F53" s="261"/>
      <c r="G53" s="372"/>
      <c r="H53" s="261"/>
      <c r="I53" s="372"/>
      <c r="J53" s="261"/>
      <c r="K53" s="372"/>
      <c r="L53" s="261"/>
      <c r="M53" s="372"/>
      <c r="N53" s="261"/>
      <c r="O53" s="372"/>
      <c r="P53" s="261"/>
      <c r="Q53" s="372"/>
      <c r="R53" s="261"/>
      <c r="S53" s="372"/>
      <c r="T53" s="261"/>
      <c r="U53" s="372"/>
      <c r="V53" s="261"/>
      <c r="W53" s="1120"/>
      <c r="X53" s="261"/>
      <c r="Y53" s="1120"/>
      <c r="Z53" s="261"/>
      <c r="AA53" s="1120"/>
      <c r="AB53" s="261"/>
      <c r="AC53" s="250"/>
      <c r="AD53" s="516"/>
      <c r="AE53" s="1933"/>
      <c r="AF53" s="255"/>
      <c r="AG53" s="2151"/>
      <c r="AH53" s="274"/>
      <c r="AI53" s="654"/>
      <c r="AJ53" s="251"/>
      <c r="AK53" s="652"/>
      <c r="AL53" s="45"/>
      <c r="AM53" s="645"/>
    </row>
    <row r="54" spans="1:39" ht="15.6">
      <c r="A54" s="223"/>
      <c r="B54" s="1784" t="s">
        <v>1224</v>
      </c>
      <c r="C54" s="223"/>
      <c r="D54" s="223"/>
      <c r="E54" s="372">
        <f>+' Exhibit I State'!E53+'Exhibit I Federal'!E35</f>
        <v>0</v>
      </c>
      <c r="F54" s="261"/>
      <c r="G54" s="372"/>
      <c r="H54" s="261"/>
      <c r="I54" s="372"/>
      <c r="J54" s="261"/>
      <c r="K54" s="372"/>
      <c r="L54" s="261"/>
      <c r="M54" s="372"/>
      <c r="N54" s="261"/>
      <c r="O54" s="372"/>
      <c r="P54" s="261"/>
      <c r="Q54" s="372"/>
      <c r="R54" s="261"/>
      <c r="S54" s="372"/>
      <c r="T54" s="261"/>
      <c r="U54" s="372"/>
      <c r="V54" s="261"/>
      <c r="W54" s="1120"/>
      <c r="X54" s="261"/>
      <c r="Y54" s="1120"/>
      <c r="Z54" s="261"/>
      <c r="AA54" s="1120"/>
      <c r="AB54" s="261"/>
      <c r="AC54" s="250"/>
      <c r="AD54" s="516">
        <f t="shared" si="0"/>
        <v>0</v>
      </c>
      <c r="AE54" s="1933"/>
      <c r="AF54" s="255"/>
      <c r="AG54" s="2151">
        <f>+' Exhibit I State'!AI53</f>
        <v>0</v>
      </c>
      <c r="AH54" s="274"/>
      <c r="AI54" s="654"/>
      <c r="AJ54" s="1255">
        <f>ROUND(SUM(+AD54-AG54),1)</f>
        <v>0</v>
      </c>
      <c r="AK54" s="1860"/>
      <c r="AL54" s="2726">
        <f>ROUND(IF(AG54=0,0,AJ54/ABS(AG54)),3)</f>
        <v>0</v>
      </c>
      <c r="AM54" s="645"/>
    </row>
    <row r="55" spans="1:39" ht="15.6">
      <c r="A55" s="223"/>
      <c r="B55" s="1784" t="s">
        <v>1226</v>
      </c>
      <c r="C55" s="223"/>
      <c r="D55" s="223"/>
      <c r="E55" s="372">
        <f>+' Exhibit I State'!E54+'Exhibit I Federal'!E36</f>
        <v>2.5</v>
      </c>
      <c r="F55" s="261"/>
      <c r="G55" s="372"/>
      <c r="H55" s="261"/>
      <c r="I55" s="372"/>
      <c r="J55" s="261"/>
      <c r="K55" s="372"/>
      <c r="L55" s="261"/>
      <c r="M55" s="372"/>
      <c r="N55" s="261"/>
      <c r="O55" s="372"/>
      <c r="P55" s="261"/>
      <c r="Q55" s="372"/>
      <c r="R55" s="261"/>
      <c r="S55" s="372"/>
      <c r="T55" s="261"/>
      <c r="U55" s="372"/>
      <c r="V55" s="261"/>
      <c r="W55" s="1120"/>
      <c r="X55" s="261"/>
      <c r="Y55" s="1120"/>
      <c r="Z55" s="261"/>
      <c r="AA55" s="1120"/>
      <c r="AB55" s="261"/>
      <c r="AC55" s="250"/>
      <c r="AD55" s="516">
        <f t="shared" si="0"/>
        <v>2.5</v>
      </c>
      <c r="AE55" s="1933"/>
      <c r="AF55" s="255"/>
      <c r="AG55" s="2151">
        <v>0</v>
      </c>
      <c r="AH55" s="274"/>
      <c r="AI55" s="654"/>
      <c r="AJ55" s="1255">
        <f>ROUND(SUM(+AD55-AG55),1)</f>
        <v>2.5</v>
      </c>
      <c r="AK55" s="1860"/>
      <c r="AL55" s="2726">
        <f>ROUND(IF(AG55=0,1,AJ55/ABS(AG55)),3)</f>
        <v>1</v>
      </c>
      <c r="AM55" s="645"/>
    </row>
    <row r="56" spans="1:39" ht="15.6">
      <c r="A56" s="223"/>
      <c r="B56" s="1784" t="s">
        <v>1227</v>
      </c>
      <c r="C56" s="223"/>
      <c r="D56" s="223"/>
      <c r="E56" s="372">
        <f>+' Exhibit I State'!E55+'Exhibit I Federal'!E37</f>
        <v>0</v>
      </c>
      <c r="F56" s="261"/>
      <c r="G56" s="372"/>
      <c r="H56" s="261"/>
      <c r="I56" s="372"/>
      <c r="J56" s="261"/>
      <c r="K56" s="372"/>
      <c r="L56" s="261"/>
      <c r="M56" s="372"/>
      <c r="N56" s="261"/>
      <c r="O56" s="372"/>
      <c r="P56" s="261"/>
      <c r="Q56" s="372"/>
      <c r="R56" s="261"/>
      <c r="S56" s="372"/>
      <c r="T56" s="261"/>
      <c r="U56" s="372"/>
      <c r="V56" s="261"/>
      <c r="W56" s="1120"/>
      <c r="X56" s="261"/>
      <c r="Y56" s="1120"/>
      <c r="Z56" s="261"/>
      <c r="AA56" s="1120"/>
      <c r="AB56" s="261"/>
      <c r="AC56" s="250"/>
      <c r="AD56" s="516">
        <f t="shared" si="0"/>
        <v>0</v>
      </c>
      <c r="AE56" s="3234"/>
      <c r="AF56" s="255"/>
      <c r="AG56" s="2151">
        <v>0</v>
      </c>
      <c r="AH56" s="274"/>
      <c r="AI56" s="654"/>
      <c r="AJ56" s="1255">
        <f>ROUND(SUM(+AD56-AG56),1)</f>
        <v>0</v>
      </c>
      <c r="AK56" s="1860"/>
      <c r="AL56" s="2726">
        <f t="shared" ref="AL56:AL57" si="2">ROUND(IF(AG56=0,0,AJ56/ABS(AG56)),3)</f>
        <v>0</v>
      </c>
      <c r="AM56" s="645"/>
    </row>
    <row r="57" spans="1:39" ht="15.6">
      <c r="A57" s="223"/>
      <c r="B57" s="1784" t="s">
        <v>1229</v>
      </c>
      <c r="C57" s="223"/>
      <c r="D57" s="223"/>
      <c r="E57" s="372">
        <f>+' Exhibit I State'!E56</f>
        <v>0</v>
      </c>
      <c r="F57" s="261"/>
      <c r="G57" s="372"/>
      <c r="H57" s="261"/>
      <c r="I57" s="372"/>
      <c r="J57" s="261"/>
      <c r="K57" s="372"/>
      <c r="L57" s="261"/>
      <c r="M57" s="372"/>
      <c r="N57" s="261"/>
      <c r="O57" s="372"/>
      <c r="P57" s="261"/>
      <c r="Q57" s="372"/>
      <c r="R57" s="261"/>
      <c r="S57" s="372"/>
      <c r="T57" s="261"/>
      <c r="U57" s="372"/>
      <c r="V57" s="261"/>
      <c r="W57" s="1120"/>
      <c r="X57" s="261"/>
      <c r="Y57" s="1120"/>
      <c r="Z57" s="261"/>
      <c r="AA57" s="1120"/>
      <c r="AB57" s="261"/>
      <c r="AC57" s="250"/>
      <c r="AD57" s="516">
        <f>+' Exhibit I State'!AF56</f>
        <v>0</v>
      </c>
      <c r="AE57" s="3146"/>
      <c r="AF57" s="255"/>
      <c r="AG57" s="2151">
        <v>0</v>
      </c>
      <c r="AH57" s="274"/>
      <c r="AI57" s="654"/>
      <c r="AJ57" s="1255">
        <f>ROUND(SUM(+AD57-AG57),1)</f>
        <v>0</v>
      </c>
      <c r="AK57" s="1860"/>
      <c r="AL57" s="2726">
        <f t="shared" si="2"/>
        <v>0</v>
      </c>
      <c r="AM57" s="645"/>
    </row>
    <row r="58" spans="1:39" ht="15.6">
      <c r="A58" s="223"/>
      <c r="B58" s="1784" t="s">
        <v>1230</v>
      </c>
      <c r="C58" s="223"/>
      <c r="D58" s="223"/>
      <c r="E58" s="372">
        <f>+' Exhibit I State'!E57+'Exhibit I Federal'!E38</f>
        <v>0</v>
      </c>
      <c r="F58" s="261"/>
      <c r="G58" s="372"/>
      <c r="H58" s="261"/>
      <c r="I58" s="372"/>
      <c r="J58" s="261"/>
      <c r="K58" s="372"/>
      <c r="L58" s="261"/>
      <c r="M58" s="372"/>
      <c r="N58" s="261"/>
      <c r="O58" s="372"/>
      <c r="P58" s="261"/>
      <c r="Q58" s="372"/>
      <c r="R58" s="261"/>
      <c r="S58" s="372"/>
      <c r="T58" s="261"/>
      <c r="U58" s="372"/>
      <c r="V58" s="261"/>
      <c r="W58" s="1120"/>
      <c r="X58" s="261"/>
      <c r="Y58" s="1120"/>
      <c r="Z58" s="261"/>
      <c r="AA58" s="1120"/>
      <c r="AB58" s="261"/>
      <c r="AC58" s="250"/>
      <c r="AD58" s="516">
        <f t="shared" si="0"/>
        <v>0</v>
      </c>
      <c r="AE58" s="1933"/>
      <c r="AF58" s="255"/>
      <c r="AG58" s="2151">
        <v>0.6</v>
      </c>
      <c r="AH58" s="274"/>
      <c r="AI58" s="654"/>
      <c r="AJ58" s="251">
        <f t="shared" si="1"/>
        <v>-0.6</v>
      </c>
      <c r="AK58" s="652"/>
      <c r="AL58" s="2741">
        <f>ROUND(IF(AG58=0,1,AJ58/ABS(AG58)),3)</f>
        <v>-1</v>
      </c>
      <c r="AM58" s="645"/>
    </row>
    <row r="59" spans="1:39" ht="15.6">
      <c r="A59" s="223"/>
      <c r="B59" s="1784" t="s">
        <v>1232</v>
      </c>
      <c r="C59" s="223"/>
      <c r="D59" s="223"/>
      <c r="E59" s="372">
        <f>+' Exhibit I State'!E58+'Exhibit I Federal'!E39</f>
        <v>0.1</v>
      </c>
      <c r="F59" s="261"/>
      <c r="G59" s="372"/>
      <c r="H59" s="261"/>
      <c r="I59" s="372"/>
      <c r="J59" s="261"/>
      <c r="K59" s="372"/>
      <c r="L59" s="261"/>
      <c r="M59" s="372"/>
      <c r="N59" s="261"/>
      <c r="O59" s="372"/>
      <c r="P59" s="261"/>
      <c r="Q59" s="372"/>
      <c r="R59" s="261"/>
      <c r="S59" s="372"/>
      <c r="T59" s="261"/>
      <c r="U59" s="372"/>
      <c r="V59" s="261"/>
      <c r="W59" s="1120"/>
      <c r="X59" s="261"/>
      <c r="Y59" s="1120"/>
      <c r="Z59" s="261"/>
      <c r="AA59" s="1120"/>
      <c r="AB59" s="261"/>
      <c r="AC59" s="250"/>
      <c r="AD59" s="516">
        <f t="shared" si="0"/>
        <v>0.1</v>
      </c>
      <c r="AE59" s="1933"/>
      <c r="AF59" s="255"/>
      <c r="AG59" s="3145">
        <v>1.2</v>
      </c>
      <c r="AH59" s="274"/>
      <c r="AI59" s="654"/>
      <c r="AJ59" s="251">
        <f t="shared" si="1"/>
        <v>-1.1000000000000001</v>
      </c>
      <c r="AK59" s="652"/>
      <c r="AL59" s="2612">
        <f>ROUND(IF(AG59=0,0,AJ59/ABS(AG59)),3)</f>
        <v>-0.91700000000000004</v>
      </c>
      <c r="AM59" s="645"/>
    </row>
    <row r="60" spans="1:39" ht="15.6">
      <c r="A60" s="223"/>
      <c r="B60" s="1784" t="s">
        <v>1204</v>
      </c>
      <c r="C60" s="223"/>
      <c r="D60" s="223"/>
      <c r="E60" s="372">
        <f>+' Exhibit I State'!E59+'Exhibit I Federal'!E40</f>
        <v>1.1000000000000001</v>
      </c>
      <c r="F60" s="261"/>
      <c r="G60" s="372"/>
      <c r="H60" s="261"/>
      <c r="I60" s="372"/>
      <c r="J60" s="261"/>
      <c r="K60" s="372"/>
      <c r="L60" s="261"/>
      <c r="M60" s="372"/>
      <c r="N60" s="261"/>
      <c r="O60" s="372"/>
      <c r="P60" s="261"/>
      <c r="Q60" s="372"/>
      <c r="R60" s="261"/>
      <c r="S60" s="372"/>
      <c r="T60" s="261"/>
      <c r="U60" s="372"/>
      <c r="V60" s="261"/>
      <c r="W60" s="1120"/>
      <c r="X60" s="261"/>
      <c r="Y60" s="1120"/>
      <c r="Z60" s="261"/>
      <c r="AA60" s="1120"/>
      <c r="AB60" s="261"/>
      <c r="AC60" s="250"/>
      <c r="AD60" s="516">
        <f t="shared" si="0"/>
        <v>1.1000000000000001</v>
      </c>
      <c r="AE60" s="1933"/>
      <c r="AF60" s="255"/>
      <c r="AG60" s="2151">
        <v>0.1</v>
      </c>
      <c r="AH60" s="274"/>
      <c r="AI60" s="654"/>
      <c r="AJ60" s="251">
        <f t="shared" si="1"/>
        <v>1</v>
      </c>
      <c r="AK60" s="652"/>
      <c r="AL60" s="2799">
        <f>ROUND(IF(AG60=0,1,AJ60/ABS(AG60)),3)</f>
        <v>10</v>
      </c>
      <c r="AM60" s="645"/>
    </row>
    <row r="61" spans="1:39" s="650" customFormat="1" ht="15.6">
      <c r="A61" s="221"/>
      <c r="B61" s="588" t="s">
        <v>1364</v>
      </c>
      <c r="C61" s="221"/>
      <c r="D61" s="221"/>
      <c r="E61" s="483">
        <f>ROUND(SUM(E37:E60),1)</f>
        <v>85.2</v>
      </c>
      <c r="F61" s="1838"/>
      <c r="G61" s="483">
        <f>ROUND(SUM(G37:G60),1)</f>
        <v>0</v>
      </c>
      <c r="H61" s="2048"/>
      <c r="I61" s="483">
        <f>ROUND(SUM(I37:I60),1)</f>
        <v>0</v>
      </c>
      <c r="J61" s="1838"/>
      <c r="K61" s="483">
        <f>ROUND(SUM(K37:K60),1)</f>
        <v>0</v>
      </c>
      <c r="L61" s="1838"/>
      <c r="M61" s="483">
        <f>ROUND(SUM(M37:M60),1)</f>
        <v>0</v>
      </c>
      <c r="N61" s="1838"/>
      <c r="O61" s="483">
        <f>ROUND(SUM(O37:O60),1)</f>
        <v>0</v>
      </c>
      <c r="P61" s="1838"/>
      <c r="Q61" s="483">
        <f>ROUND(SUM(Q37:Q60),1)</f>
        <v>0</v>
      </c>
      <c r="R61" s="1838"/>
      <c r="S61" s="483">
        <f>ROUND(SUM(S37:S60),1)</f>
        <v>0</v>
      </c>
      <c r="T61" s="1838"/>
      <c r="U61" s="483">
        <f>ROUND(SUM(U37:U60),1)</f>
        <v>0</v>
      </c>
      <c r="V61" s="1838"/>
      <c r="W61" s="483">
        <f>ROUND(SUM(W37:W60),1)</f>
        <v>0</v>
      </c>
      <c r="X61" s="1838"/>
      <c r="Y61" s="483">
        <f>ROUND(SUM(Y37:Y60),1)</f>
        <v>0</v>
      </c>
      <c r="Z61" s="1838"/>
      <c r="AA61" s="483">
        <f>ROUND(SUM(AA37:AA60),1)</f>
        <v>0</v>
      </c>
      <c r="AB61" s="1838"/>
      <c r="AC61" s="259"/>
      <c r="AD61" s="483">
        <f>ROUND(SUM(AD37:AD60),1)</f>
        <v>85.2</v>
      </c>
      <c r="AE61" s="420"/>
      <c r="AF61" s="273"/>
      <c r="AG61" s="483">
        <f>ROUND(SUM(AG37:AG60),1)</f>
        <v>84</v>
      </c>
      <c r="AH61" s="284"/>
      <c r="AI61" s="654"/>
      <c r="AJ61" s="483">
        <f>ROUND(SUM(AJ37:AJ60),1)</f>
        <v>1.2</v>
      </c>
      <c r="AK61" s="2049"/>
      <c r="AL61" s="2050">
        <f>ROUND(SUM(AJ61/AG61),3)</f>
        <v>1.4E-2</v>
      </c>
    </row>
    <row r="62" spans="1:39" ht="15.6">
      <c r="A62" s="223"/>
      <c r="B62" s="588"/>
      <c r="C62" s="223"/>
      <c r="D62" s="223"/>
      <c r="E62" s="1159"/>
      <c r="F62" s="261"/>
      <c r="G62" s="1159"/>
      <c r="H62" s="516"/>
      <c r="I62" s="2993"/>
      <c r="J62" s="261"/>
      <c r="K62" s="2993"/>
      <c r="L62" s="261"/>
      <c r="M62" s="2993"/>
      <c r="N62" s="261"/>
      <c r="O62" s="3186"/>
      <c r="P62" s="261"/>
      <c r="Q62" s="3186"/>
      <c r="R62" s="261"/>
      <c r="S62" s="3186"/>
      <c r="T62" s="261"/>
      <c r="U62" s="3186"/>
      <c r="V62" s="261"/>
      <c r="W62" s="679"/>
      <c r="X62" s="261"/>
      <c r="Y62" s="679"/>
      <c r="Z62" s="261"/>
      <c r="AA62" s="516"/>
      <c r="AB62" s="261"/>
      <c r="AC62" s="250"/>
      <c r="AD62" s="516"/>
      <c r="AE62" s="2026"/>
      <c r="AF62" s="249"/>
      <c r="AG62" s="261"/>
      <c r="AH62" s="274"/>
      <c r="AI62" s="654"/>
      <c r="AJ62" s="251"/>
      <c r="AK62" s="655"/>
      <c r="AL62" s="653"/>
    </row>
    <row r="63" spans="1:39" ht="15.6">
      <c r="A63" s="223"/>
      <c r="B63" s="223" t="s">
        <v>155</v>
      </c>
      <c r="C63" s="223"/>
      <c r="D63" s="223"/>
      <c r="E63" s="516">
        <f>+' Exhibit I State'!E62+'Exhibit I Federal'!E43</f>
        <v>126.2</v>
      </c>
      <c r="F63" s="261"/>
      <c r="G63" s="516"/>
      <c r="H63" s="261"/>
      <c r="I63" s="516"/>
      <c r="J63" s="261"/>
      <c r="K63" s="516"/>
      <c r="L63" s="261"/>
      <c r="M63" s="516"/>
      <c r="N63" s="261"/>
      <c r="O63" s="516"/>
      <c r="P63" s="261"/>
      <c r="Q63" s="516"/>
      <c r="R63" s="261"/>
      <c r="S63" s="516"/>
      <c r="T63" s="261"/>
      <c r="U63" s="516"/>
      <c r="V63" s="261"/>
      <c r="W63" s="679"/>
      <c r="X63" s="261"/>
      <c r="Y63" s="679"/>
      <c r="Z63" s="261"/>
      <c r="AA63" s="679"/>
      <c r="AB63" s="261"/>
      <c r="AC63" s="250"/>
      <c r="AD63" s="261">
        <f>ROUND(SUM(E63:AA63),1)</f>
        <v>126.2</v>
      </c>
      <c r="AE63" s="276"/>
      <c r="AF63" s="249"/>
      <c r="AG63" s="261">
        <v>101</v>
      </c>
      <c r="AH63" s="274"/>
      <c r="AI63" s="656"/>
      <c r="AJ63" s="658">
        <f>ROUND(SUM(+AD63-AG63),1)</f>
        <v>25.2</v>
      </c>
      <c r="AK63" s="655"/>
      <c r="AL63" s="659">
        <f>ROUND(SUM(AJ63/AG63),3)</f>
        <v>0.25</v>
      </c>
    </row>
    <row r="64" spans="1:39" ht="15.6">
      <c r="A64" s="223"/>
      <c r="B64" s="223"/>
      <c r="C64" s="223"/>
      <c r="D64" s="223"/>
      <c r="E64" s="288"/>
      <c r="F64" s="261"/>
      <c r="G64" s="288"/>
      <c r="H64" s="261"/>
      <c r="I64" s="288"/>
      <c r="J64" s="261"/>
      <c r="K64" s="288"/>
      <c r="L64" s="261"/>
      <c r="M64" s="288"/>
      <c r="N64" s="261"/>
      <c r="O64" s="288"/>
      <c r="P64" s="261"/>
      <c r="Q64" s="288"/>
      <c r="R64" s="261"/>
      <c r="S64" s="288"/>
      <c r="T64" s="261"/>
      <c r="U64" s="288"/>
      <c r="V64" s="261"/>
      <c r="W64" s="288"/>
      <c r="X64" s="261"/>
      <c r="Y64" s="288"/>
      <c r="Z64" s="261"/>
      <c r="AA64" s="288"/>
      <c r="AB64" s="261"/>
      <c r="AC64" s="250"/>
      <c r="AD64" s="288"/>
      <c r="AE64" s="276"/>
      <c r="AF64" s="249"/>
      <c r="AG64" s="288"/>
      <c r="AH64" s="249"/>
      <c r="AI64" s="656"/>
      <c r="AJ64" s="251"/>
      <c r="AK64" s="645"/>
      <c r="AL64" s="653"/>
    </row>
    <row r="65" spans="1:42" ht="15.6">
      <c r="A65" s="223"/>
      <c r="B65" s="221" t="s">
        <v>203</v>
      </c>
      <c r="C65" s="223"/>
      <c r="D65" s="223"/>
      <c r="E65" s="601">
        <f>ROUND(SUM(+E61+E63+E33),1)</f>
        <v>304.10000000000002</v>
      </c>
      <c r="F65" s="257"/>
      <c r="G65" s="601">
        <f>ROUND(SUM(+G61+G63+G33),1)</f>
        <v>0</v>
      </c>
      <c r="H65" s="257"/>
      <c r="I65" s="601">
        <f>ROUND(SUM(+I61+I63+I33),1)</f>
        <v>0</v>
      </c>
      <c r="J65" s="257"/>
      <c r="K65" s="601">
        <f>ROUND(SUM(+K61+K63+K33),1)</f>
        <v>0</v>
      </c>
      <c r="L65" s="257"/>
      <c r="M65" s="601">
        <f>ROUND(SUM(+M61+M63+M33),1)</f>
        <v>0</v>
      </c>
      <c r="N65" s="257"/>
      <c r="O65" s="601">
        <f>ROUND(SUM(+O61+O63+O33),1)</f>
        <v>0</v>
      </c>
      <c r="P65" s="257"/>
      <c r="Q65" s="601">
        <f>ROUND(SUM(+Q61+Q63+Q33),1)</f>
        <v>0</v>
      </c>
      <c r="R65" s="257"/>
      <c r="S65" s="601">
        <f>ROUND(SUM(+S61+S63+S33),1)</f>
        <v>0</v>
      </c>
      <c r="T65" s="257"/>
      <c r="U65" s="601">
        <f>ROUND(SUM(+U61+U63+U33),1)</f>
        <v>0</v>
      </c>
      <c r="V65" s="257"/>
      <c r="W65" s="601">
        <f>ROUND(SUM(+W61+W63+W33),1)</f>
        <v>0</v>
      </c>
      <c r="X65" s="257"/>
      <c r="Y65" s="601">
        <f>ROUND(SUM(+Y61+Y63+Y33),1)</f>
        <v>0</v>
      </c>
      <c r="Z65" s="257"/>
      <c r="AA65" s="601">
        <f>ROUND(SUM(+AA61+AA63+AA33),1)</f>
        <v>0</v>
      </c>
      <c r="AB65" s="257"/>
      <c r="AC65" s="259"/>
      <c r="AD65" s="601">
        <f>ROUND(SUM(+AD61+AD63+AD33),1)</f>
        <v>304.10000000000002</v>
      </c>
      <c r="AE65" s="420"/>
      <c r="AF65" s="273"/>
      <c r="AG65" s="601">
        <f>ROUND(SUM(+AG61+AG63+AG33),1)</f>
        <v>284.89999999999998</v>
      </c>
      <c r="AH65" s="284"/>
      <c r="AI65" s="656"/>
      <c r="AJ65" s="601">
        <f>ROUND(SUM(+AJ61+AJ63+AJ33),1)</f>
        <v>19.2</v>
      </c>
      <c r="AK65" s="368"/>
      <c r="AL65" s="1797">
        <f>ROUND(SUM(AJ65/AG65),3)</f>
        <v>6.7000000000000004E-2</v>
      </c>
      <c r="AM65" s="650"/>
      <c r="AN65" s="660"/>
      <c r="AO65" s="650"/>
      <c r="AP65" s="650"/>
    </row>
    <row r="66" spans="1:42" ht="15.6">
      <c r="A66" s="223"/>
      <c r="B66" s="223"/>
      <c r="C66" s="223"/>
      <c r="D66" s="223"/>
      <c r="E66" s="288"/>
      <c r="F66" s="261"/>
      <c r="G66" s="288"/>
      <c r="H66" s="261"/>
      <c r="I66" s="288"/>
      <c r="J66" s="261"/>
      <c r="K66" s="288"/>
      <c r="L66" s="261"/>
      <c r="M66" s="288"/>
      <c r="N66" s="261"/>
      <c r="O66" s="288"/>
      <c r="P66" s="261"/>
      <c r="Q66" s="288"/>
      <c r="R66" s="261"/>
      <c r="S66" s="288"/>
      <c r="T66" s="261"/>
      <c r="U66" s="288"/>
      <c r="V66" s="261"/>
      <c r="W66" s="288"/>
      <c r="X66" s="261"/>
      <c r="Y66" s="288"/>
      <c r="Z66" s="261"/>
      <c r="AA66" s="288"/>
      <c r="AB66" s="261"/>
      <c r="AC66" s="250"/>
      <c r="AD66" s="288"/>
      <c r="AE66" s="276"/>
      <c r="AF66" s="249"/>
      <c r="AG66" s="288"/>
      <c r="AH66" s="249"/>
      <c r="AI66" s="656"/>
      <c r="AJ66" s="251"/>
      <c r="AK66" s="645"/>
      <c r="AL66" s="653"/>
    </row>
    <row r="67" spans="1:42" ht="15.6">
      <c r="A67" s="223"/>
      <c r="B67" s="221" t="s">
        <v>24</v>
      </c>
      <c r="C67" s="223"/>
      <c r="D67" s="223"/>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50"/>
      <c r="AD67" s="261"/>
      <c r="AE67" s="276"/>
      <c r="AF67" s="249"/>
      <c r="AG67" s="261"/>
      <c r="AH67" s="261"/>
      <c r="AI67" s="656"/>
      <c r="AJ67" s="251"/>
      <c r="AK67" s="645"/>
      <c r="AL67" s="653"/>
    </row>
    <row r="68" spans="1:42" ht="15.6">
      <c r="A68" s="223"/>
      <c r="B68" s="223" t="s">
        <v>157</v>
      </c>
      <c r="C68" s="223"/>
      <c r="D68" s="223"/>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50"/>
      <c r="AD68" s="274"/>
      <c r="AE68" s="276"/>
      <c r="AF68" s="249"/>
      <c r="AG68" s="261"/>
      <c r="AH68" s="261"/>
      <c r="AI68" s="656"/>
      <c r="AJ68" s="251"/>
      <c r="AK68" s="645"/>
      <c r="AL68" s="653"/>
    </row>
    <row r="69" spans="1:42" ht="15.6">
      <c r="A69" s="223"/>
      <c r="B69" s="223" t="s">
        <v>26</v>
      </c>
      <c r="C69" s="223"/>
      <c r="D69" s="223"/>
      <c r="E69" s="516">
        <f>+' Exhibit I State'!E68+'Exhibit I Federal'!E49</f>
        <v>0</v>
      </c>
      <c r="F69" s="261"/>
      <c r="G69" s="516"/>
      <c r="H69" s="516"/>
      <c r="I69" s="516"/>
      <c r="J69" s="261"/>
      <c r="K69" s="516"/>
      <c r="L69" s="261"/>
      <c r="M69" s="516"/>
      <c r="N69" s="261"/>
      <c r="O69" s="516"/>
      <c r="P69" s="261"/>
      <c r="Q69" s="516"/>
      <c r="R69" s="261"/>
      <c r="S69" s="516"/>
      <c r="T69" s="261"/>
      <c r="U69" s="516"/>
      <c r="V69" s="261"/>
      <c r="W69" s="679"/>
      <c r="X69" s="261"/>
      <c r="Y69" s="679"/>
      <c r="Z69" s="261"/>
      <c r="AA69" s="679"/>
      <c r="AB69" s="261"/>
      <c r="AC69" s="250"/>
      <c r="AD69" s="261">
        <f>ROUND(SUM(E69:AA69),1)</f>
        <v>0</v>
      </c>
      <c r="AE69" s="276"/>
      <c r="AF69" s="249"/>
      <c r="AG69" s="261">
        <v>0.1</v>
      </c>
      <c r="AH69" s="274"/>
      <c r="AI69" s="654"/>
      <c r="AJ69" s="251">
        <f>ROUND(SUM(+AD69-AG69),1)</f>
        <v>-0.1</v>
      </c>
      <c r="AK69" s="655"/>
      <c r="AL69" s="2726">
        <f>ROUND(IF(AG69=0,0,AJ69/ABS(AG69)),3)</f>
        <v>-1</v>
      </c>
    </row>
    <row r="70" spans="1:42" ht="15.6">
      <c r="A70" s="223"/>
      <c r="B70" s="223" t="s">
        <v>27</v>
      </c>
      <c r="C70" s="223"/>
      <c r="D70" s="223"/>
      <c r="E70" s="516">
        <f>+' Exhibit I State'!E69+'Exhibit I Federal'!E50</f>
        <v>2.7</v>
      </c>
      <c r="F70" s="261"/>
      <c r="G70" s="516"/>
      <c r="H70" s="261"/>
      <c r="I70" s="516"/>
      <c r="J70" s="261"/>
      <c r="K70" s="516"/>
      <c r="L70" s="261"/>
      <c r="M70" s="516"/>
      <c r="N70" s="261"/>
      <c r="O70" s="516"/>
      <c r="P70" s="261"/>
      <c r="Q70" s="516"/>
      <c r="R70" s="261"/>
      <c r="S70" s="516"/>
      <c r="T70" s="261"/>
      <c r="U70" s="516"/>
      <c r="V70" s="261"/>
      <c r="W70" s="679"/>
      <c r="X70" s="261"/>
      <c r="Y70" s="679"/>
      <c r="Z70" s="261"/>
      <c r="AA70" s="679"/>
      <c r="AB70" s="261"/>
      <c r="AC70" s="250"/>
      <c r="AD70" s="261">
        <f t="shared" ref="AD70:AD77" si="3">ROUND(SUM(E70:AA70),1)</f>
        <v>2.7</v>
      </c>
      <c r="AE70" s="276"/>
      <c r="AF70" s="249"/>
      <c r="AG70" s="261">
        <v>2.7</v>
      </c>
      <c r="AH70" s="274"/>
      <c r="AI70" s="654"/>
      <c r="AJ70" s="251">
        <f t="shared" ref="AJ70:AJ77" si="4">ROUND(SUM(+AD70-AG70),1)</f>
        <v>0</v>
      </c>
      <c r="AK70" s="655"/>
      <c r="AL70" s="2726">
        <f>ROUND(IF(AG70=0,0,AJ70/ABS(AG70)),3)</f>
        <v>0</v>
      </c>
    </row>
    <row r="71" spans="1:42" ht="15.6">
      <c r="A71" s="223"/>
      <c r="B71" s="223" t="s">
        <v>28</v>
      </c>
      <c r="C71" s="223"/>
      <c r="D71" s="223"/>
      <c r="E71" s="516">
        <f>+' Exhibit I State'!E70+'Exhibit I Federal'!E51</f>
        <v>58.9</v>
      </c>
      <c r="F71" s="261"/>
      <c r="G71" s="516"/>
      <c r="H71" s="261"/>
      <c r="I71" s="516"/>
      <c r="J71" s="261"/>
      <c r="K71" s="516"/>
      <c r="L71" s="261"/>
      <c r="M71" s="516"/>
      <c r="N71" s="261"/>
      <c r="O71" s="516"/>
      <c r="P71" s="261"/>
      <c r="Q71" s="516"/>
      <c r="R71" s="261"/>
      <c r="S71" s="516"/>
      <c r="T71" s="261"/>
      <c r="U71" s="516"/>
      <c r="V71" s="261"/>
      <c r="W71" s="679"/>
      <c r="X71" s="261"/>
      <c r="Y71" s="679"/>
      <c r="Z71" s="261"/>
      <c r="AA71" s="679"/>
      <c r="AB71" s="261"/>
      <c r="AC71" s="250"/>
      <c r="AD71" s="261">
        <f t="shared" si="3"/>
        <v>58.9</v>
      </c>
      <c r="AE71" s="276"/>
      <c r="AF71" s="249"/>
      <c r="AG71" s="261">
        <v>9.1</v>
      </c>
      <c r="AH71" s="274"/>
      <c r="AI71" s="654"/>
      <c r="AJ71" s="251">
        <f t="shared" si="4"/>
        <v>49.8</v>
      </c>
      <c r="AK71" s="655"/>
      <c r="AL71" s="2726">
        <f>ROUND(IF(AG71=0,0,AJ71/ABS(AG71)),3)</f>
        <v>5.4729999999999999</v>
      </c>
      <c r="AM71" s="645"/>
    </row>
    <row r="72" spans="1:42" ht="15.6">
      <c r="A72" s="223"/>
      <c r="B72" s="223" t="s">
        <v>29</v>
      </c>
      <c r="C72" s="223"/>
      <c r="D72" s="223"/>
      <c r="E72" s="516"/>
      <c r="F72" s="261"/>
      <c r="G72" s="516"/>
      <c r="H72" s="261"/>
      <c r="I72" s="516"/>
      <c r="J72" s="261"/>
      <c r="K72" s="516"/>
      <c r="L72" s="261"/>
      <c r="M72" s="516"/>
      <c r="N72" s="261"/>
      <c r="O72" s="516"/>
      <c r="P72" s="261"/>
      <c r="Q72" s="516"/>
      <c r="R72" s="261"/>
      <c r="S72" s="516"/>
      <c r="T72" s="261"/>
      <c r="U72" s="516"/>
      <c r="V72" s="261"/>
      <c r="W72" s="679"/>
      <c r="X72" s="261"/>
      <c r="Y72" s="679"/>
      <c r="Z72" s="261"/>
      <c r="AA72" s="679"/>
      <c r="AB72" s="261"/>
      <c r="AC72" s="250"/>
      <c r="AD72" s="1159" t="s">
        <v>16</v>
      </c>
      <c r="AE72" s="276"/>
      <c r="AF72" s="249"/>
      <c r="AG72" s="266"/>
      <c r="AH72" s="261"/>
      <c r="AI72" s="656"/>
      <c r="AJ72" s="251" t="s">
        <v>16</v>
      </c>
      <c r="AK72" s="655"/>
      <c r="AL72" s="661" t="s">
        <v>16</v>
      </c>
      <c r="AM72" s="645"/>
    </row>
    <row r="73" spans="1:42" ht="15.6">
      <c r="A73" s="223"/>
      <c r="B73" s="223" t="s">
        <v>30</v>
      </c>
      <c r="C73" s="221"/>
      <c r="D73" s="223"/>
      <c r="E73" s="516">
        <f>+' Exhibit I State'!E72+'Exhibit I Federal'!E53</f>
        <v>0</v>
      </c>
      <c r="F73" s="261"/>
      <c r="G73" s="516"/>
      <c r="H73" s="261"/>
      <c r="I73" s="516"/>
      <c r="J73" s="261"/>
      <c r="K73" s="516"/>
      <c r="L73" s="261"/>
      <c r="M73" s="516"/>
      <c r="N73" s="261"/>
      <c r="O73" s="516"/>
      <c r="P73" s="261"/>
      <c r="Q73" s="516"/>
      <c r="R73" s="261"/>
      <c r="S73" s="516"/>
      <c r="T73" s="261"/>
      <c r="U73" s="516"/>
      <c r="V73" s="261"/>
      <c r="W73" s="2817"/>
      <c r="X73" s="261"/>
      <c r="Y73" s="2817"/>
      <c r="Z73" s="261"/>
      <c r="AA73" s="2817"/>
      <c r="AB73" s="261"/>
      <c r="AC73" s="250"/>
      <c r="AD73" s="261">
        <f t="shared" si="3"/>
        <v>0</v>
      </c>
      <c r="AE73" s="276"/>
      <c r="AF73" s="249"/>
      <c r="AG73" s="266">
        <f>' Exhibit I State'!AI72+'Exhibit I Federal'!AI53</f>
        <v>0</v>
      </c>
      <c r="AH73" s="261"/>
      <c r="AI73" s="656"/>
      <c r="AJ73" s="251">
        <f t="shared" si="4"/>
        <v>0</v>
      </c>
      <c r="AK73" s="655"/>
      <c r="AL73" s="45">
        <f>ROUND(IF(AG73=0,0,AJ73/ABS(AG73)),3)</f>
        <v>0</v>
      </c>
      <c r="AM73" s="645"/>
    </row>
    <row r="74" spans="1:42" ht="15.6">
      <c r="A74" s="223"/>
      <c r="B74" s="223" t="s">
        <v>31</v>
      </c>
      <c r="C74" s="223"/>
      <c r="D74" s="223"/>
      <c r="E74" s="516">
        <f>+' Exhibit I State'!E73+'Exhibit I Federal'!E54</f>
        <v>2.7</v>
      </c>
      <c r="F74" s="261"/>
      <c r="G74" s="516"/>
      <c r="H74" s="261"/>
      <c r="I74" s="516"/>
      <c r="J74" s="261"/>
      <c r="K74" s="516"/>
      <c r="L74" s="261"/>
      <c r="M74" s="516"/>
      <c r="N74" s="261"/>
      <c r="O74" s="516"/>
      <c r="P74" s="261"/>
      <c r="Q74" s="516"/>
      <c r="R74" s="261"/>
      <c r="S74" s="516"/>
      <c r="T74" s="261"/>
      <c r="U74" s="516"/>
      <c r="V74" s="261"/>
      <c r="W74" s="679"/>
      <c r="X74" s="261"/>
      <c r="Y74" s="679"/>
      <c r="Z74" s="261"/>
      <c r="AA74" s="679"/>
      <c r="AB74" s="261"/>
      <c r="AC74" s="250"/>
      <c r="AD74" s="261">
        <f t="shared" si="3"/>
        <v>2.7</v>
      </c>
      <c r="AE74" s="276"/>
      <c r="AF74" s="249"/>
      <c r="AG74" s="266">
        <v>3.6</v>
      </c>
      <c r="AH74" s="274"/>
      <c r="AI74" s="654"/>
      <c r="AJ74" s="251">
        <f t="shared" si="4"/>
        <v>-0.9</v>
      </c>
      <c r="AK74" s="655"/>
      <c r="AL74" s="45">
        <f>ROUND(IF(AG74=0,0,AJ74/ABS(AG74)),3)</f>
        <v>-0.25</v>
      </c>
    </row>
    <row r="75" spans="1:42" ht="15.6">
      <c r="A75" s="223"/>
      <c r="B75" s="223" t="s">
        <v>32</v>
      </c>
      <c r="C75" s="223"/>
      <c r="D75" s="223"/>
      <c r="E75" s="516">
        <f>+' Exhibit I State'!E74+'Exhibit I Federal'!E55</f>
        <v>-1.3</v>
      </c>
      <c r="F75" s="261"/>
      <c r="G75" s="516"/>
      <c r="H75" s="261"/>
      <c r="I75" s="516"/>
      <c r="J75" s="261"/>
      <c r="K75" s="516"/>
      <c r="L75" s="261"/>
      <c r="M75" s="516"/>
      <c r="N75" s="261"/>
      <c r="O75" s="516"/>
      <c r="P75" s="261"/>
      <c r="Q75" s="516"/>
      <c r="R75" s="261"/>
      <c r="S75" s="516"/>
      <c r="T75" s="261"/>
      <c r="U75" s="516"/>
      <c r="V75" s="261"/>
      <c r="W75" s="2817"/>
      <c r="X75" s="261"/>
      <c r="Y75" s="2817"/>
      <c r="Z75" s="261"/>
      <c r="AA75" s="2817"/>
      <c r="AB75" s="261"/>
      <c r="AC75" s="250"/>
      <c r="AD75" s="261">
        <f t="shared" si="3"/>
        <v>-1.3</v>
      </c>
      <c r="AE75" s="276"/>
      <c r="AF75" s="249"/>
      <c r="AG75" s="266">
        <v>0</v>
      </c>
      <c r="AH75" s="274"/>
      <c r="AI75" s="654"/>
      <c r="AJ75" s="251">
        <f t="shared" si="4"/>
        <v>-1.3</v>
      </c>
      <c r="AK75" s="655"/>
      <c r="AL75" s="2726">
        <f>-ROUND(IF(AG75=0,1,AJ75/ABS(AG75)),3)</f>
        <v>-1</v>
      </c>
      <c r="AM75" s="645"/>
    </row>
    <row r="76" spans="1:42" ht="15.6">
      <c r="A76" s="223"/>
      <c r="B76" s="223" t="s">
        <v>33</v>
      </c>
      <c r="C76" s="223"/>
      <c r="D76" s="223"/>
      <c r="E76" s="516">
        <f>+' Exhibit I State'!E75+'Exhibit I Federal'!E56</f>
        <v>0</v>
      </c>
      <c r="F76" s="261"/>
      <c r="G76" s="516"/>
      <c r="H76" s="261"/>
      <c r="I76" s="516"/>
      <c r="J76" s="261"/>
      <c r="K76" s="516"/>
      <c r="L76" s="261"/>
      <c r="M76" s="516"/>
      <c r="N76" s="261"/>
      <c r="O76" s="516"/>
      <c r="P76" s="261"/>
      <c r="Q76" s="516"/>
      <c r="R76" s="261"/>
      <c r="S76" s="516"/>
      <c r="T76" s="261"/>
      <c r="U76" s="516"/>
      <c r="V76" s="261"/>
      <c r="W76" s="679"/>
      <c r="X76" s="261"/>
      <c r="Y76" s="679"/>
      <c r="Z76" s="261"/>
      <c r="AA76" s="679"/>
      <c r="AB76" s="261"/>
      <c r="AC76" s="250"/>
      <c r="AD76" s="261">
        <f t="shared" si="3"/>
        <v>0</v>
      </c>
      <c r="AE76" s="276"/>
      <c r="AF76" s="249"/>
      <c r="AG76" s="266">
        <v>0</v>
      </c>
      <c r="AH76" s="261"/>
      <c r="AI76" s="656"/>
      <c r="AJ76" s="251">
        <f t="shared" si="4"/>
        <v>0</v>
      </c>
      <c r="AK76" s="655"/>
      <c r="AL76" s="45">
        <f>ROUND(IF(AG76=0,0,AJ76/ABS(AG76)),3)</f>
        <v>0</v>
      </c>
      <c r="AM76" s="645"/>
    </row>
    <row r="77" spans="1:42" ht="15.6">
      <c r="A77" s="223"/>
      <c r="B77" s="223" t="s">
        <v>34</v>
      </c>
      <c r="C77" s="221"/>
      <c r="D77" s="223"/>
      <c r="E77" s="516">
        <f>+' Exhibit I State'!E76+'Exhibit I Federal'!E57</f>
        <v>2.7</v>
      </c>
      <c r="F77" s="261"/>
      <c r="G77" s="516"/>
      <c r="H77" s="261"/>
      <c r="I77" s="516"/>
      <c r="J77" s="261"/>
      <c r="K77" s="516"/>
      <c r="L77" s="261"/>
      <c r="M77" s="516"/>
      <c r="N77" s="261"/>
      <c r="O77" s="516"/>
      <c r="P77" s="261"/>
      <c r="Q77" s="516"/>
      <c r="R77" s="261"/>
      <c r="S77" s="516"/>
      <c r="T77" s="261"/>
      <c r="U77" s="516"/>
      <c r="V77" s="261"/>
      <c r="W77" s="679"/>
      <c r="X77" s="261"/>
      <c r="Y77" s="679"/>
      <c r="Z77" s="261"/>
      <c r="AA77" s="679"/>
      <c r="AB77" s="261"/>
      <c r="AC77" s="250"/>
      <c r="AD77" s="261">
        <f t="shared" si="3"/>
        <v>2.7</v>
      </c>
      <c r="AE77" s="276"/>
      <c r="AF77" s="249"/>
      <c r="AG77" s="266">
        <v>21.2</v>
      </c>
      <c r="AH77" s="261"/>
      <c r="AI77" s="656"/>
      <c r="AJ77" s="251">
        <f t="shared" si="4"/>
        <v>-18.5</v>
      </c>
      <c r="AK77" s="655"/>
      <c r="AL77" s="3139">
        <f>ROUND(IF(AG77=0,0,AJ77/ABS(AG77)),3)</f>
        <v>-0.873</v>
      </c>
      <c r="AM77" s="645"/>
    </row>
    <row r="78" spans="1:42" ht="15.6">
      <c r="A78" s="223"/>
      <c r="B78" s="223" t="s">
        <v>35</v>
      </c>
      <c r="C78" s="223"/>
      <c r="D78" s="223"/>
      <c r="E78" s="516">
        <f>+' Exhibit I State'!E77+'Exhibit I Federal'!E58</f>
        <v>27.8</v>
      </c>
      <c r="F78" s="261"/>
      <c r="G78" s="516"/>
      <c r="H78" s="261"/>
      <c r="I78" s="516"/>
      <c r="J78" s="261"/>
      <c r="K78" s="516"/>
      <c r="L78" s="261"/>
      <c r="M78" s="516"/>
      <c r="N78" s="261"/>
      <c r="O78" s="516"/>
      <c r="P78" s="261"/>
      <c r="Q78" s="516"/>
      <c r="R78" s="261"/>
      <c r="S78" s="516"/>
      <c r="T78" s="261"/>
      <c r="U78" s="516"/>
      <c r="V78" s="261"/>
      <c r="W78" s="679"/>
      <c r="X78" s="261"/>
      <c r="Y78" s="679"/>
      <c r="Z78" s="261"/>
      <c r="AA78" s="679"/>
      <c r="AB78" s="261"/>
      <c r="AC78" s="250"/>
      <c r="AD78" s="261">
        <f>ROUND(SUM(E78:AA78),1)</f>
        <v>27.8</v>
      </c>
      <c r="AE78" s="276"/>
      <c r="AF78" s="249"/>
      <c r="AG78" s="1789">
        <v>31</v>
      </c>
      <c r="AH78" s="249"/>
      <c r="AI78" s="656"/>
      <c r="AJ78" s="251">
        <f>ROUND(SUM(+AD78-AG78),1)</f>
        <v>-3.2</v>
      </c>
      <c r="AK78" s="645"/>
      <c r="AL78" s="1801">
        <f>ROUND(IF(AG78=0,0,AJ78/ABS(AG78)),3)</f>
        <v>-0.10299999999999999</v>
      </c>
      <c r="AM78" s="645"/>
    </row>
    <row r="79" spans="1:42" ht="15.6">
      <c r="A79" s="223"/>
      <c r="B79" s="221" t="s">
        <v>204</v>
      </c>
      <c r="C79" s="223"/>
      <c r="D79" s="223"/>
      <c r="E79" s="544">
        <f>ROUND(SUM(E69:E78),1)</f>
        <v>93.5</v>
      </c>
      <c r="F79" s="257"/>
      <c r="G79" s="544">
        <f>ROUND(SUM(G69:G78),1)</f>
        <v>0</v>
      </c>
      <c r="H79" s="257"/>
      <c r="I79" s="544">
        <f>ROUND(SUM(I69:I78),1)</f>
        <v>0</v>
      </c>
      <c r="J79" s="273"/>
      <c r="K79" s="544">
        <f>ROUND(SUM(K69:K78),1)</f>
        <v>0</v>
      </c>
      <c r="L79" s="273"/>
      <c r="M79" s="544">
        <f>ROUND(SUM(M69:M78),1)</f>
        <v>0</v>
      </c>
      <c r="N79" s="273"/>
      <c r="O79" s="544">
        <f>ROUND(SUM(O69:O78),1)</f>
        <v>0</v>
      </c>
      <c r="P79" s="257"/>
      <c r="Q79" s="544">
        <f>ROUND(SUM(Q69:Q78),1)</f>
        <v>0</v>
      </c>
      <c r="R79" s="257"/>
      <c r="S79" s="544">
        <f>ROUND(SUM(S69:S78),1)</f>
        <v>0</v>
      </c>
      <c r="T79" s="257"/>
      <c r="U79" s="544">
        <f>ROUND(SUM(U69:U78),1)</f>
        <v>0</v>
      </c>
      <c r="V79" s="257"/>
      <c r="W79" s="544">
        <f>ROUND(SUM(W69:W78),1)</f>
        <v>0</v>
      </c>
      <c r="X79" s="257"/>
      <c r="Y79" s="544">
        <f>ROUND(SUM(Y69:Y78),1)</f>
        <v>0</v>
      </c>
      <c r="Z79" s="257"/>
      <c r="AA79" s="544">
        <f>ROUND(SUM(AA69:AA78),1)</f>
        <v>0</v>
      </c>
      <c r="AB79" s="257"/>
      <c r="AC79" s="259"/>
      <c r="AD79" s="544">
        <f>ROUND(SUM(AD69:AD78),1)</f>
        <v>93.5</v>
      </c>
      <c r="AE79" s="420"/>
      <c r="AF79" s="273"/>
      <c r="AG79" s="544">
        <f>ROUND(SUM(AG69:AG78),1)</f>
        <v>67.7</v>
      </c>
      <c r="AH79" s="273"/>
      <c r="AI79" s="656"/>
      <c r="AJ79" s="544">
        <f>ROUND(SUM(AJ69:AJ78),1)</f>
        <v>25.8</v>
      </c>
      <c r="AK79" s="663"/>
      <c r="AL79" s="1797">
        <f>ROUND(SUM(AJ79/AG79),3)</f>
        <v>0.38100000000000001</v>
      </c>
      <c r="AM79" s="650"/>
      <c r="AN79" s="660"/>
      <c r="AO79" s="650"/>
      <c r="AP79" s="650"/>
    </row>
    <row r="80" spans="1:42" ht="15.6">
      <c r="A80" s="223"/>
      <c r="B80" s="223" t="s">
        <v>205</v>
      </c>
      <c r="C80" s="223"/>
      <c r="D80" s="223"/>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50"/>
      <c r="AD80" s="261"/>
      <c r="AE80" s="276"/>
      <c r="AF80" s="249"/>
      <c r="AG80" s="261"/>
      <c r="AH80" s="261"/>
      <c r="AI80" s="656"/>
      <c r="AJ80" s="251"/>
      <c r="AK80" s="645"/>
      <c r="AL80" s="653"/>
    </row>
    <row r="81" spans="1:42" ht="15.6">
      <c r="A81" s="223"/>
      <c r="B81" s="223" t="s">
        <v>206</v>
      </c>
      <c r="C81" s="223"/>
      <c r="D81" s="223"/>
      <c r="E81" s="516">
        <f>+' Exhibit I State'!E80+'Exhibit I Federal'!E61</f>
        <v>0</v>
      </c>
      <c r="F81" s="261"/>
      <c r="G81" s="516"/>
      <c r="H81" s="261"/>
      <c r="I81" s="516"/>
      <c r="J81" s="261"/>
      <c r="K81" s="516"/>
      <c r="L81" s="261"/>
      <c r="M81" s="516"/>
      <c r="N81" s="261"/>
      <c r="O81" s="516"/>
      <c r="P81" s="261"/>
      <c r="Q81" s="516"/>
      <c r="R81" s="261"/>
      <c r="S81" s="516"/>
      <c r="T81" s="261"/>
      <c r="U81" s="516"/>
      <c r="V81" s="261"/>
      <c r="W81" s="2817"/>
      <c r="X81" s="261"/>
      <c r="Y81" s="2817"/>
      <c r="Z81" s="261"/>
      <c r="AA81" s="1120"/>
      <c r="AB81" s="261"/>
      <c r="AC81" s="250"/>
      <c r="AD81" s="274">
        <f>ROUND(SUM(E81:AA81),1)</f>
        <v>0</v>
      </c>
      <c r="AE81" s="276"/>
      <c r="AF81" s="249"/>
      <c r="AG81" s="372">
        <f>' Exhibit I State'!AI80+'Exhibit I Federal'!AI61</f>
        <v>0</v>
      </c>
      <c r="AH81" s="266"/>
      <c r="AI81" s="665"/>
      <c r="AJ81" s="662">
        <f>ROUND(SUM(+AD81-AG81),1)</f>
        <v>0</v>
      </c>
      <c r="AK81" s="645"/>
      <c r="AL81" s="45">
        <f>ROUND(IF(AG81=0,0,AJ81/ABS(AG81)),3)</f>
        <v>0</v>
      </c>
    </row>
    <row r="82" spans="1:42" ht="15.6">
      <c r="A82" s="223"/>
      <c r="B82" s="223" t="s">
        <v>207</v>
      </c>
      <c r="C82" s="223"/>
      <c r="D82" s="223"/>
      <c r="E82" s="516">
        <f>+' Exhibit I State'!E81+'Exhibit I Federal'!E62</f>
        <v>0</v>
      </c>
      <c r="F82" s="261"/>
      <c r="G82" s="516"/>
      <c r="H82" s="261"/>
      <c r="I82" s="516"/>
      <c r="J82" s="261"/>
      <c r="K82" s="516"/>
      <c r="L82" s="261"/>
      <c r="M82" s="516"/>
      <c r="N82" s="261"/>
      <c r="O82" s="516"/>
      <c r="P82" s="261"/>
      <c r="Q82" s="516"/>
      <c r="R82" s="261"/>
      <c r="S82" s="516"/>
      <c r="T82" s="261"/>
      <c r="U82" s="516"/>
      <c r="V82" s="261"/>
      <c r="W82" s="2817"/>
      <c r="X82" s="261"/>
      <c r="Y82" s="2817"/>
      <c r="Z82" s="261"/>
      <c r="AA82" s="1120"/>
      <c r="AB82" s="261"/>
      <c r="AC82" s="250"/>
      <c r="AD82" s="274">
        <f>ROUND(SUM(E82:AA82),1)</f>
        <v>0</v>
      </c>
      <c r="AE82" s="276"/>
      <c r="AF82" s="249"/>
      <c r="AG82" s="372">
        <f>' Exhibit I State'!AI81+'Exhibit I Federal'!AI62</f>
        <v>0</v>
      </c>
      <c r="AH82" s="266"/>
      <c r="AI82" s="665"/>
      <c r="AJ82" s="662">
        <f>ROUND(SUM(+AD82-AG82),1)</f>
        <v>0</v>
      </c>
      <c r="AK82" s="645"/>
      <c r="AL82" s="45">
        <f>ROUND(IF(AG82=0,0,AJ82/ABS(AG82)),3)</f>
        <v>0</v>
      </c>
    </row>
    <row r="83" spans="1:42" ht="15.6">
      <c r="A83" s="223"/>
      <c r="B83" s="223" t="s">
        <v>208</v>
      </c>
      <c r="C83" s="223"/>
      <c r="D83" s="223"/>
      <c r="E83" s="516">
        <f>+' Exhibit I State'!E82+'Exhibit I Federal'!E63</f>
        <v>0</v>
      </c>
      <c r="F83" s="261"/>
      <c r="G83" s="516"/>
      <c r="H83" s="261"/>
      <c r="I83" s="516"/>
      <c r="J83" s="261"/>
      <c r="K83" s="516"/>
      <c r="L83" s="261"/>
      <c r="M83" s="516"/>
      <c r="N83" s="261"/>
      <c r="O83" s="516"/>
      <c r="P83" s="261"/>
      <c r="Q83" s="516"/>
      <c r="R83" s="261"/>
      <c r="S83" s="516"/>
      <c r="T83" s="261"/>
      <c r="U83" s="516"/>
      <c r="V83" s="261"/>
      <c r="W83" s="2817"/>
      <c r="X83" s="261"/>
      <c r="Y83" s="2817"/>
      <c r="Z83" s="666"/>
      <c r="AA83" s="1120"/>
      <c r="AB83" s="666"/>
      <c r="AC83" s="667"/>
      <c r="AD83" s="274">
        <f>ROUND(SUM(E83:AA83),1)</f>
        <v>0</v>
      </c>
      <c r="AE83" s="276"/>
      <c r="AF83" s="249"/>
      <c r="AG83" s="372">
        <f>' Exhibit I State'!AI82+'Exhibit I Federal'!AI63</f>
        <v>0</v>
      </c>
      <c r="AH83" s="266"/>
      <c r="AI83" s="665"/>
      <c r="AJ83" s="662">
        <f>ROUND(SUM(+AD83-AG83),1)</f>
        <v>0</v>
      </c>
      <c r="AK83" s="645"/>
      <c r="AL83" s="45">
        <f>ROUND(IF(AG83=0,0,AJ83/ABS(AG83)),3)</f>
        <v>0</v>
      </c>
    </row>
    <row r="84" spans="1:42" ht="15.6">
      <c r="A84" s="223"/>
      <c r="B84" s="247" t="s">
        <v>179</v>
      </c>
      <c r="C84" s="223"/>
      <c r="D84" s="223"/>
      <c r="E84" s="516">
        <f>+' Exhibit I State'!E83+'Exhibit I Federal'!E64</f>
        <v>313.5</v>
      </c>
      <c r="F84" s="261"/>
      <c r="G84" s="516"/>
      <c r="H84" s="372"/>
      <c r="I84" s="516"/>
      <c r="J84" s="372"/>
      <c r="K84" s="516"/>
      <c r="L84" s="261"/>
      <c r="M84" s="516"/>
      <c r="N84" s="261"/>
      <c r="O84" s="516"/>
      <c r="P84" s="261"/>
      <c r="Q84" s="516"/>
      <c r="R84" s="261"/>
      <c r="S84" s="516"/>
      <c r="T84" s="261"/>
      <c r="U84" s="516"/>
      <c r="V84" s="261"/>
      <c r="W84" s="2817"/>
      <c r="X84" s="261"/>
      <c r="Y84" s="2817"/>
      <c r="Z84" s="261"/>
      <c r="AA84" s="1120"/>
      <c r="AB84" s="261"/>
      <c r="AC84" s="250"/>
      <c r="AD84" s="319">
        <f>ROUND(SUM(E84:AA84),1)</f>
        <v>313.5</v>
      </c>
      <c r="AE84" s="276"/>
      <c r="AF84" s="249"/>
      <c r="AG84" s="1815">
        <v>288.89999999999998</v>
      </c>
      <c r="AH84" s="275"/>
      <c r="AI84" s="654"/>
      <c r="AJ84" s="658">
        <f>ROUND(SUM(+AD84-AG84),1)</f>
        <v>24.6</v>
      </c>
      <c r="AK84" s="645"/>
      <c r="AL84" s="1801">
        <f>ROUND(IF(AG84=0,0,AJ84/ABS(AG84)),3)</f>
        <v>8.5000000000000006E-2</v>
      </c>
    </row>
    <row r="85" spans="1:42" ht="15.6">
      <c r="A85" s="223"/>
      <c r="B85" s="223"/>
      <c r="C85" s="223"/>
      <c r="D85" s="223"/>
      <c r="E85" s="288"/>
      <c r="F85" s="261"/>
      <c r="G85" s="288"/>
      <c r="H85" s="261"/>
      <c r="I85" s="288"/>
      <c r="J85" s="261"/>
      <c r="K85" s="288"/>
      <c r="L85" s="261"/>
      <c r="M85" s="288"/>
      <c r="N85" s="261"/>
      <c r="O85" s="288"/>
      <c r="P85" s="261"/>
      <c r="Q85" s="288"/>
      <c r="R85" s="261"/>
      <c r="S85" s="288"/>
      <c r="T85" s="261"/>
      <c r="U85" s="288"/>
      <c r="V85" s="261"/>
      <c r="W85" s="288"/>
      <c r="X85" s="261"/>
      <c r="Y85" s="288"/>
      <c r="Z85" s="261"/>
      <c r="AA85" s="288"/>
      <c r="AB85" s="261"/>
      <c r="AC85" s="250"/>
      <c r="AD85" s="288"/>
      <c r="AE85" s="276"/>
      <c r="AF85" s="249"/>
      <c r="AG85" s="251"/>
      <c r="AH85" s="251"/>
      <c r="AI85" s="668"/>
      <c r="AJ85" s="251"/>
      <c r="AK85" s="645"/>
      <c r="AL85" s="653"/>
    </row>
    <row r="86" spans="1:42" ht="15.6">
      <c r="A86" s="223"/>
      <c r="B86" s="221" t="s">
        <v>209</v>
      </c>
      <c r="C86" s="223"/>
      <c r="D86" s="223"/>
      <c r="E86" s="257">
        <f>ROUND(SUM(+E84+E79),1)</f>
        <v>407</v>
      </c>
      <c r="F86" s="257"/>
      <c r="G86" s="257">
        <f>ROUND(SUM(+G84+G79),1)</f>
        <v>0</v>
      </c>
      <c r="H86" s="257"/>
      <c r="I86" s="1838">
        <f>ROUND(SUM(+I84+I79),1)</f>
        <v>0</v>
      </c>
      <c r="J86" s="257"/>
      <c r="K86" s="1838">
        <f>ROUND(SUM(+K84+K79),1)</f>
        <v>0</v>
      </c>
      <c r="L86" s="257"/>
      <c r="M86" s="1838">
        <f>ROUND(SUM(+M84+M79),1)</f>
        <v>0</v>
      </c>
      <c r="N86" s="257"/>
      <c r="O86" s="257">
        <f>ROUND(SUM(+O84+O79),1)</f>
        <v>0</v>
      </c>
      <c r="P86" s="257"/>
      <c r="Q86" s="1838">
        <f>ROUND(SUM(+Q84+Q79),1)</f>
        <v>0</v>
      </c>
      <c r="R86" s="257"/>
      <c r="S86" s="1838">
        <f>ROUND(SUM(+S84+S79),1)</f>
        <v>0</v>
      </c>
      <c r="T86" s="257"/>
      <c r="U86" s="1838">
        <f>ROUND(SUM(+U84+U79),1)</f>
        <v>0</v>
      </c>
      <c r="V86" s="257"/>
      <c r="W86" s="257">
        <f>ROUND(SUM(+W84+W79),1)</f>
        <v>0</v>
      </c>
      <c r="X86" s="257"/>
      <c r="Y86" s="1838">
        <f>ROUND(SUM(+Y84+Y79),1)</f>
        <v>0</v>
      </c>
      <c r="Z86" s="257"/>
      <c r="AA86" s="1838">
        <f>ROUND(SUM(+AA84+AA79),1)</f>
        <v>0</v>
      </c>
      <c r="AB86" s="257"/>
      <c r="AC86" s="259"/>
      <c r="AD86" s="257">
        <f>ROUND(SUM(+AD84+AD79),1)</f>
        <v>407</v>
      </c>
      <c r="AE86" s="420"/>
      <c r="AF86" s="273"/>
      <c r="AG86" s="257">
        <f>ROUND(SUM(+AG84+AG79),1)</f>
        <v>356.6</v>
      </c>
      <c r="AH86" s="273"/>
      <c r="AI86" s="656"/>
      <c r="AJ86" s="271">
        <f>ROUND(SUM(AJ79+AJ84),1)</f>
        <v>50.4</v>
      </c>
      <c r="AK86" s="663"/>
      <c r="AL86" s="554">
        <f>ROUND(SUM(AJ86/AG86),3)</f>
        <v>0.14099999999999999</v>
      </c>
      <c r="AM86" s="650"/>
      <c r="AN86" s="660"/>
      <c r="AO86" s="650"/>
      <c r="AP86" s="650"/>
    </row>
    <row r="87" spans="1:42" ht="15.6">
      <c r="A87" s="223"/>
      <c r="B87" s="223"/>
      <c r="C87" s="223"/>
      <c r="D87" s="223"/>
      <c r="E87" s="288"/>
      <c r="F87" s="261"/>
      <c r="G87" s="288"/>
      <c r="H87" s="261"/>
      <c r="I87" s="288"/>
      <c r="J87" s="261"/>
      <c r="K87" s="288"/>
      <c r="L87" s="261"/>
      <c r="M87" s="288"/>
      <c r="N87" s="261"/>
      <c r="O87" s="288"/>
      <c r="P87" s="261"/>
      <c r="Q87" s="288"/>
      <c r="R87" s="261"/>
      <c r="S87" s="288"/>
      <c r="T87" s="261"/>
      <c r="U87" s="288"/>
      <c r="V87" s="261"/>
      <c r="W87" s="288"/>
      <c r="X87" s="261"/>
      <c r="Y87" s="288"/>
      <c r="Z87" s="261"/>
      <c r="AA87" s="288"/>
      <c r="AB87" s="261"/>
      <c r="AC87" s="250"/>
      <c r="AD87" s="288"/>
      <c r="AE87" s="276"/>
      <c r="AF87" s="249"/>
      <c r="AG87" s="288"/>
      <c r="AH87" s="249"/>
      <c r="AI87" s="656"/>
      <c r="AJ87" s="251"/>
      <c r="AK87" s="645"/>
      <c r="AL87" s="653"/>
    </row>
    <row r="88" spans="1:42" ht="15.6">
      <c r="A88" s="223"/>
      <c r="B88" s="221" t="s">
        <v>210</v>
      </c>
      <c r="C88" s="223"/>
      <c r="D88" s="223"/>
      <c r="E88" s="261"/>
      <c r="F88" s="261"/>
      <c r="G88" s="261"/>
      <c r="H88" s="261"/>
      <c r="I88" s="261"/>
      <c r="J88" s="261"/>
      <c r="K88" s="261"/>
      <c r="L88" s="261"/>
      <c r="M88" s="261"/>
      <c r="N88" s="261"/>
      <c r="O88" s="261"/>
      <c r="P88" s="261"/>
      <c r="Q88" s="261"/>
      <c r="R88" s="261"/>
      <c r="S88" s="261"/>
      <c r="T88" s="261"/>
      <c r="U88" s="261"/>
      <c r="V88" s="261"/>
      <c r="W88" s="516"/>
      <c r="X88" s="261"/>
      <c r="Y88" s="516"/>
      <c r="Z88" s="261"/>
      <c r="AA88" s="261"/>
      <c r="AB88" s="261"/>
      <c r="AC88" s="250"/>
      <c r="AD88" s="251"/>
      <c r="AE88" s="276"/>
      <c r="AF88" s="249"/>
      <c r="AG88" s="251"/>
      <c r="AH88" s="251"/>
      <c r="AI88" s="668"/>
      <c r="AJ88" s="251"/>
      <c r="AK88" s="645"/>
      <c r="AL88" s="653"/>
    </row>
    <row r="89" spans="1:42" ht="15.6">
      <c r="A89" s="223"/>
      <c r="B89" s="221" t="s">
        <v>211</v>
      </c>
      <c r="C89" s="223"/>
      <c r="D89" s="223"/>
      <c r="E89" s="257">
        <f>ROUND(SUM(E65-E86),1)</f>
        <v>-102.9</v>
      </c>
      <c r="F89" s="257"/>
      <c r="G89" s="257">
        <f>ROUND(SUM(G65-G86),1)</f>
        <v>0</v>
      </c>
      <c r="H89" s="257"/>
      <c r="I89" s="1838">
        <f>ROUND(SUM(I65-I86),1)</f>
        <v>0</v>
      </c>
      <c r="J89" s="257"/>
      <c r="K89" s="1838">
        <f>ROUND(SUM(K65-K86),1)</f>
        <v>0</v>
      </c>
      <c r="L89" s="257"/>
      <c r="M89" s="1838">
        <f>ROUND(SUM(M65-M86),1)</f>
        <v>0</v>
      </c>
      <c r="N89" s="257"/>
      <c r="O89" s="257">
        <f>ROUND(SUM(O65-O86),1)</f>
        <v>0</v>
      </c>
      <c r="P89" s="257"/>
      <c r="Q89" s="1838">
        <f>ROUND(SUM(Q65-Q86),1)</f>
        <v>0</v>
      </c>
      <c r="R89" s="257"/>
      <c r="S89" s="1838">
        <f>ROUND(SUM(S65-S86),1)</f>
        <v>0</v>
      </c>
      <c r="T89" s="257"/>
      <c r="U89" s="1838">
        <f>ROUND(SUM(U65-U86),1)</f>
        <v>0</v>
      </c>
      <c r="V89" s="257"/>
      <c r="W89" s="257">
        <f>ROUND(SUM(W65-W86),1)</f>
        <v>0</v>
      </c>
      <c r="X89" s="257"/>
      <c r="Y89" s="1838">
        <f>ROUND(SUM(Y65-Y86),1)</f>
        <v>0</v>
      </c>
      <c r="Z89" s="257"/>
      <c r="AA89" s="1838">
        <f>ROUND(SUM(AA65-AA86),1)</f>
        <v>0</v>
      </c>
      <c r="AB89" s="257"/>
      <c r="AC89" s="259"/>
      <c r="AD89" s="257">
        <f>ROUND(SUM(AD65-AD86),1)</f>
        <v>-102.9</v>
      </c>
      <c r="AE89" s="420"/>
      <c r="AF89" s="273"/>
      <c r="AG89" s="257">
        <f>ROUND(SUM(AG65-AG86),1)</f>
        <v>-71.7</v>
      </c>
      <c r="AH89" s="273"/>
      <c r="AI89" s="656"/>
      <c r="AJ89" s="271">
        <f>ROUND(SUM(AJ65-AJ86),1)</f>
        <v>-31.2</v>
      </c>
      <c r="AK89" s="663"/>
      <c r="AL89" s="554">
        <f>ROUND(IF(AG89=0,0,AJ89/ABS(AG89)),3)</f>
        <v>-0.435</v>
      </c>
      <c r="AM89" s="650"/>
      <c r="AN89" s="650"/>
      <c r="AO89" s="650"/>
      <c r="AP89" s="650"/>
    </row>
    <row r="90" spans="1:42" ht="15.6">
      <c r="A90" s="223"/>
      <c r="B90" s="223"/>
      <c r="C90" s="223"/>
      <c r="D90" s="223"/>
      <c r="E90" s="288"/>
      <c r="F90" s="261"/>
      <c r="G90" s="288"/>
      <c r="H90" s="261"/>
      <c r="I90" s="288"/>
      <c r="J90" s="261"/>
      <c r="K90" s="288"/>
      <c r="L90" s="261"/>
      <c r="M90" s="288"/>
      <c r="N90" s="261"/>
      <c r="O90" s="288"/>
      <c r="P90" s="261"/>
      <c r="Q90" s="288"/>
      <c r="R90" s="261"/>
      <c r="S90" s="288"/>
      <c r="T90" s="261"/>
      <c r="U90" s="288"/>
      <c r="V90" s="261"/>
      <c r="W90" s="288"/>
      <c r="X90" s="261"/>
      <c r="Y90" s="288"/>
      <c r="Z90" s="261"/>
      <c r="AA90" s="288"/>
      <c r="AB90" s="261"/>
      <c r="AC90" s="250"/>
      <c r="AD90" s="288"/>
      <c r="AE90" s="276"/>
      <c r="AF90" s="249"/>
      <c r="AG90" s="288"/>
      <c r="AH90" s="249"/>
      <c r="AI90" s="656"/>
      <c r="AJ90" s="251"/>
      <c r="AK90" s="645"/>
      <c r="AL90" s="653"/>
    </row>
    <row r="91" spans="1:42" ht="15.6">
      <c r="A91" s="223"/>
      <c r="B91" s="221" t="s">
        <v>212</v>
      </c>
      <c r="C91" s="223"/>
      <c r="D91" s="223"/>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50"/>
      <c r="AD91" s="261"/>
      <c r="AE91" s="276"/>
      <c r="AF91" s="249"/>
      <c r="AG91" s="266"/>
      <c r="AH91" s="266"/>
      <c r="AI91" s="665"/>
      <c r="AJ91" s="251"/>
      <c r="AK91" s="645"/>
      <c r="AL91" s="653"/>
    </row>
    <row r="92" spans="1:42" ht="15.6">
      <c r="A92" s="223"/>
      <c r="B92" s="223" t="s">
        <v>213</v>
      </c>
      <c r="C92" s="223"/>
      <c r="D92" s="223"/>
      <c r="E92" s="516">
        <f>+' Exhibit I State'!E91+'Exhibit I Federal'!E72</f>
        <v>0</v>
      </c>
      <c r="F92" s="261"/>
      <c r="G92" s="372"/>
      <c r="H92" s="372"/>
      <c r="I92" s="372"/>
      <c r="J92" s="261"/>
      <c r="K92" s="372"/>
      <c r="L92" s="261"/>
      <c r="M92" s="372"/>
      <c r="N92" s="372"/>
      <c r="O92" s="372"/>
      <c r="P92" s="261"/>
      <c r="Q92" s="372"/>
      <c r="R92" s="261"/>
      <c r="S92" s="372"/>
      <c r="T92" s="261"/>
      <c r="U92" s="372"/>
      <c r="V92" s="261"/>
      <c r="W92" s="372"/>
      <c r="X92" s="261"/>
      <c r="Y92" s="372"/>
      <c r="Z92" s="261"/>
      <c r="AA92" s="372"/>
      <c r="AB92" s="261"/>
      <c r="AC92" s="250"/>
      <c r="AD92" s="274">
        <f>ROUND(SUM(E92:AA92),1)</f>
        <v>0</v>
      </c>
      <c r="AE92" s="276"/>
      <c r="AF92" s="249"/>
      <c r="AG92" s="266">
        <f>' Exhibit I State'!AI91</f>
        <v>0</v>
      </c>
      <c r="AH92" s="266"/>
      <c r="AI92" s="665"/>
      <c r="AJ92" s="662">
        <f>ROUND(SUM(+AD92-AG92),1)</f>
        <v>0</v>
      </c>
      <c r="AK92" s="655"/>
      <c r="AL92" s="45">
        <f>ROUND(IF(AG92=0,0,AJ92/ABS(AG92)),3)</f>
        <v>0</v>
      </c>
    </row>
    <row r="93" spans="1:42" ht="15.6">
      <c r="A93" s="223"/>
      <c r="B93" s="247" t="s">
        <v>180</v>
      </c>
      <c r="C93" s="223"/>
      <c r="D93" s="223"/>
      <c r="E93" s="516">
        <v>162.19999999999999</v>
      </c>
      <c r="F93" s="261"/>
      <c r="G93" s="516"/>
      <c r="H93" s="516"/>
      <c r="I93" s="2086"/>
      <c r="J93" s="261"/>
      <c r="K93" s="2086"/>
      <c r="L93" s="261"/>
      <c r="M93" s="2086"/>
      <c r="N93" s="261"/>
      <c r="O93" s="516"/>
      <c r="P93" s="261"/>
      <c r="Q93" s="516"/>
      <c r="R93" s="261"/>
      <c r="S93" s="516"/>
      <c r="T93" s="261"/>
      <c r="U93" s="516"/>
      <c r="V93" s="261"/>
      <c r="W93" s="516"/>
      <c r="X93" s="261"/>
      <c r="Y93" s="516"/>
      <c r="Z93" s="261"/>
      <c r="AA93" s="2086"/>
      <c r="AB93" s="261"/>
      <c r="AC93" s="250"/>
      <c r="AD93" s="274">
        <f>ROUND(SUM(E93:AA93),1)</f>
        <v>162.19999999999999</v>
      </c>
      <c r="AE93" s="276"/>
      <c r="AF93" s="249"/>
      <c r="AG93" s="318">
        <v>77.8</v>
      </c>
      <c r="AH93" s="274"/>
      <c r="AI93" s="654"/>
      <c r="AJ93" s="662">
        <f>ROUND(SUM(+AD93-AG93),1)</f>
        <v>84.4</v>
      </c>
      <c r="AK93" s="645"/>
      <c r="AL93" s="3139">
        <f>ROUND(IF(AG93=0,0,AJ93/ABS(AG93)),3)</f>
        <v>1.085</v>
      </c>
      <c r="AM93" s="645"/>
      <c r="AN93" s="369"/>
    </row>
    <row r="94" spans="1:42" ht="15.6">
      <c r="A94" s="223"/>
      <c r="B94" s="247" t="s">
        <v>214</v>
      </c>
      <c r="C94" s="223"/>
      <c r="D94" s="223"/>
      <c r="E94" s="261">
        <v>-25.5</v>
      </c>
      <c r="F94" s="261"/>
      <c r="G94" s="261"/>
      <c r="H94" s="261"/>
      <c r="I94" s="318"/>
      <c r="J94" s="261"/>
      <c r="K94" s="318"/>
      <c r="L94" s="261"/>
      <c r="M94" s="318"/>
      <c r="N94" s="261"/>
      <c r="O94" s="261"/>
      <c r="P94" s="261"/>
      <c r="Q94" s="261"/>
      <c r="R94" s="261"/>
      <c r="S94" s="261"/>
      <c r="T94" s="261"/>
      <c r="U94" s="516"/>
      <c r="V94" s="261"/>
      <c r="W94" s="516"/>
      <c r="X94" s="261"/>
      <c r="Y94" s="516"/>
      <c r="Z94" s="261"/>
      <c r="AA94" s="2086"/>
      <c r="AB94" s="261"/>
      <c r="AC94" s="250"/>
      <c r="AD94" s="274">
        <f>ROUND(SUM(E94:AA94),1)</f>
        <v>-25.5</v>
      </c>
      <c r="AE94" s="276"/>
      <c r="AF94" s="249"/>
      <c r="AG94" s="525">
        <v>-76.7</v>
      </c>
      <c r="AH94" s="249"/>
      <c r="AI94" s="656"/>
      <c r="AJ94" s="1790">
        <f>ROUND(-SUM(+AD94-AG94),1)</f>
        <v>-51.2</v>
      </c>
      <c r="AK94" s="645"/>
      <c r="AL94" s="1801">
        <f>ROUND(IF(AG94=0,0,AJ94/ABS(AG94)),3)</f>
        <v>-0.66800000000000004</v>
      </c>
      <c r="AM94" s="645"/>
      <c r="AN94" s="369"/>
    </row>
    <row r="95" spans="1:42" ht="15.6">
      <c r="A95" s="223"/>
      <c r="B95" s="223"/>
      <c r="C95" s="223"/>
      <c r="D95" s="223"/>
      <c r="E95" s="288"/>
      <c r="F95" s="261"/>
      <c r="G95" s="288"/>
      <c r="H95" s="261"/>
      <c r="I95" s="288"/>
      <c r="J95" s="261"/>
      <c r="K95" s="288"/>
      <c r="L95" s="261"/>
      <c r="M95" s="288"/>
      <c r="N95" s="261"/>
      <c r="O95" s="288"/>
      <c r="P95" s="261"/>
      <c r="Q95" s="288"/>
      <c r="R95" s="261"/>
      <c r="S95" s="288"/>
      <c r="T95" s="261"/>
      <c r="U95" s="288"/>
      <c r="V95" s="261"/>
      <c r="W95" s="288"/>
      <c r="X95" s="261"/>
      <c r="Y95" s="288"/>
      <c r="Z95" s="261"/>
      <c r="AA95" s="288"/>
      <c r="AB95" s="261"/>
      <c r="AC95" s="250"/>
      <c r="AD95" s="288"/>
      <c r="AE95" s="276"/>
      <c r="AF95" s="249"/>
      <c r="AG95" s="251"/>
      <c r="AH95" s="251"/>
      <c r="AI95" s="668"/>
      <c r="AJ95" s="251"/>
      <c r="AK95" s="645"/>
      <c r="AL95" s="653"/>
      <c r="AM95" s="369"/>
    </row>
    <row r="96" spans="1:42" ht="15.6">
      <c r="A96" s="223"/>
      <c r="B96" s="221" t="s">
        <v>1365</v>
      </c>
      <c r="C96" s="223"/>
      <c r="D96" s="223"/>
      <c r="E96" s="257">
        <f>ROUND(SUM(E92:E95),1)</f>
        <v>136.69999999999999</v>
      </c>
      <c r="F96" s="257"/>
      <c r="G96" s="257">
        <f>ROUND(SUM(G92:G95),1)</f>
        <v>0</v>
      </c>
      <c r="H96" s="257"/>
      <c r="I96" s="1838">
        <f>ROUND(SUM(I92:I95),1)</f>
        <v>0</v>
      </c>
      <c r="J96" s="257"/>
      <c r="K96" s="1838">
        <f>ROUND(SUM(K92:K95),1)</f>
        <v>0</v>
      </c>
      <c r="L96" s="257"/>
      <c r="M96" s="1838">
        <f>ROUND(SUM(M92:M95),1)</f>
        <v>0</v>
      </c>
      <c r="N96" s="257"/>
      <c r="O96" s="257">
        <f>ROUND(SUM(O92:O95),1)</f>
        <v>0</v>
      </c>
      <c r="P96" s="257"/>
      <c r="Q96" s="1838">
        <f>ROUND(SUM(Q92:Q95),1)</f>
        <v>0</v>
      </c>
      <c r="R96" s="257"/>
      <c r="S96" s="1838">
        <f>ROUND(SUM(S92:S95),1)</f>
        <v>0</v>
      </c>
      <c r="T96" s="257"/>
      <c r="U96" s="1838">
        <f>ROUND(SUM(U92:U95),1)</f>
        <v>0</v>
      </c>
      <c r="V96" s="257"/>
      <c r="W96" s="257">
        <f>ROUND(SUM(W92:W95),1)</f>
        <v>0</v>
      </c>
      <c r="X96" s="257"/>
      <c r="Y96" s="1838">
        <f>ROUND(SUM(Y92:Y95),1)</f>
        <v>0</v>
      </c>
      <c r="Z96" s="257"/>
      <c r="AA96" s="1838">
        <f>ROUND(SUM(AA92:AA95),1)</f>
        <v>0</v>
      </c>
      <c r="AB96" s="257"/>
      <c r="AC96" s="259"/>
      <c r="AD96" s="257">
        <f>ROUND(SUM(AD92:AD95),1)</f>
        <v>136.69999999999999</v>
      </c>
      <c r="AE96" s="420"/>
      <c r="AF96" s="273"/>
      <c r="AG96" s="257">
        <f>ROUND(SUM(AG92:AG95),1)</f>
        <v>1.1000000000000001</v>
      </c>
      <c r="AH96" s="273"/>
      <c r="AI96" s="656"/>
      <c r="AJ96" s="271">
        <f>ROUND(SUM(AD96-AG96),1)</f>
        <v>135.6</v>
      </c>
      <c r="AK96" s="663"/>
      <c r="AL96" s="671">
        <f>ROUND(SUM(AJ96/ABS(AG96)),3)</f>
        <v>123.273</v>
      </c>
      <c r="AM96" s="650"/>
      <c r="AN96" s="650"/>
      <c r="AO96" s="650"/>
      <c r="AP96" s="650"/>
    </row>
    <row r="97" spans="1:53" ht="15.6">
      <c r="A97" s="223"/>
      <c r="B97" s="223"/>
      <c r="C97" s="223"/>
      <c r="D97" s="223"/>
      <c r="E97" s="288"/>
      <c r="F97" s="261"/>
      <c r="G97" s="288"/>
      <c r="H97" s="261"/>
      <c r="I97" s="288"/>
      <c r="J97" s="261"/>
      <c r="K97" s="288"/>
      <c r="L97" s="261"/>
      <c r="M97" s="288"/>
      <c r="N97" s="261"/>
      <c r="O97" s="288"/>
      <c r="P97" s="261"/>
      <c r="Q97" s="288"/>
      <c r="R97" s="261"/>
      <c r="S97" s="288"/>
      <c r="T97" s="261"/>
      <c r="U97" s="288"/>
      <c r="V97" s="261"/>
      <c r="W97" s="288"/>
      <c r="X97" s="261"/>
      <c r="Y97" s="288"/>
      <c r="Z97" s="261"/>
      <c r="AA97" s="288"/>
      <c r="AB97" s="261"/>
      <c r="AC97" s="250"/>
      <c r="AD97" s="288"/>
      <c r="AE97" s="276"/>
      <c r="AF97" s="249"/>
      <c r="AG97" s="288"/>
      <c r="AH97" s="249"/>
      <c r="AI97" s="656"/>
      <c r="AJ97" s="251"/>
      <c r="AK97" s="645"/>
      <c r="AL97" s="653"/>
    </row>
    <row r="98" spans="1:53" ht="15.6">
      <c r="A98" s="223"/>
      <c r="B98" s="223"/>
      <c r="C98" s="223"/>
      <c r="D98" s="223"/>
      <c r="E98" s="261"/>
      <c r="F98" s="261"/>
      <c r="G98" s="261" t="s">
        <v>16</v>
      </c>
      <c r="H98" s="261"/>
      <c r="I98" s="261" t="s">
        <v>16</v>
      </c>
      <c r="J98" s="261"/>
      <c r="K98" s="261" t="s">
        <v>16</v>
      </c>
      <c r="L98" s="261"/>
      <c r="M98" s="261" t="s">
        <v>16</v>
      </c>
      <c r="N98" s="261"/>
      <c r="O98" s="261" t="s">
        <v>16</v>
      </c>
      <c r="P98" s="261"/>
      <c r="Q98" s="261" t="s">
        <v>16</v>
      </c>
      <c r="R98" s="261"/>
      <c r="S98" s="261" t="s">
        <v>16</v>
      </c>
      <c r="T98" s="261"/>
      <c r="U98" s="261" t="s">
        <v>16</v>
      </c>
      <c r="V98" s="261"/>
      <c r="W98" s="261" t="s">
        <v>16</v>
      </c>
      <c r="X98" s="261"/>
      <c r="Y98" s="261" t="s">
        <v>16</v>
      </c>
      <c r="Z98" s="261"/>
      <c r="AA98" s="261" t="s">
        <v>16</v>
      </c>
      <c r="AB98" s="261"/>
      <c r="AC98" s="250"/>
      <c r="AD98" s="261" t="s">
        <v>16</v>
      </c>
      <c r="AE98" s="276"/>
      <c r="AF98" s="249"/>
      <c r="AG98" s="261"/>
      <c r="AH98" s="261"/>
      <c r="AI98" s="656"/>
      <c r="AJ98" s="251" t="s">
        <v>16</v>
      </c>
      <c r="AK98" s="645"/>
      <c r="AL98" s="653"/>
    </row>
    <row r="99" spans="1:53" ht="15.6">
      <c r="A99" s="223"/>
      <c r="B99" s="221" t="s">
        <v>216</v>
      </c>
      <c r="C99" s="223"/>
      <c r="D99" s="223"/>
      <c r="E99" s="261"/>
      <c r="F99" s="261"/>
      <c r="G99" s="261" t="s">
        <v>16</v>
      </c>
      <c r="H99" s="261"/>
      <c r="I99" s="261" t="s">
        <v>16</v>
      </c>
      <c r="J99" s="261"/>
      <c r="K99" s="261" t="s">
        <v>16</v>
      </c>
      <c r="L99" s="261"/>
      <c r="M99" s="261" t="s">
        <v>16</v>
      </c>
      <c r="N99" s="261"/>
      <c r="O99" s="261" t="s">
        <v>16</v>
      </c>
      <c r="P99" s="261"/>
      <c r="Q99" s="261" t="s">
        <v>16</v>
      </c>
      <c r="R99" s="261"/>
      <c r="S99" s="261" t="s">
        <v>16</v>
      </c>
      <c r="T99" s="261"/>
      <c r="U99" s="261" t="s">
        <v>16</v>
      </c>
      <c r="V99" s="261"/>
      <c r="W99" s="261" t="s">
        <v>16</v>
      </c>
      <c r="X99" s="261"/>
      <c r="Y99" s="261" t="s">
        <v>16</v>
      </c>
      <c r="Z99" s="261"/>
      <c r="AA99" s="261" t="s">
        <v>16</v>
      </c>
      <c r="AB99" s="261"/>
      <c r="AC99" s="250"/>
      <c r="AD99" s="261"/>
      <c r="AE99" s="276"/>
      <c r="AF99" s="249"/>
      <c r="AG99" s="261"/>
      <c r="AH99" s="261"/>
      <c r="AI99" s="656"/>
      <c r="AJ99" s="251"/>
      <c r="AK99" s="645"/>
      <c r="AL99" s="653"/>
    </row>
    <row r="100" spans="1:53" ht="15.6">
      <c r="A100" s="223"/>
      <c r="B100" s="221" t="s">
        <v>217</v>
      </c>
      <c r="C100" s="223"/>
      <c r="D100" s="223"/>
      <c r="E100" s="257" t="s">
        <v>16</v>
      </c>
      <c r="F100" s="257"/>
      <c r="G100" s="257"/>
      <c r="H100" s="257"/>
      <c r="I100" s="257"/>
      <c r="J100" s="257"/>
      <c r="K100" s="257"/>
      <c r="L100" s="257"/>
      <c r="M100" s="1838"/>
      <c r="N100" s="257"/>
      <c r="O100" s="257"/>
      <c r="P100" s="257"/>
      <c r="Q100" s="1838"/>
      <c r="R100" s="257"/>
      <c r="S100" s="1838"/>
      <c r="T100" s="257"/>
      <c r="U100" s="1838"/>
      <c r="V100" s="257"/>
      <c r="W100" s="257"/>
      <c r="X100" s="257"/>
      <c r="Y100" s="1838"/>
      <c r="Z100" s="257"/>
      <c r="AA100" s="1838"/>
      <c r="AB100" s="257"/>
      <c r="AC100" s="259"/>
      <c r="AD100" s="257" t="s">
        <v>16</v>
      </c>
      <c r="AE100" s="420"/>
      <c r="AF100" s="273"/>
      <c r="AG100" s="669"/>
      <c r="AH100" s="669"/>
      <c r="AI100" s="668"/>
      <c r="AJ100" s="669"/>
      <c r="AK100" s="663"/>
      <c r="AL100" s="649"/>
      <c r="AM100" s="650"/>
      <c r="AN100" s="650"/>
      <c r="AO100" s="650"/>
      <c r="AP100" s="650"/>
      <c r="AQ100" s="650"/>
      <c r="AR100" s="650"/>
      <c r="AS100" s="650"/>
      <c r="AT100" s="650"/>
      <c r="AU100" s="650"/>
      <c r="AV100" s="650"/>
      <c r="AW100" s="650"/>
    </row>
    <row r="101" spans="1:53" ht="15.6">
      <c r="A101" s="223"/>
      <c r="B101" s="221" t="s">
        <v>1355</v>
      </c>
      <c r="C101" s="223"/>
      <c r="D101" s="223"/>
      <c r="E101" s="670">
        <f>ROUND(SUM(E89+E96),1)</f>
        <v>33.799999999999997</v>
      </c>
      <c r="F101" s="257"/>
      <c r="G101" s="670">
        <f>ROUND(SUM(G89+G96),1)</f>
        <v>0</v>
      </c>
      <c r="H101" s="257"/>
      <c r="I101" s="670">
        <f>ROUND(SUM(I89+I96),1)</f>
        <v>0</v>
      </c>
      <c r="J101" s="257"/>
      <c r="K101" s="670">
        <f>ROUND(SUM(K89+K96),1)</f>
        <v>0</v>
      </c>
      <c r="L101" s="257"/>
      <c r="M101" s="670">
        <f>ROUND(SUM(M89+M96),1)</f>
        <v>0</v>
      </c>
      <c r="N101" s="257"/>
      <c r="O101" s="670">
        <f>ROUND(SUM(O89+O96),1)</f>
        <v>0</v>
      </c>
      <c r="P101" s="257"/>
      <c r="Q101" s="670">
        <f>ROUND(SUM(Q89+Q96),1)</f>
        <v>0</v>
      </c>
      <c r="R101" s="257"/>
      <c r="S101" s="670">
        <f>ROUND(SUM(S89+S96),1)</f>
        <v>0</v>
      </c>
      <c r="T101" s="257"/>
      <c r="U101" s="670">
        <f>ROUND(SUM(U89+U96),1)</f>
        <v>0</v>
      </c>
      <c r="V101" s="257"/>
      <c r="W101" s="670">
        <f>ROUND(SUM(W89+W96),1)</f>
        <v>0</v>
      </c>
      <c r="X101" s="257"/>
      <c r="Y101" s="670">
        <f>ROUND(SUM(Y89+Y96),1)</f>
        <v>0</v>
      </c>
      <c r="Z101" s="257"/>
      <c r="AA101" s="670">
        <f>ROUND(SUM(AA89+AA96),1)</f>
        <v>0</v>
      </c>
      <c r="AB101" s="257"/>
      <c r="AC101" s="259"/>
      <c r="AD101" s="670">
        <f>ROUND(AD89+AD96,1)</f>
        <v>33.799999999999997</v>
      </c>
      <c r="AE101" s="420"/>
      <c r="AF101" s="273"/>
      <c r="AG101" s="670">
        <f>ROUND(AG89+AG96,1)</f>
        <v>-70.599999999999994</v>
      </c>
      <c r="AH101" s="669"/>
      <c r="AI101" s="668"/>
      <c r="AJ101" s="670">
        <f>ROUND(SUM(+AD101-AG101),1)</f>
        <v>104.4</v>
      </c>
      <c r="AK101" s="663"/>
      <c r="AL101" s="3144">
        <f>ROUND(IF(AG101=0,0,AJ101/ABS(AG101)),3)</f>
        <v>1.4790000000000001</v>
      </c>
      <c r="AM101" s="650"/>
      <c r="AN101" s="672"/>
      <c r="AO101" s="650"/>
      <c r="AP101" s="650"/>
      <c r="AQ101" s="650"/>
      <c r="AR101" s="650"/>
      <c r="AS101" s="650"/>
      <c r="AT101" s="650"/>
      <c r="AU101" s="650"/>
      <c r="AV101" s="650"/>
      <c r="AW101" s="650"/>
    </row>
    <row r="102" spans="1:53">
      <c r="A102" s="223"/>
      <c r="B102" s="223" t="s">
        <v>16</v>
      </c>
      <c r="C102" s="223"/>
      <c r="D102" s="223"/>
      <c r="E102" s="228"/>
      <c r="F102" s="228"/>
      <c r="G102" s="228"/>
      <c r="H102" s="228"/>
      <c r="I102" s="228"/>
      <c r="J102" s="228"/>
      <c r="K102" s="228"/>
      <c r="L102" s="228"/>
      <c r="M102" s="228"/>
      <c r="N102" s="228"/>
      <c r="O102" s="228"/>
      <c r="P102" s="228"/>
      <c r="Q102" s="228"/>
      <c r="R102" s="228"/>
      <c r="S102" s="532" t="s">
        <v>16</v>
      </c>
      <c r="T102" s="228"/>
      <c r="U102" s="532" t="s">
        <v>16</v>
      </c>
      <c r="V102" s="228"/>
      <c r="W102" s="532" t="s">
        <v>16</v>
      </c>
      <c r="X102" s="228"/>
      <c r="Y102" s="532" t="s">
        <v>16</v>
      </c>
      <c r="Z102" s="228"/>
      <c r="AA102" s="228"/>
      <c r="AB102" s="299"/>
      <c r="AC102" s="673"/>
      <c r="AD102" s="228"/>
      <c r="AE102" s="299"/>
      <c r="AF102" s="673"/>
      <c r="AG102" s="228"/>
      <c r="AH102" s="513"/>
      <c r="AI102" s="229"/>
      <c r="AJ102" s="645"/>
      <c r="AK102" s="645"/>
      <c r="AL102" s="653"/>
      <c r="AM102" s="645"/>
      <c r="AN102" s="645"/>
    </row>
    <row r="103" spans="1:53" s="222" customFormat="1" ht="15" customHeight="1" thickBot="1">
      <c r="A103" s="223"/>
      <c r="B103" s="221" t="s">
        <v>1366</v>
      </c>
      <c r="C103" s="223"/>
      <c r="E103" s="502">
        <f>ROUND(SUM(+E101+E15),1)</f>
        <v>-857</v>
      </c>
      <c r="F103" s="294"/>
      <c r="G103" s="502">
        <f>ROUND(SUM(+G101+G15),1)</f>
        <v>0</v>
      </c>
      <c r="H103" s="294"/>
      <c r="I103" s="502">
        <f>ROUND(SUM(+I101+I15),1)</f>
        <v>0</v>
      </c>
      <c r="J103" s="294"/>
      <c r="K103" s="502">
        <f>ROUND(SUM(+K101+K15),1)</f>
        <v>0</v>
      </c>
      <c r="L103" s="294"/>
      <c r="M103" s="502">
        <f>ROUND(SUM(+M101+M15),1)</f>
        <v>0</v>
      </c>
      <c r="N103" s="294"/>
      <c r="O103" s="502">
        <f>ROUND(SUM(+O101+O15),1)</f>
        <v>0</v>
      </c>
      <c r="P103" s="294"/>
      <c r="Q103" s="502">
        <f>ROUND(SUM(+Q101+Q15),1)</f>
        <v>0</v>
      </c>
      <c r="R103" s="294"/>
      <c r="S103" s="502">
        <f>ROUND(SUM(+S101+S15),1)</f>
        <v>0</v>
      </c>
      <c r="T103" s="294"/>
      <c r="U103" s="502">
        <f>ROUND(SUM(+U101+U15),1)</f>
        <v>0</v>
      </c>
      <c r="V103" s="294"/>
      <c r="W103" s="502">
        <f>ROUND(SUM(+W101+W15),1)</f>
        <v>0</v>
      </c>
      <c r="X103" s="294"/>
      <c r="Y103" s="502">
        <f>ROUND(SUM(+Y101+Y15),1)</f>
        <v>0</v>
      </c>
      <c r="Z103" s="294"/>
      <c r="AA103" s="502">
        <f>ROUND(SUM(+AA101+AA15),1)</f>
        <v>0</v>
      </c>
      <c r="AB103" s="294"/>
      <c r="AC103" s="295"/>
      <c r="AD103" s="502">
        <f>ROUND(SUM(+AD101+AD15),1)</f>
        <v>-857</v>
      </c>
      <c r="AE103" s="294"/>
      <c r="AF103" s="295"/>
      <c r="AG103" s="502">
        <f>ROUND(SUM(+AG101+AG15),1)</f>
        <v>-795</v>
      </c>
      <c r="AH103" s="510"/>
      <c r="AI103" s="423"/>
      <c r="AJ103" s="502">
        <f>ROUND(SUM(+AJ101+AJ15),1)</f>
        <v>-62</v>
      </c>
      <c r="AK103" s="384"/>
      <c r="AL103" s="530">
        <f>ROUND(SUM(-(+AD103-AG103)/AG103),3)</f>
        <v>-7.8E-2</v>
      </c>
      <c r="AM103" s="663"/>
      <c r="AN103" s="663"/>
      <c r="AO103" s="650"/>
      <c r="AP103" s="650"/>
      <c r="AQ103" s="505"/>
      <c r="AR103" s="505"/>
      <c r="AS103" s="505"/>
      <c r="AT103" s="505"/>
      <c r="AU103" s="505"/>
      <c r="AV103" s="505"/>
      <c r="AW103" s="505"/>
      <c r="AX103" s="505"/>
      <c r="AY103" s="505"/>
      <c r="AZ103" s="505"/>
      <c r="BA103" s="505"/>
    </row>
    <row r="104" spans="1:53" ht="15.6" thickTop="1">
      <c r="B104" s="424"/>
    </row>
    <row r="105" spans="1:53">
      <c r="B105" s="674"/>
      <c r="C105" s="675"/>
      <c r="D105" s="675"/>
      <c r="E105" s="676"/>
      <c r="F105" s="676"/>
      <c r="G105" s="676"/>
      <c r="AG105" s="677"/>
      <c r="AJ105" s="369"/>
    </row>
    <row r="106" spans="1:53">
      <c r="B106" s="674"/>
      <c r="C106" s="675"/>
      <c r="D106" s="675"/>
      <c r="E106" s="676"/>
      <c r="F106" s="676"/>
      <c r="G106" s="676"/>
      <c r="AJ106" s="369"/>
    </row>
    <row r="107" spans="1:53">
      <c r="B107" s="678"/>
      <c r="AJ107" s="369"/>
    </row>
    <row r="108" spans="1:53">
      <c r="B108" s="678"/>
    </row>
    <row r="109" spans="1:53">
      <c r="B109" s="674"/>
    </row>
    <row r="110" spans="1:53">
      <c r="B110" s="678"/>
    </row>
    <row r="111" spans="1:53">
      <c r="B111" s="678"/>
    </row>
    <row r="112" spans="1:53">
      <c r="B112" s="674"/>
    </row>
  </sheetData>
  <customSheetViews>
    <customSheetView guid="{8EE6466D-211E-4E05-9F84-CC0A1C6F79F4}" scale="70" showGridLines="0" topLeftCell="I76">
      <selection activeCell="U36" sqref="U36"/>
      <rowBreaks count="1" manualBreakCount="1">
        <brk id="61" min="1" max="37" man="1"/>
      </rowBreaks>
      <pageMargins left="0.5" right="0.2" top="0.75" bottom="0.5" header="0" footer="0.25"/>
      <pageSetup scale="41" firstPageNumber="29" fitToHeight="2" orientation="landscape" useFirstPageNumber="1" r:id="rId1"/>
      <headerFooter scaleWithDoc="0" alignWithMargins="0">
        <oddFooter>&amp;C&amp;8&amp;P</oddFooter>
      </headerFooter>
    </customSheetView>
  </customSheetViews>
  <mergeCells count="1">
    <mergeCell ref="AD10:AL10"/>
  </mergeCells>
  <pageMargins left="0.5" right="0.2" top="0.75" bottom="0.5" header="0" footer="0.25"/>
  <pageSetup scale="40" firstPageNumber="29" orientation="landscape" useFirstPageNumber="1" r:id="rId2"/>
  <headerFooter scaleWithDoc="0" alignWithMargins="0">
    <oddFooter>&amp;C&amp;8&amp;P</oddFooter>
  </headerFooter>
  <rowBreaks count="1" manualBreakCount="1">
    <brk id="66" min="1" max="37" man="1"/>
  </rowBreaks>
  <ignoredErrors>
    <ignoredError sqref="AL40 AL61:AL62 AL29 AL32 AL34:AL36 AL64:AL68 AL90:AL95 AL72:AL74 AL76:AL88 AL51:AL52 AL20:AL25" unlockedFormula="1"/>
    <ignoredError sqref="AL47 AL53 AL58:AL59 AL26 AL55" formula="1" unlockedFormula="1"/>
    <ignoredError sqref="AD57 AL50 AL75"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Q109"/>
  <sheetViews>
    <sheetView zoomScale="70" zoomScaleNormal="70" workbookViewId="0"/>
  </sheetViews>
  <sheetFormatPr defaultColWidth="8.90625" defaultRowHeight="15"/>
  <cols>
    <col min="1" max="1" width="2.54296875" style="301" customWidth="1"/>
    <col min="2" max="2" width="14.36328125" style="301" customWidth="1"/>
    <col min="3" max="3" width="26.36328125" style="301" customWidth="1"/>
    <col min="4" max="4" width="2" style="301" customWidth="1"/>
    <col min="5" max="5" width="11.08984375" style="2103" bestFit="1" customWidth="1"/>
    <col min="6" max="6" width="1.81640625" style="2103" customWidth="1"/>
    <col min="7" max="7" width="11.81640625" style="2103" customWidth="1"/>
    <col min="8" max="8" width="1.81640625" style="2103" customWidth="1"/>
    <col min="9" max="9" width="11.08984375" style="2103" bestFit="1" customWidth="1"/>
    <col min="10" max="10" width="1.81640625" style="2103" customWidth="1"/>
    <col min="11" max="11" width="12" style="2103" customWidth="1"/>
    <col min="12" max="12" width="1.1796875" style="301" customWidth="1"/>
    <col min="13" max="13" width="10.36328125" style="301" bestFit="1" customWidth="1"/>
    <col min="14" max="14" width="1.81640625" style="301" customWidth="1"/>
    <col min="15" max="15" width="11.36328125" style="301" customWidth="1"/>
    <col min="16" max="16" width="1.81640625" style="301" customWidth="1"/>
    <col min="17" max="17" width="9.6328125" style="301" customWidth="1"/>
    <col min="18" max="18" width="1.81640625" style="301" customWidth="1"/>
    <col min="19" max="19" width="10.54296875" style="301" customWidth="1"/>
    <col min="20" max="20" width="1.81640625" style="301" customWidth="1"/>
    <col min="21" max="21" width="10.6328125" style="301" customWidth="1"/>
    <col min="22" max="22" width="1.81640625" style="301" customWidth="1"/>
    <col min="23" max="23" width="9" style="301" bestFit="1" customWidth="1"/>
    <col min="24" max="24" width="1.81640625" style="301" customWidth="1"/>
    <col min="25" max="25" width="10.81640625" style="301" customWidth="1"/>
    <col min="26" max="26" width="1.81640625" style="301" customWidth="1"/>
    <col min="27" max="27" width="9" style="301" bestFit="1" customWidth="1"/>
    <col min="28" max="28" width="1.36328125" style="301" customWidth="1"/>
    <col min="29" max="29" width="12.1796875" style="301" customWidth="1"/>
    <col min="30" max="31" width="1.81640625" style="2103" customWidth="1"/>
    <col min="32" max="32" width="11.08984375" style="2103" bestFit="1" customWidth="1"/>
    <col min="33" max="34" width="1.08984375" style="2103" customWidth="1"/>
    <col min="35" max="35" width="11.36328125" style="2103" customWidth="1"/>
    <col min="36" max="37" width="1" style="2103" customWidth="1"/>
    <col min="38" max="38" width="13.453125" style="2103" bestFit="1" customWidth="1"/>
    <col min="39" max="39" width="1.36328125" style="301" customWidth="1"/>
    <col min="40" max="40" width="12.90625" style="301" customWidth="1"/>
    <col min="41" max="42" width="8.90625" style="301"/>
    <col min="43" max="43" width="19.6328125" style="301" bestFit="1" customWidth="1"/>
    <col min="44" max="16384" width="8.90625" style="301"/>
  </cols>
  <sheetData>
    <row r="1" spans="1:41">
      <c r="B1" s="1172" t="s">
        <v>1103</v>
      </c>
    </row>
    <row r="2" spans="1:41">
      <c r="B2" s="1687"/>
    </row>
    <row r="3" spans="1:41" ht="19.5" customHeight="1">
      <c r="A3" s="634"/>
      <c r="B3" s="537" t="s">
        <v>0</v>
      </c>
      <c r="C3" s="635"/>
      <c r="D3" s="635"/>
      <c r="E3" s="2104"/>
      <c r="F3" s="2105"/>
      <c r="G3" s="2105"/>
      <c r="H3" s="2105"/>
      <c r="I3" s="2105"/>
      <c r="J3" s="2105"/>
      <c r="K3" s="2105"/>
      <c r="L3" s="636"/>
      <c r="M3" s="636"/>
      <c r="N3" s="636"/>
      <c r="O3" s="636"/>
      <c r="P3" s="636"/>
      <c r="Q3" s="636"/>
      <c r="R3" s="636"/>
      <c r="S3" s="636"/>
      <c r="T3" s="636"/>
      <c r="U3" s="636"/>
      <c r="V3" s="636"/>
      <c r="W3" s="636"/>
      <c r="X3" s="636"/>
      <c r="Y3" s="636"/>
      <c r="Z3" s="636"/>
      <c r="AA3" s="636"/>
      <c r="AB3" s="636"/>
      <c r="AC3" s="636"/>
      <c r="AD3" s="2105"/>
      <c r="AE3" s="2105"/>
      <c r="AF3" s="2105"/>
      <c r="AG3" s="2105"/>
      <c r="AH3" s="2105"/>
      <c r="AI3" s="2105"/>
      <c r="AJ3" s="2105"/>
      <c r="AK3" s="2105"/>
      <c r="AN3" s="739" t="s">
        <v>201</v>
      </c>
    </row>
    <row r="4" spans="1:41" ht="19.5" customHeight="1">
      <c r="A4" s="634"/>
      <c r="B4" s="537" t="s">
        <v>218</v>
      </c>
      <c r="C4" s="635"/>
      <c r="D4" s="635"/>
      <c r="E4" s="2104"/>
      <c r="F4" s="2105"/>
      <c r="G4" s="2105"/>
      <c r="H4" s="2105"/>
      <c r="I4" s="2105"/>
      <c r="J4" s="2105"/>
      <c r="K4" s="2105"/>
      <c r="L4" s="636"/>
      <c r="M4" s="636"/>
      <c r="N4" s="636"/>
      <c r="O4" s="636"/>
      <c r="P4" s="636"/>
      <c r="Q4" s="636"/>
      <c r="R4" s="636"/>
      <c r="S4" s="636"/>
      <c r="T4" s="636"/>
      <c r="U4" s="636"/>
      <c r="V4" s="636"/>
      <c r="W4" s="636"/>
      <c r="X4" s="636"/>
      <c r="Y4" s="636"/>
      <c r="Z4" s="636"/>
      <c r="AA4" s="636"/>
      <c r="AB4" s="636"/>
      <c r="AC4" s="636"/>
      <c r="AD4" s="2105"/>
      <c r="AE4" s="2105"/>
      <c r="AG4" s="2118"/>
      <c r="AH4" s="2118"/>
    </row>
    <row r="5" spans="1:41" ht="19.5" customHeight="1">
      <c r="A5" s="634"/>
      <c r="B5" s="504" t="s">
        <v>1123</v>
      </c>
      <c r="C5" s="635"/>
      <c r="D5" s="635"/>
      <c r="E5" s="2104"/>
      <c r="F5" s="2105"/>
      <c r="G5" s="2105"/>
      <c r="H5" s="2105"/>
      <c r="I5" s="2105"/>
      <c r="J5" s="2105"/>
      <c r="K5" s="2105"/>
      <c r="L5" s="636"/>
      <c r="M5" s="636"/>
      <c r="N5" s="636"/>
      <c r="O5" s="636"/>
      <c r="P5" s="636"/>
      <c r="Q5" s="636"/>
      <c r="R5" s="636"/>
      <c r="S5" s="636"/>
      <c r="T5" s="636"/>
      <c r="U5" s="636"/>
      <c r="V5" s="636"/>
      <c r="W5" s="636"/>
      <c r="X5" s="636"/>
      <c r="Y5" s="636"/>
      <c r="Z5" s="636"/>
      <c r="AA5" s="636"/>
      <c r="AB5" s="636"/>
      <c r="AC5" s="636"/>
      <c r="AD5" s="2105"/>
      <c r="AE5" s="2105"/>
      <c r="AF5" s="2105"/>
      <c r="AG5" s="2105"/>
      <c r="AH5" s="2105"/>
      <c r="AI5" s="2105"/>
      <c r="AJ5" s="2105"/>
      <c r="AK5" s="2105"/>
      <c r="AN5" s="506"/>
    </row>
    <row r="6" spans="1:41" ht="19.5" customHeight="1">
      <c r="A6" s="634"/>
      <c r="B6" s="2997" t="s">
        <v>1489</v>
      </c>
      <c r="C6" s="635"/>
      <c r="D6" s="635"/>
      <c r="E6" s="2104"/>
      <c r="F6" s="2105"/>
      <c r="G6" s="2105"/>
      <c r="H6" s="2106"/>
      <c r="I6" s="2105"/>
      <c r="J6" s="2105"/>
      <c r="K6" s="2105"/>
      <c r="L6" s="636"/>
      <c r="M6" s="636"/>
      <c r="N6" s="636"/>
      <c r="O6" s="636"/>
      <c r="P6" s="636"/>
      <c r="Q6" s="636"/>
      <c r="R6" s="636"/>
      <c r="S6" s="636"/>
      <c r="T6" s="636"/>
      <c r="U6" s="636"/>
      <c r="V6" s="636"/>
      <c r="W6" s="636"/>
      <c r="X6" s="636"/>
      <c r="Y6" s="636"/>
      <c r="Z6" s="636"/>
      <c r="AA6" s="636"/>
      <c r="AB6" s="636"/>
      <c r="AC6" s="636"/>
      <c r="AD6" s="2105"/>
      <c r="AE6" s="2105"/>
      <c r="AF6" s="2105"/>
      <c r="AG6" s="2119"/>
      <c r="AH6" s="2119"/>
      <c r="AI6" s="2119"/>
      <c r="AJ6" s="2119"/>
      <c r="AK6" s="2119"/>
    </row>
    <row r="7" spans="1:41" ht="19.5" customHeight="1">
      <c r="A7" s="634"/>
      <c r="B7" s="640" t="s">
        <v>992</v>
      </c>
      <c r="C7" s="635"/>
      <c r="D7" s="635"/>
      <c r="E7" s="2104"/>
      <c r="F7" s="2105"/>
      <c r="G7" s="2105"/>
      <c r="H7" s="2106"/>
      <c r="I7" s="2105"/>
      <c r="J7" s="2105"/>
      <c r="K7" s="2105"/>
      <c r="L7" s="636"/>
      <c r="M7" s="636"/>
      <c r="N7" s="636"/>
      <c r="O7" s="636"/>
      <c r="P7" s="636"/>
      <c r="Q7" s="636"/>
      <c r="R7" s="636"/>
      <c r="S7" s="636"/>
      <c r="T7" s="636"/>
      <c r="U7" s="636"/>
      <c r="V7" s="636"/>
      <c r="W7" s="636"/>
      <c r="X7" s="636"/>
      <c r="Y7" s="636"/>
      <c r="Z7" s="636"/>
      <c r="AA7" s="636"/>
      <c r="AB7" s="636"/>
      <c r="AC7" s="636"/>
      <c r="AD7" s="2105"/>
      <c r="AE7" s="2105"/>
      <c r="AF7" s="2105"/>
      <c r="AG7" s="2119"/>
      <c r="AH7" s="2119"/>
      <c r="AI7" s="2119"/>
      <c r="AJ7" s="2119"/>
      <c r="AK7" s="2119"/>
    </row>
    <row r="8" spans="1:41" ht="19.5" customHeight="1">
      <c r="A8" s="634"/>
      <c r="C8" s="635"/>
      <c r="D8" s="635"/>
      <c r="E8" s="2104"/>
      <c r="F8" s="2105"/>
      <c r="G8" s="2105"/>
      <c r="H8" s="2105"/>
      <c r="I8" s="2105"/>
      <c r="J8" s="2105"/>
      <c r="K8" s="2105"/>
      <c r="L8" s="636"/>
      <c r="M8" s="636"/>
      <c r="N8" s="636"/>
      <c r="O8" s="636"/>
      <c r="P8" s="636"/>
      <c r="Q8" s="636"/>
      <c r="R8" s="636"/>
      <c r="S8" s="636"/>
      <c r="T8" s="636"/>
      <c r="U8" s="636"/>
      <c r="V8" s="636"/>
      <c r="W8" s="636"/>
      <c r="X8" s="636"/>
      <c r="Y8" s="636"/>
      <c r="Z8" s="636"/>
      <c r="AA8" s="636"/>
      <c r="AB8" s="636"/>
      <c r="AC8" s="636"/>
      <c r="AD8" s="2105"/>
      <c r="AE8" s="2120"/>
    </row>
    <row r="9" spans="1:41" ht="15.75" customHeight="1">
      <c r="A9" s="634"/>
      <c r="B9" s="640"/>
      <c r="C9" s="635"/>
      <c r="D9" s="635"/>
      <c r="E9" s="2104"/>
      <c r="F9" s="2105"/>
      <c r="G9" s="2105"/>
      <c r="H9" s="2105"/>
      <c r="I9" s="2105"/>
      <c r="J9" s="2105"/>
      <c r="K9" s="2105"/>
      <c r="L9" s="636"/>
      <c r="M9" s="636"/>
      <c r="N9" s="636"/>
      <c r="O9" s="636"/>
      <c r="P9" s="636"/>
      <c r="Q9" s="636"/>
      <c r="R9" s="636"/>
      <c r="S9" s="636"/>
      <c r="T9" s="636"/>
      <c r="U9" s="636"/>
      <c r="V9" s="636"/>
      <c r="W9" s="636"/>
      <c r="X9" s="636"/>
      <c r="Y9" s="636"/>
      <c r="Z9" s="636"/>
      <c r="AA9" s="636"/>
      <c r="AB9" s="636"/>
      <c r="AC9" s="636"/>
      <c r="AD9" s="2105"/>
      <c r="AE9" s="2120"/>
    </row>
    <row r="10" spans="1:41" ht="15.75" customHeight="1">
      <c r="A10" s="634"/>
      <c r="B10" s="642"/>
      <c r="C10" s="635"/>
      <c r="D10" s="635"/>
      <c r="E10" s="2104"/>
      <c r="F10" s="2105"/>
      <c r="G10" s="2105"/>
      <c r="H10" s="2105"/>
      <c r="I10" s="2105"/>
      <c r="J10" s="2105"/>
      <c r="K10" s="2105"/>
      <c r="L10" s="636"/>
      <c r="M10" s="636"/>
      <c r="N10" s="636"/>
      <c r="O10" s="636"/>
      <c r="P10" s="636"/>
      <c r="Q10" s="636"/>
      <c r="R10" s="636"/>
      <c r="S10" s="636"/>
      <c r="T10" s="636"/>
      <c r="U10" s="636"/>
      <c r="V10" s="636"/>
      <c r="W10" s="636"/>
      <c r="X10" s="636"/>
      <c r="Y10" s="636"/>
      <c r="Z10" s="636"/>
      <c r="AA10" s="636"/>
      <c r="AB10" s="636"/>
      <c r="AC10" s="636"/>
      <c r="AD10" s="2105"/>
      <c r="AE10" s="2120"/>
      <c r="AF10" s="3405" t="s">
        <v>1465</v>
      </c>
      <c r="AG10" s="3412"/>
      <c r="AH10" s="3412"/>
      <c r="AI10" s="3412"/>
      <c r="AJ10" s="3412"/>
      <c r="AK10" s="3412"/>
      <c r="AL10" s="3412"/>
      <c r="AM10" s="3412"/>
      <c r="AN10" s="3412"/>
    </row>
    <row r="11" spans="1:41" ht="15.75" customHeight="1">
      <c r="A11" s="634"/>
      <c r="B11" s="642"/>
      <c r="C11" s="635"/>
      <c r="D11" s="635"/>
      <c r="E11" s="2107"/>
      <c r="F11" s="2108"/>
      <c r="G11" s="2108"/>
      <c r="H11" s="2108"/>
      <c r="I11" s="2108"/>
      <c r="J11" s="2108"/>
      <c r="K11" s="2108"/>
      <c r="L11" s="1505"/>
      <c r="M11" s="1505"/>
      <c r="N11" s="1505"/>
      <c r="O11" s="1505"/>
      <c r="P11" s="1505"/>
      <c r="Q11" s="1505"/>
      <c r="R11" s="1505"/>
      <c r="S11" s="1505"/>
      <c r="T11" s="1505"/>
      <c r="U11" s="1505"/>
      <c r="V11" s="1505"/>
      <c r="W11" s="1505"/>
      <c r="X11" s="1505"/>
      <c r="Y11" s="1505"/>
      <c r="Z11" s="1505"/>
      <c r="AA11" s="1505"/>
      <c r="AB11" s="1505"/>
      <c r="AC11" s="1483" t="s">
        <v>1331</v>
      </c>
      <c r="AD11" s="2108"/>
      <c r="AE11" s="2121"/>
      <c r="AF11" s="2122"/>
      <c r="AG11" s="2123"/>
      <c r="AH11" s="2123"/>
      <c r="AI11" s="2123"/>
      <c r="AJ11" s="2123"/>
      <c r="AK11" s="2123"/>
      <c r="AL11" s="2123"/>
      <c r="AM11" s="1507"/>
      <c r="AN11" s="1507"/>
    </row>
    <row r="12" spans="1:41" ht="15.75" customHeight="1">
      <c r="A12" s="643"/>
      <c r="B12" s="643"/>
      <c r="C12" s="643"/>
      <c r="D12" s="643"/>
      <c r="E12" s="1466">
        <v>2016</v>
      </c>
      <c r="F12" s="2109"/>
      <c r="G12" s="2109"/>
      <c r="H12" s="2109"/>
      <c r="I12" s="2109"/>
      <c r="J12" s="2109"/>
      <c r="K12" s="2109"/>
      <c r="L12" s="1508"/>
      <c r="M12" s="1508"/>
      <c r="N12" s="1508"/>
      <c r="O12" s="1508"/>
      <c r="P12" s="1508"/>
      <c r="Q12" s="1508"/>
      <c r="R12" s="1508"/>
      <c r="S12" s="1508"/>
      <c r="T12" s="1508"/>
      <c r="U12" s="1508"/>
      <c r="V12" s="1508"/>
      <c r="W12" s="1476">
        <v>2017</v>
      </c>
      <c r="X12" s="1508"/>
      <c r="Y12" s="1508"/>
      <c r="Z12" s="1508"/>
      <c r="AA12" s="1508"/>
      <c r="AB12" s="1508"/>
      <c r="AC12" s="1483" t="s">
        <v>1332</v>
      </c>
      <c r="AD12" s="2109"/>
      <c r="AE12" s="2109"/>
      <c r="AF12" s="2124"/>
      <c r="AG12" s="2124"/>
      <c r="AH12" s="2124"/>
      <c r="AI12" s="2124"/>
      <c r="AJ12" s="2124"/>
      <c r="AK12" s="2124"/>
      <c r="AL12" s="2125" t="s">
        <v>8</v>
      </c>
      <c r="AM12" s="1483"/>
      <c r="AN12" s="1478" t="s">
        <v>9</v>
      </c>
      <c r="AO12" s="1512"/>
    </row>
    <row r="13" spans="1:41" ht="15.75" customHeight="1">
      <c r="A13" s="223"/>
      <c r="B13" s="223"/>
      <c r="C13" s="223"/>
      <c r="D13" s="223"/>
      <c r="E13" s="1510" t="s">
        <v>129</v>
      </c>
      <c r="F13" s="305"/>
      <c r="G13" s="1510" t="s">
        <v>130</v>
      </c>
      <c r="H13" s="305"/>
      <c r="I13" s="1510" t="s">
        <v>131</v>
      </c>
      <c r="J13" s="305"/>
      <c r="K13" s="1510" t="s">
        <v>132</v>
      </c>
      <c r="L13" s="221"/>
      <c r="M13" s="1458" t="s">
        <v>133</v>
      </c>
      <c r="N13" s="221"/>
      <c r="O13" s="1458" t="s">
        <v>134</v>
      </c>
      <c r="P13" s="221"/>
      <c r="Q13" s="1458" t="s">
        <v>135</v>
      </c>
      <c r="R13" s="221"/>
      <c r="S13" s="1458" t="s">
        <v>136</v>
      </c>
      <c r="T13" s="221"/>
      <c r="U13" s="1458" t="s">
        <v>137</v>
      </c>
      <c r="V13" s="221"/>
      <c r="W13" s="1458" t="s">
        <v>154</v>
      </c>
      <c r="X13" s="221"/>
      <c r="Y13" s="1458" t="s">
        <v>139</v>
      </c>
      <c r="Z13" s="221"/>
      <c r="AA13" s="1458" t="s">
        <v>140</v>
      </c>
      <c r="AB13" s="1490"/>
      <c r="AC13" s="2044" t="s">
        <v>1333</v>
      </c>
      <c r="AD13" s="305"/>
      <c r="AE13" s="305"/>
      <c r="AF13" s="1510">
        <v>2016</v>
      </c>
      <c r="AG13" s="305"/>
      <c r="AH13" s="305"/>
      <c r="AI13" s="1510">
        <v>2015</v>
      </c>
      <c r="AJ13" s="1511"/>
      <c r="AK13" s="1511"/>
      <c r="AL13" s="2126" t="s">
        <v>13</v>
      </c>
      <c r="AM13" s="1481"/>
      <c r="AN13" s="1491" t="s">
        <v>14</v>
      </c>
      <c r="AO13" s="1512"/>
    </row>
    <row r="14" spans="1:41" ht="15.6">
      <c r="A14" s="223"/>
      <c r="B14" s="221"/>
      <c r="C14" s="221"/>
      <c r="D14" s="223"/>
      <c r="E14" s="341"/>
      <c r="F14" s="341"/>
      <c r="G14" s="341"/>
      <c r="H14" s="341"/>
      <c r="I14" s="341"/>
      <c r="J14" s="341"/>
      <c r="K14" s="341"/>
      <c r="L14" s="367"/>
      <c r="M14" s="367"/>
      <c r="N14" s="367"/>
      <c r="O14" s="367"/>
      <c r="P14" s="367"/>
      <c r="Q14" s="367"/>
      <c r="R14" s="367"/>
      <c r="S14" s="367"/>
      <c r="T14" s="367"/>
      <c r="U14" s="367"/>
      <c r="V14" s="367"/>
      <c r="W14" s="367"/>
      <c r="X14" s="367"/>
      <c r="Y14" s="367"/>
      <c r="Z14" s="367"/>
      <c r="AA14" s="367"/>
      <c r="AB14" s="367"/>
      <c r="AC14" s="1490"/>
      <c r="AD14" s="341"/>
      <c r="AE14" s="2056"/>
      <c r="AF14" s="341"/>
      <c r="AG14" s="341"/>
      <c r="AH14" s="2196"/>
      <c r="AI14" s="341"/>
      <c r="AJ14" s="341"/>
      <c r="AK14" s="1960"/>
      <c r="AL14" s="2127"/>
      <c r="AM14" s="1348"/>
      <c r="AN14" s="1348"/>
    </row>
    <row r="15" spans="1:41" ht="15.6">
      <c r="A15" s="223"/>
      <c r="B15" s="221"/>
      <c r="C15" s="221"/>
      <c r="D15" s="223"/>
      <c r="E15" s="341"/>
      <c r="F15" s="341"/>
      <c r="G15" s="341"/>
      <c r="H15" s="341"/>
      <c r="I15" s="341"/>
      <c r="J15" s="341"/>
      <c r="K15" s="341"/>
      <c r="L15" s="367"/>
      <c r="M15" s="367"/>
      <c r="N15" s="367"/>
      <c r="O15" s="367"/>
      <c r="P15" s="367"/>
      <c r="Q15" s="367"/>
      <c r="R15" s="367"/>
      <c r="S15" s="367"/>
      <c r="T15" s="367"/>
      <c r="U15" s="367"/>
      <c r="V15" s="367"/>
      <c r="W15" s="367"/>
      <c r="X15" s="367"/>
      <c r="Y15" s="367"/>
      <c r="Z15" s="367"/>
      <c r="AA15" s="367"/>
      <c r="AB15" s="367"/>
      <c r="AC15" s="367"/>
      <c r="AD15" s="341"/>
      <c r="AE15" s="2056"/>
      <c r="AF15" s="341"/>
      <c r="AG15" s="341"/>
      <c r="AH15" s="2196"/>
      <c r="AI15" s="341"/>
      <c r="AJ15" s="341"/>
      <c r="AK15" s="1960"/>
      <c r="AL15" s="2127"/>
      <c r="AM15" s="1348"/>
      <c r="AN15" s="1348"/>
    </row>
    <row r="16" spans="1:41" ht="15.6">
      <c r="A16" s="223"/>
      <c r="B16" s="221" t="s">
        <v>202</v>
      </c>
      <c r="C16" s="223"/>
      <c r="D16" s="223"/>
      <c r="E16" s="341"/>
      <c r="F16" s="341"/>
      <c r="G16" s="341"/>
      <c r="H16" s="341"/>
      <c r="I16" s="341"/>
      <c r="J16" s="341"/>
      <c r="K16" s="341"/>
      <c r="L16" s="367"/>
      <c r="M16" s="367"/>
      <c r="N16" s="367"/>
      <c r="O16" s="367"/>
      <c r="P16" s="367"/>
      <c r="Q16" s="367"/>
      <c r="R16" s="367"/>
      <c r="S16" s="367"/>
      <c r="T16" s="367"/>
      <c r="U16" s="367"/>
      <c r="V16" s="367"/>
      <c r="W16" s="367"/>
      <c r="X16" s="367"/>
      <c r="Y16" s="367"/>
      <c r="Z16" s="367"/>
      <c r="AA16" s="367"/>
      <c r="AB16" s="367"/>
      <c r="AC16" s="367"/>
      <c r="AD16" s="341"/>
      <c r="AE16" s="2056"/>
      <c r="AF16" s="341"/>
      <c r="AG16" s="2128"/>
      <c r="AH16" s="317"/>
      <c r="AI16" s="341"/>
      <c r="AJ16" s="341"/>
      <c r="AK16" s="1960"/>
      <c r="AL16" s="2129"/>
      <c r="AM16" s="645"/>
      <c r="AN16" s="645"/>
    </row>
    <row r="17" spans="1:41" ht="15.6">
      <c r="A17" s="223"/>
      <c r="B17" s="489" t="s">
        <v>1238</v>
      </c>
      <c r="C17" s="223"/>
      <c r="D17" s="223"/>
      <c r="E17" s="341"/>
      <c r="F17" s="341"/>
      <c r="G17" s="341"/>
      <c r="H17" s="341"/>
      <c r="I17" s="341"/>
      <c r="J17" s="341"/>
      <c r="K17" s="341"/>
      <c r="L17" s="367"/>
      <c r="M17" s="367"/>
      <c r="N17" s="367"/>
      <c r="O17" s="367"/>
      <c r="P17" s="367"/>
      <c r="Q17" s="367"/>
      <c r="R17" s="367"/>
      <c r="S17" s="367"/>
      <c r="T17" s="367"/>
      <c r="U17" s="367"/>
      <c r="V17" s="367"/>
      <c r="W17" s="367"/>
      <c r="X17" s="367"/>
      <c r="Y17" s="367"/>
      <c r="Z17" s="367"/>
      <c r="AA17" s="367"/>
      <c r="AB17" s="367"/>
      <c r="AC17" s="367"/>
      <c r="AD17" s="341"/>
      <c r="AE17" s="2056"/>
      <c r="AF17" s="341"/>
      <c r="AG17" s="2130"/>
      <c r="AH17" s="317"/>
      <c r="AI17" s="341"/>
      <c r="AJ17" s="341"/>
      <c r="AK17" s="1960"/>
      <c r="AL17" s="2129"/>
      <c r="AM17" s="645"/>
      <c r="AN17" s="645"/>
    </row>
    <row r="18" spans="1:41" ht="15.6">
      <c r="A18" s="223"/>
      <c r="B18" s="2027" t="s">
        <v>1256</v>
      </c>
      <c r="C18" s="223"/>
      <c r="D18" s="223"/>
      <c r="E18" s="2110"/>
      <c r="F18" s="341"/>
      <c r="G18" s="318"/>
      <c r="H18" s="318"/>
      <c r="I18" s="318"/>
      <c r="J18" s="318"/>
      <c r="K18" s="318"/>
      <c r="L18" s="261"/>
      <c r="M18" s="261"/>
      <c r="N18" s="261"/>
      <c r="O18" s="261"/>
      <c r="P18" s="261"/>
      <c r="Q18" s="261"/>
      <c r="R18" s="261"/>
      <c r="S18" s="261"/>
      <c r="T18" s="261"/>
      <c r="U18" s="261"/>
      <c r="V18" s="261"/>
      <c r="W18" s="261"/>
      <c r="X18" s="261"/>
      <c r="Y18" s="261"/>
      <c r="Z18" s="261"/>
      <c r="AA18" s="261"/>
      <c r="AB18" s="261"/>
      <c r="AC18" s="261"/>
      <c r="AD18" s="318"/>
      <c r="AE18" s="1270"/>
      <c r="AF18" s="2299" t="s">
        <v>16</v>
      </c>
      <c r="AG18" s="2088"/>
      <c r="AH18" s="262"/>
      <c r="AI18" s="318" t="s">
        <v>16</v>
      </c>
      <c r="AJ18" s="318"/>
      <c r="AK18" s="2132"/>
      <c r="AL18" s="687"/>
      <c r="AM18" s="645"/>
      <c r="AN18" s="645"/>
    </row>
    <row r="19" spans="1:41">
      <c r="A19" s="223"/>
      <c r="B19" s="1256" t="s">
        <v>1259</v>
      </c>
      <c r="C19" s="223"/>
      <c r="D19" s="364" t="s">
        <v>16</v>
      </c>
      <c r="E19" s="1786">
        <v>0.3</v>
      </c>
      <c r="F19" s="1786"/>
      <c r="G19" s="1786"/>
      <c r="H19" s="1786"/>
      <c r="I19" s="1786"/>
      <c r="J19" s="1786"/>
      <c r="K19" s="1786"/>
      <c r="L19" s="1159"/>
      <c r="M19" s="1786"/>
      <c r="N19" s="1159"/>
      <c r="O19" s="1872"/>
      <c r="P19" s="1159"/>
      <c r="Q19" s="1241"/>
      <c r="R19" s="1159"/>
      <c r="S19" s="1872"/>
      <c r="T19" s="1159"/>
      <c r="U19" s="1872"/>
      <c r="V19" s="1159"/>
      <c r="W19" s="1872"/>
      <c r="X19" s="1159"/>
      <c r="Y19" s="1872"/>
      <c r="Z19" s="1159"/>
      <c r="AA19" s="1872"/>
      <c r="AB19" s="1340"/>
      <c r="AC19" s="1786">
        <v>0</v>
      </c>
      <c r="AD19" s="1787"/>
      <c r="AE19" s="2702"/>
      <c r="AF19" s="1786">
        <f>ROUND(SUM(E19:AC19),1)</f>
        <v>0.3</v>
      </c>
      <c r="AG19" s="2705"/>
      <c r="AH19" s="2706"/>
      <c r="AI19" s="1786">
        <v>3</v>
      </c>
      <c r="AJ19" s="2707"/>
      <c r="AK19" s="2708"/>
      <c r="AL19" s="1786">
        <f>ROUND(AF19-AI19,1)</f>
        <v>-2.7</v>
      </c>
      <c r="AM19" s="2575"/>
      <c r="AN19" s="1816">
        <f>ROUND(IF(AI19=0,0,AL19/ABS(AI19)),3)</f>
        <v>-0.9</v>
      </c>
    </row>
    <row r="20" spans="1:41" ht="15.6">
      <c r="A20" s="223"/>
      <c r="B20" s="1256" t="s">
        <v>1261</v>
      </c>
      <c r="C20" s="223"/>
      <c r="D20" s="223"/>
      <c r="E20" s="1788">
        <v>30.8</v>
      </c>
      <c r="F20" s="1787"/>
      <c r="G20" s="1788"/>
      <c r="H20" s="1787"/>
      <c r="I20" s="1788"/>
      <c r="J20" s="1787"/>
      <c r="K20" s="1788"/>
      <c r="L20" s="1159"/>
      <c r="M20" s="1159"/>
      <c r="N20" s="1159"/>
      <c r="O20" s="1340"/>
      <c r="P20" s="261"/>
      <c r="Q20" s="516"/>
      <c r="R20" s="261"/>
      <c r="S20" s="516"/>
      <c r="T20" s="261"/>
      <c r="U20" s="516"/>
      <c r="V20" s="261"/>
      <c r="W20" s="516"/>
      <c r="X20" s="261"/>
      <c r="Y20" s="516"/>
      <c r="Z20" s="261"/>
      <c r="AA20" s="516"/>
      <c r="AB20" s="516"/>
      <c r="AC20" s="1190">
        <v>0</v>
      </c>
      <c r="AD20" s="318"/>
      <c r="AE20" s="1270"/>
      <c r="AF20" s="319">
        <f>ROUND(SUM(E20:AC20),1)</f>
        <v>30.8</v>
      </c>
      <c r="AG20" s="2088"/>
      <c r="AH20" s="262"/>
      <c r="AI20" s="318">
        <v>32.6</v>
      </c>
      <c r="AJ20" s="318"/>
      <c r="AK20" s="2132"/>
      <c r="AL20" s="319">
        <f>ROUND(AF20-AI20,1)</f>
        <v>-1.8</v>
      </c>
      <c r="AM20" s="655"/>
      <c r="AN20" s="45">
        <f>ROUND(IF(AI20=0,0,AL20/ABS(AI20)),3)</f>
        <v>-5.5E-2</v>
      </c>
      <c r="AO20" s="645"/>
    </row>
    <row r="21" spans="1:41" ht="15.6">
      <c r="A21" s="223"/>
      <c r="B21" s="1256" t="s">
        <v>1263</v>
      </c>
      <c r="C21" s="223"/>
      <c r="D21" s="223"/>
      <c r="E21" s="3010">
        <v>12.6</v>
      </c>
      <c r="F21" s="1787"/>
      <c r="G21" s="1788"/>
      <c r="H21" s="1787"/>
      <c r="I21" s="1788"/>
      <c r="J21" s="1787"/>
      <c r="K21" s="1788"/>
      <c r="L21" s="1159"/>
      <c r="M21" s="1159"/>
      <c r="N21" s="1159"/>
      <c r="O21" s="1340"/>
      <c r="P21" s="261"/>
      <c r="Q21" s="516"/>
      <c r="R21" s="261"/>
      <c r="S21" s="516"/>
      <c r="T21" s="261"/>
      <c r="U21" s="516"/>
      <c r="V21" s="261"/>
      <c r="W21" s="516"/>
      <c r="X21" s="261"/>
      <c r="Y21" s="516"/>
      <c r="Z21" s="261"/>
      <c r="AA21" s="516"/>
      <c r="AB21" s="516"/>
      <c r="AC21" s="1190">
        <v>0</v>
      </c>
      <c r="AD21" s="318"/>
      <c r="AE21" s="1270"/>
      <c r="AF21" s="319">
        <f>ROUND(SUM(E21:AC21),1)</f>
        <v>12.6</v>
      </c>
      <c r="AG21" s="2088"/>
      <c r="AH21" s="262"/>
      <c r="AI21" s="318">
        <v>13.4</v>
      </c>
      <c r="AJ21" s="318"/>
      <c r="AK21" s="2132"/>
      <c r="AL21" s="319">
        <f>ROUND(AF21-AI21,1)</f>
        <v>-0.8</v>
      </c>
      <c r="AM21" s="655"/>
      <c r="AN21" s="45">
        <f>ROUND(IF(AI21=0,0,AL21/ABS(AI21)),3)</f>
        <v>-0.06</v>
      </c>
    </row>
    <row r="22" spans="1:41" ht="15.6">
      <c r="A22" s="223"/>
      <c r="B22" s="588" t="s">
        <v>1361</v>
      </c>
      <c r="C22" s="223"/>
      <c r="D22" s="223"/>
      <c r="E22" s="1269">
        <f>ROUND(SUM(E19:E21),1)</f>
        <v>43.7</v>
      </c>
      <c r="F22" s="1787"/>
      <c r="G22" s="1269">
        <f>ROUND(SUM(G19:G21),1)</f>
        <v>0</v>
      </c>
      <c r="H22" s="1787"/>
      <c r="I22" s="1269">
        <f>ROUND(SUM(I19:I21),1)</f>
        <v>0</v>
      </c>
      <c r="J22" s="1787"/>
      <c r="K22" s="1269">
        <f>ROUND(SUM(K19:K21),1)</f>
        <v>0</v>
      </c>
      <c r="L22" s="1159"/>
      <c r="M22" s="1269">
        <f>ROUND(SUM(M19:M21),1)</f>
        <v>0</v>
      </c>
      <c r="N22" s="1159"/>
      <c r="O22" s="1269">
        <f>ROUND(SUM(O19:O21),1)</f>
        <v>0</v>
      </c>
      <c r="P22" s="261"/>
      <c r="Q22" s="1269">
        <f>ROUND(SUM(Q19:Q21),1)</f>
        <v>0</v>
      </c>
      <c r="R22" s="261"/>
      <c r="S22" s="1269">
        <f>ROUND(SUM(S19:S21),1)</f>
        <v>0</v>
      </c>
      <c r="T22" s="261"/>
      <c r="U22" s="3009">
        <f>ROUND(SUM(U19:U21),1)</f>
        <v>0</v>
      </c>
      <c r="V22" s="261"/>
      <c r="W22" s="1269">
        <f>ROUND(SUM(W19:W21),1)</f>
        <v>0</v>
      </c>
      <c r="X22" s="261"/>
      <c r="Y22" s="1269">
        <f>ROUND(SUM(Y19:Y21),1)</f>
        <v>0</v>
      </c>
      <c r="Z22" s="261"/>
      <c r="AA22" s="1269">
        <f>ROUND(SUM(AA19:AA21),1)</f>
        <v>0</v>
      </c>
      <c r="AB22" s="315"/>
      <c r="AC22" s="1269">
        <f>ROUND(SUM(AC19:AC21),1)</f>
        <v>0</v>
      </c>
      <c r="AD22" s="318"/>
      <c r="AE22" s="1270"/>
      <c r="AF22" s="1269">
        <f>ROUND(SUM(AF19:AF21),1)</f>
        <v>43.7</v>
      </c>
      <c r="AG22" s="2092"/>
      <c r="AH22" s="262"/>
      <c r="AI22" s="3009">
        <f>ROUND(SUM(AI19:AI21),1)</f>
        <v>49</v>
      </c>
      <c r="AJ22" s="318"/>
      <c r="AK22" s="2132"/>
      <c r="AL22" s="1269">
        <f>ROUND(SUM(AL19:AL21),1)</f>
        <v>-5.3</v>
      </c>
      <c r="AM22" s="655"/>
      <c r="AN22" s="72">
        <f>ROUND(IF(AI22=0,0,AL22/ABS(AI22)),3)</f>
        <v>-0.108</v>
      </c>
    </row>
    <row r="23" spans="1:41" ht="15.6">
      <c r="A23" s="223"/>
      <c r="B23" s="2027" t="s">
        <v>1244</v>
      </c>
      <c r="C23" s="223"/>
      <c r="D23" s="223"/>
      <c r="E23" s="1787"/>
      <c r="F23" s="1787"/>
      <c r="G23" s="1787"/>
      <c r="H23" s="1787"/>
      <c r="I23" s="1787"/>
      <c r="J23" s="1787"/>
      <c r="K23" s="1787"/>
      <c r="L23" s="1159"/>
      <c r="M23" s="1159"/>
      <c r="N23" s="1159"/>
      <c r="O23" s="1340"/>
      <c r="P23" s="261"/>
      <c r="Q23" s="516"/>
      <c r="R23" s="261"/>
      <c r="S23" s="516"/>
      <c r="T23" s="261"/>
      <c r="U23" s="516"/>
      <c r="V23" s="261"/>
      <c r="W23" s="657"/>
      <c r="X23" s="261"/>
      <c r="Y23" s="516"/>
      <c r="Z23" s="261"/>
      <c r="AA23" s="657"/>
      <c r="AB23" s="657"/>
      <c r="AC23" s="657"/>
      <c r="AD23" s="318"/>
      <c r="AE23" s="1270"/>
      <c r="AF23" s="319"/>
      <c r="AG23" s="2088"/>
      <c r="AH23" s="262"/>
      <c r="AI23" s="319"/>
      <c r="AJ23" s="318"/>
      <c r="AK23" s="2132"/>
      <c r="AL23" s="319"/>
      <c r="AM23" s="645"/>
      <c r="AN23" s="653"/>
    </row>
    <row r="24" spans="1:41" ht="15.6">
      <c r="A24" s="223"/>
      <c r="B24" s="1256" t="s">
        <v>1266</v>
      </c>
      <c r="C24" s="223"/>
      <c r="D24" s="223"/>
      <c r="E24" s="1787">
        <v>0</v>
      </c>
      <c r="F24" s="1787"/>
      <c r="G24" s="1787"/>
      <c r="H24" s="1787"/>
      <c r="I24" s="1787"/>
      <c r="J24" s="1787"/>
      <c r="K24" s="1787"/>
      <c r="L24" s="1159"/>
      <c r="M24" s="1159"/>
      <c r="N24" s="1159"/>
      <c r="O24" s="1340"/>
      <c r="P24" s="261"/>
      <c r="Q24" s="516"/>
      <c r="R24" s="261"/>
      <c r="S24" s="516"/>
      <c r="T24" s="261"/>
      <c r="U24" s="516"/>
      <c r="V24" s="261"/>
      <c r="W24" s="1159"/>
      <c r="X24" s="261"/>
      <c r="Y24" s="516"/>
      <c r="Z24" s="261"/>
      <c r="AA24" s="657"/>
      <c r="AB24" s="657"/>
      <c r="AC24" s="1190">
        <v>0</v>
      </c>
      <c r="AD24" s="318"/>
      <c r="AE24" s="1270"/>
      <c r="AF24" s="319">
        <f>ROUND(SUM(E24:AC24),1)</f>
        <v>0</v>
      </c>
      <c r="AG24" s="2092"/>
      <c r="AH24" s="262"/>
      <c r="AI24" s="319">
        <v>0</v>
      </c>
      <c r="AJ24" s="318"/>
      <c r="AK24" s="2132"/>
      <c r="AL24" s="319">
        <f>ROUND(AF24-AI24,1)</f>
        <v>0</v>
      </c>
      <c r="AM24" s="645"/>
      <c r="AN24" s="45">
        <f>ROUND(IF(AI24=0,0,AL24/ABS(AI24)),3)</f>
        <v>0</v>
      </c>
    </row>
    <row r="25" spans="1:41" ht="15.6">
      <c r="A25" s="223"/>
      <c r="B25" s="1256" t="s">
        <v>1267</v>
      </c>
      <c r="C25" s="223"/>
      <c r="D25" s="223"/>
      <c r="E25" s="1787">
        <v>0.8</v>
      </c>
      <c r="F25" s="1787"/>
      <c r="G25" s="1787"/>
      <c r="H25" s="1787"/>
      <c r="I25" s="1787"/>
      <c r="J25" s="1787"/>
      <c r="K25" s="1787"/>
      <c r="L25" s="1159"/>
      <c r="M25" s="1159"/>
      <c r="N25" s="1159"/>
      <c r="O25" s="1340"/>
      <c r="P25" s="261"/>
      <c r="Q25" s="516"/>
      <c r="R25" s="261"/>
      <c r="S25" s="516"/>
      <c r="T25" s="261"/>
      <c r="U25" s="516"/>
      <c r="V25" s="261"/>
      <c r="W25" s="1159"/>
      <c r="X25" s="261"/>
      <c r="Y25" s="516"/>
      <c r="Z25" s="261"/>
      <c r="AA25" s="516"/>
      <c r="AB25" s="657"/>
      <c r="AC25" s="1190">
        <v>0</v>
      </c>
      <c r="AD25" s="318"/>
      <c r="AE25" s="1270"/>
      <c r="AF25" s="319">
        <f>ROUND(SUM(E25:AC25),1)</f>
        <v>0.8</v>
      </c>
      <c r="AG25" s="2092"/>
      <c r="AH25" s="262"/>
      <c r="AI25" s="319">
        <v>0.1</v>
      </c>
      <c r="AJ25" s="318"/>
      <c r="AK25" s="2132"/>
      <c r="AL25" s="319">
        <f>ROUND(AF25-AI25,1)</f>
        <v>0.7</v>
      </c>
      <c r="AM25" s="645"/>
      <c r="AN25" s="2741">
        <f>ROUND(IF(AI25=0,1,AL25/ABS(AI25)),3)</f>
        <v>7</v>
      </c>
    </row>
    <row r="26" spans="1:41" ht="15.6">
      <c r="A26" s="223"/>
      <c r="B26" s="1256" t="s">
        <v>1270</v>
      </c>
      <c r="C26" s="221"/>
      <c r="D26" s="223"/>
      <c r="E26" s="1788">
        <v>48.2</v>
      </c>
      <c r="F26" s="1787"/>
      <c r="G26" s="1788"/>
      <c r="H26" s="1787"/>
      <c r="I26" s="1788"/>
      <c r="J26" s="1787"/>
      <c r="K26" s="1788"/>
      <c r="L26" s="1159"/>
      <c r="M26" s="1159"/>
      <c r="N26" s="1159"/>
      <c r="O26" s="1340"/>
      <c r="P26" s="261"/>
      <c r="Q26" s="516"/>
      <c r="R26" s="261"/>
      <c r="S26" s="516"/>
      <c r="T26" s="261"/>
      <c r="U26" s="516"/>
      <c r="V26" s="261"/>
      <c r="W26" s="516"/>
      <c r="X26" s="261"/>
      <c r="Y26" s="516"/>
      <c r="Z26" s="261"/>
      <c r="AA26" s="516"/>
      <c r="AB26" s="516"/>
      <c r="AC26" s="1190">
        <v>0</v>
      </c>
      <c r="AD26" s="318"/>
      <c r="AE26" s="1270"/>
      <c r="AF26" s="319">
        <f>ROUND(SUM(E26:AC26),1)</f>
        <v>48.2</v>
      </c>
      <c r="AG26" s="2088"/>
      <c r="AH26" s="262"/>
      <c r="AI26" s="2625">
        <v>50.8</v>
      </c>
      <c r="AJ26" s="318"/>
      <c r="AK26" s="2132"/>
      <c r="AL26" s="319">
        <f>ROUND(AF26-AI26,1)</f>
        <v>-2.6</v>
      </c>
      <c r="AM26" s="655"/>
      <c r="AN26" s="1801">
        <f>ROUND(IF(AI26=0,0,AL26/ABS(AI26)),3)</f>
        <v>-5.0999999999999997E-2</v>
      </c>
    </row>
    <row r="27" spans="1:41" ht="15.6">
      <c r="A27" s="223"/>
      <c r="B27" s="588" t="s">
        <v>1362</v>
      </c>
      <c r="C27" s="221"/>
      <c r="D27" s="223"/>
      <c r="E27" s="1269">
        <f>ROUND(SUM(E24:E26),1)</f>
        <v>49</v>
      </c>
      <c r="F27" s="1787"/>
      <c r="G27" s="1269">
        <f>ROUND(SUM(G24:G26),1)</f>
        <v>0</v>
      </c>
      <c r="H27" s="1787"/>
      <c r="I27" s="1269">
        <f>ROUND(SUM(I24:I26),1)</f>
        <v>0</v>
      </c>
      <c r="J27" s="1787"/>
      <c r="K27" s="1269">
        <f>ROUND(SUM(K24:K26),1)</f>
        <v>0</v>
      </c>
      <c r="L27" s="1159"/>
      <c r="M27" s="1269">
        <f>ROUND(SUM(M24:M26),1)</f>
        <v>0</v>
      </c>
      <c r="N27" s="1159"/>
      <c r="O27" s="1269">
        <f>ROUND(SUM(O24:O26),1)</f>
        <v>0</v>
      </c>
      <c r="P27" s="261"/>
      <c r="Q27" s="1269">
        <f>ROUND(SUM(Q24:Q26),1)</f>
        <v>0</v>
      </c>
      <c r="R27" s="261"/>
      <c r="S27" s="1269">
        <f>ROUND(SUM(S24:S26),1)</f>
        <v>0</v>
      </c>
      <c r="T27" s="261"/>
      <c r="U27" s="3009">
        <f>ROUND(SUM(U24:U26),1)</f>
        <v>0</v>
      </c>
      <c r="V27" s="261"/>
      <c r="W27" s="1269">
        <f>ROUND(SUM(W24:W26),1)</f>
        <v>0</v>
      </c>
      <c r="X27" s="261"/>
      <c r="Y27" s="1269">
        <f>ROUND(SUM(Y24:Y26),1)</f>
        <v>0</v>
      </c>
      <c r="Z27" s="261"/>
      <c r="AA27" s="1269">
        <f>ROUND(SUM(AA24:AA26),1)</f>
        <v>0</v>
      </c>
      <c r="AB27" s="315"/>
      <c r="AC27" s="1269">
        <f>ROUND(SUM(AC24:AC26),1)</f>
        <v>0</v>
      </c>
      <c r="AD27" s="318"/>
      <c r="AE27" s="1270"/>
      <c r="AF27" s="1269">
        <f>ROUND(SUM(AF24:AF26),1)</f>
        <v>49</v>
      </c>
      <c r="AG27" s="2092"/>
      <c r="AH27" s="262"/>
      <c r="AI27" s="3009">
        <f>ROUND(SUM(AI24:AI26),1)</f>
        <v>50.9</v>
      </c>
      <c r="AJ27" s="318"/>
      <c r="AK27" s="2132"/>
      <c r="AL27" s="1269">
        <f>ROUND(SUM(AL24:AL26),1)</f>
        <v>-1.9</v>
      </c>
      <c r="AM27" s="655"/>
      <c r="AN27" s="1913">
        <f>ROUND(IF(AI27=0,0,AL27/ABS(AI27)),3)</f>
        <v>-3.6999999999999998E-2</v>
      </c>
    </row>
    <row r="28" spans="1:41" ht="15.6">
      <c r="A28" s="223"/>
      <c r="B28" s="2027" t="s">
        <v>1245</v>
      </c>
      <c r="C28" s="223"/>
      <c r="D28" s="223"/>
      <c r="E28" s="2198"/>
      <c r="F28" s="1787"/>
      <c r="G28" s="2198"/>
      <c r="H28" s="1787"/>
      <c r="I28" s="1788"/>
      <c r="J28" s="1787"/>
      <c r="K28" s="1788"/>
      <c r="L28" s="1159"/>
      <c r="M28" s="1159"/>
      <c r="N28" s="1159"/>
      <c r="O28" s="1340"/>
      <c r="P28" s="261"/>
      <c r="Q28" s="516"/>
      <c r="R28" s="261"/>
      <c r="S28" s="516"/>
      <c r="T28" s="261"/>
      <c r="U28" s="516"/>
      <c r="V28" s="261"/>
      <c r="W28" s="516"/>
      <c r="X28" s="261"/>
      <c r="Y28" s="516"/>
      <c r="Z28" s="261"/>
      <c r="AA28" s="516"/>
      <c r="AB28" s="516"/>
      <c r="AC28" s="516"/>
      <c r="AD28" s="318"/>
      <c r="AE28" s="1270"/>
      <c r="AF28" s="319"/>
      <c r="AG28" s="2133"/>
      <c r="AH28" s="263"/>
      <c r="AI28" s="318"/>
      <c r="AJ28" s="319"/>
      <c r="AK28" s="2089"/>
      <c r="AL28" s="319"/>
      <c r="AM28" s="652"/>
      <c r="AN28" s="45"/>
      <c r="AO28" s="645"/>
    </row>
    <row r="29" spans="1:41" ht="15.6">
      <c r="A29" s="223"/>
      <c r="B29" s="1256" t="s">
        <v>1276</v>
      </c>
      <c r="C29" s="223"/>
      <c r="D29" s="223"/>
      <c r="E29" s="2198">
        <v>0</v>
      </c>
      <c r="F29" s="1787"/>
      <c r="G29" s="2198"/>
      <c r="H29" s="1787"/>
      <c r="I29" s="1788"/>
      <c r="J29" s="1787"/>
      <c r="K29" s="1788"/>
      <c r="L29" s="1159"/>
      <c r="M29" s="1159"/>
      <c r="N29" s="1159"/>
      <c r="O29" s="1340"/>
      <c r="P29" s="261"/>
      <c r="Q29" s="516"/>
      <c r="R29" s="261"/>
      <c r="S29" s="516"/>
      <c r="T29" s="261"/>
      <c r="U29" s="516"/>
      <c r="V29" s="261"/>
      <c r="W29" s="516"/>
      <c r="X29" s="261"/>
      <c r="Y29" s="516"/>
      <c r="Z29" s="261"/>
      <c r="AA29" s="516"/>
      <c r="AB29" s="516"/>
      <c r="AC29" s="1190">
        <v>0</v>
      </c>
      <c r="AD29" s="318"/>
      <c r="AE29" s="1270"/>
      <c r="AF29" s="319">
        <f>ROUND(SUM(E29:AC29),1)</f>
        <v>0</v>
      </c>
      <c r="AG29" s="2137"/>
      <c r="AH29" s="263"/>
      <c r="AI29" s="318">
        <v>0</v>
      </c>
      <c r="AJ29" s="319"/>
      <c r="AK29" s="2089"/>
      <c r="AL29" s="319">
        <f>ROUND(AF29-AI29,1)</f>
        <v>0</v>
      </c>
      <c r="AM29" s="652"/>
      <c r="AN29" s="1801">
        <f>ROUND(IF(AI29=0,0,AL29/ABS(AI29)),3)</f>
        <v>0</v>
      </c>
      <c r="AO29" s="645"/>
    </row>
    <row r="30" spans="1:41" ht="15.6">
      <c r="A30" s="588" t="s">
        <v>1367</v>
      </c>
      <c r="B30" s="221"/>
      <c r="C30" s="223"/>
      <c r="D30" s="223"/>
      <c r="E30" s="1269">
        <f>ROUND(SUM(E29:E29),1)</f>
        <v>0</v>
      </c>
      <c r="F30" s="1787"/>
      <c r="G30" s="1269">
        <f>ROUND(SUM(G29:G29),1)</f>
        <v>0</v>
      </c>
      <c r="H30" s="1787"/>
      <c r="I30" s="1269">
        <f>ROUND(SUM(I29:I29),1)</f>
        <v>0</v>
      </c>
      <c r="J30" s="1787"/>
      <c r="K30" s="1269">
        <f>ROUND(SUM(K29:K29),1)</f>
        <v>0</v>
      </c>
      <c r="L30" s="1159"/>
      <c r="M30" s="1269">
        <f>ROUND(SUM(M29:M29),1)</f>
        <v>0</v>
      </c>
      <c r="N30" s="1159"/>
      <c r="O30" s="1269">
        <f>ROUND(SUM(O29:O29),1)</f>
        <v>0</v>
      </c>
      <c r="P30" s="261"/>
      <c r="Q30" s="1269">
        <f>ROUND(SUM(Q29:Q29),1)</f>
        <v>0</v>
      </c>
      <c r="R30" s="261"/>
      <c r="S30" s="1269">
        <f>ROUND(SUM(S29:S29),1)</f>
        <v>0</v>
      </c>
      <c r="T30" s="261"/>
      <c r="U30" s="3009">
        <f>ROUND(SUM(U29:U29),1)</f>
        <v>0</v>
      </c>
      <c r="V30" s="261"/>
      <c r="W30" s="1269">
        <f>ROUND(SUM(W29:W29),1)</f>
        <v>0</v>
      </c>
      <c r="X30" s="261"/>
      <c r="Y30" s="1269">
        <f>ROUND(SUM(Y29:Y29),1)</f>
        <v>0</v>
      </c>
      <c r="Z30" s="261"/>
      <c r="AA30" s="1269">
        <f>ROUND(SUM(AA29:AA29),1)</f>
        <v>0</v>
      </c>
      <c r="AB30" s="315"/>
      <c r="AC30" s="1269">
        <f>ROUND(SUM(AC29:AC29),1)</f>
        <v>0</v>
      </c>
      <c r="AD30" s="318"/>
      <c r="AE30" s="1270"/>
      <c r="AF30" s="1269">
        <f>ROUND(SUM(AF29:AF29),1)</f>
        <v>0</v>
      </c>
      <c r="AG30" s="2137"/>
      <c r="AH30" s="263"/>
      <c r="AI30" s="3009">
        <f>ROUND(SUM(AI29:AI29),1)</f>
        <v>0</v>
      </c>
      <c r="AJ30" s="319"/>
      <c r="AK30" s="2089"/>
      <c r="AL30" s="1269">
        <f>ROUND(SUM(AL29:AL29),1)</f>
        <v>0</v>
      </c>
      <c r="AM30" s="652"/>
      <c r="AN30" s="72">
        <f>ROUND(IF(AI30=0,0,AL30/ABS(AI30)),3)</f>
        <v>0</v>
      </c>
      <c r="AO30" s="645"/>
    </row>
    <row r="31" spans="1:41" ht="15.6">
      <c r="A31" s="223"/>
      <c r="B31" s="221"/>
      <c r="C31" s="223"/>
      <c r="D31" s="223"/>
      <c r="E31" s="2198"/>
      <c r="F31" s="1787"/>
      <c r="G31" s="2198"/>
      <c r="H31" s="1787"/>
      <c r="I31" s="1788"/>
      <c r="J31" s="1787"/>
      <c r="K31" s="1788"/>
      <c r="L31" s="1159"/>
      <c r="M31" s="1159"/>
      <c r="N31" s="1159"/>
      <c r="O31" s="1340"/>
      <c r="P31" s="261"/>
      <c r="Q31" s="516"/>
      <c r="R31" s="261"/>
      <c r="S31" s="516"/>
      <c r="T31" s="261"/>
      <c r="U31" s="516"/>
      <c r="V31" s="261"/>
      <c r="W31" s="516"/>
      <c r="X31" s="261"/>
      <c r="Y31" s="516"/>
      <c r="Z31" s="261"/>
      <c r="AA31" s="516"/>
      <c r="AB31" s="516"/>
      <c r="AC31" s="516"/>
      <c r="AD31" s="318"/>
      <c r="AE31" s="1270"/>
      <c r="AF31" s="319"/>
      <c r="AG31" s="2137"/>
      <c r="AH31" s="263"/>
      <c r="AI31" s="318"/>
      <c r="AJ31" s="319"/>
      <c r="AK31" s="2089"/>
      <c r="AL31" s="319"/>
      <c r="AM31" s="652"/>
      <c r="AN31" s="2192"/>
      <c r="AO31" s="645"/>
    </row>
    <row r="32" spans="1:41" s="650" customFormat="1" ht="15.6">
      <c r="A32" s="221"/>
      <c r="B32" s="588" t="s">
        <v>1241</v>
      </c>
      <c r="C32" s="221"/>
      <c r="D32" s="221"/>
      <c r="E32" s="2031">
        <f>ROUND(SUM(+E27+E22+E30),1)</f>
        <v>92.7</v>
      </c>
      <c r="F32" s="312"/>
      <c r="G32" s="2031">
        <f>ROUND(SUM(+G27+G22+G30),1)</f>
        <v>0</v>
      </c>
      <c r="H32" s="312"/>
      <c r="I32" s="2031">
        <f>ROUND(SUM(+I27+I22+I30),1)</f>
        <v>0</v>
      </c>
      <c r="J32" s="312"/>
      <c r="K32" s="2031">
        <f>ROUND(SUM(+K27+K22+K30),1)</f>
        <v>0</v>
      </c>
      <c r="L32" s="1838"/>
      <c r="M32" s="2031">
        <f>ROUND(SUM(+M27+M22+M30),1)</f>
        <v>0</v>
      </c>
      <c r="N32" s="1838"/>
      <c r="O32" s="2031">
        <f>ROUND(SUM(+O27+O22+O30),1)</f>
        <v>0</v>
      </c>
      <c r="P32" s="1838"/>
      <c r="Q32" s="2031">
        <f>ROUND(SUM(+Q27+Q22+Q30),1)</f>
        <v>0</v>
      </c>
      <c r="R32" s="1838"/>
      <c r="S32" s="2031">
        <f>ROUND(SUM(+S27+S22+S30),1)</f>
        <v>0</v>
      </c>
      <c r="T32" s="1838"/>
      <c r="U32" s="2031">
        <f>ROUND(SUM(+U27+U22+U30),1)</f>
        <v>0</v>
      </c>
      <c r="V32" s="1838"/>
      <c r="W32" s="2031">
        <f>ROUND(SUM(+W27+W22+W30),1)</f>
        <v>0</v>
      </c>
      <c r="X32" s="1838"/>
      <c r="Y32" s="2031">
        <f>ROUND(SUM(+Y27+Y22+Y30),1)</f>
        <v>0</v>
      </c>
      <c r="Z32" s="1838"/>
      <c r="AA32" s="2031">
        <f>ROUND(SUM(+AA27+AA22+AA30),1)</f>
        <v>0</v>
      </c>
      <c r="AB32" s="2034"/>
      <c r="AC32" s="2031">
        <f>ROUND(SUM(+AC27+AC22+AC30),1)</f>
        <v>0</v>
      </c>
      <c r="AD32" s="312"/>
      <c r="AE32" s="1271"/>
      <c r="AF32" s="2031">
        <f>ROUND(SUM(+AF27+AF22+AF30),1)</f>
        <v>92.7</v>
      </c>
      <c r="AG32" s="2134"/>
      <c r="AH32" s="2135"/>
      <c r="AI32" s="2031">
        <f>ROUND(SUM(+AI27+AI22+AI30),1)</f>
        <v>99.9</v>
      </c>
      <c r="AJ32" s="2136"/>
      <c r="AK32" s="2089"/>
      <c r="AL32" s="2031">
        <f>ROUND(SUM(+AL27+AL22+AL30),1)</f>
        <v>-7.2</v>
      </c>
      <c r="AM32" s="1480"/>
      <c r="AN32" s="1913">
        <f>ROUND(IF(AI32=0,1,AL32/ABS(AI32)),3)</f>
        <v>-7.1999999999999995E-2</v>
      </c>
      <c r="AO32" s="663"/>
    </row>
    <row r="33" spans="1:41" ht="15.6">
      <c r="A33" s="223"/>
      <c r="B33" s="1343"/>
      <c r="C33" s="223"/>
      <c r="D33" s="223"/>
      <c r="E33" s="2198"/>
      <c r="F33" s="1787"/>
      <c r="G33" s="2198"/>
      <c r="H33" s="1787"/>
      <c r="I33" s="1788"/>
      <c r="J33" s="1787"/>
      <c r="K33" s="1788"/>
      <c r="L33" s="1159"/>
      <c r="M33" s="1159"/>
      <c r="N33" s="1159"/>
      <c r="O33" s="1340"/>
      <c r="P33" s="261"/>
      <c r="Q33" s="516"/>
      <c r="R33" s="261"/>
      <c r="S33" s="516"/>
      <c r="T33" s="261"/>
      <c r="U33" s="516"/>
      <c r="V33" s="261"/>
      <c r="W33" s="516"/>
      <c r="X33" s="261"/>
      <c r="Y33" s="516"/>
      <c r="Z33" s="261"/>
      <c r="AA33" s="516"/>
      <c r="AB33" s="516"/>
      <c r="AC33" s="516"/>
      <c r="AD33" s="318"/>
      <c r="AE33" s="1270"/>
      <c r="AF33" s="319"/>
      <c r="AG33" s="2137"/>
      <c r="AH33" s="263"/>
      <c r="AI33" s="318"/>
      <c r="AJ33" s="319"/>
      <c r="AK33" s="2089"/>
      <c r="AL33" s="319"/>
      <c r="AM33" s="652"/>
      <c r="AN33" s="45"/>
      <c r="AO33" s="645"/>
    </row>
    <row r="34" spans="1:41" ht="15.6">
      <c r="A34" s="223"/>
      <c r="B34" s="489" t="s">
        <v>1173</v>
      </c>
      <c r="C34" s="223"/>
      <c r="D34" s="223"/>
      <c r="E34" s="1788"/>
      <c r="F34" s="1787"/>
      <c r="G34" s="1788"/>
      <c r="H34" s="1787"/>
      <c r="I34" s="1788"/>
      <c r="J34" s="1787"/>
      <c r="K34" s="1788"/>
      <c r="L34" s="1159"/>
      <c r="M34" s="1159"/>
      <c r="N34" s="1159"/>
      <c r="O34" s="1340"/>
      <c r="P34" s="261"/>
      <c r="Q34" s="516"/>
      <c r="R34" s="261"/>
      <c r="S34" s="516"/>
      <c r="T34" s="261"/>
      <c r="U34" s="516"/>
      <c r="V34" s="261"/>
      <c r="W34" s="516"/>
      <c r="X34" s="261"/>
      <c r="Y34" s="516"/>
      <c r="Z34" s="261"/>
      <c r="AA34" s="516"/>
      <c r="AB34" s="516"/>
      <c r="AC34" s="516"/>
      <c r="AD34" s="318"/>
      <c r="AE34" s="1270"/>
      <c r="AF34" s="319"/>
      <c r="AG34" s="2088"/>
      <c r="AH34" s="262"/>
      <c r="AI34" s="318"/>
      <c r="AJ34" s="319"/>
      <c r="AK34" s="2089"/>
      <c r="AL34" s="319"/>
      <c r="AM34" s="2090"/>
      <c r="AN34" s="2091"/>
    </row>
    <row r="35" spans="1:41" ht="15.6">
      <c r="A35" s="223"/>
      <c r="B35" s="1784" t="s">
        <v>1301</v>
      </c>
      <c r="C35" s="1343"/>
      <c r="D35" s="223"/>
      <c r="E35" s="1788"/>
      <c r="F35" s="1787"/>
      <c r="G35" s="1788"/>
      <c r="H35" s="1787"/>
      <c r="I35" s="1788"/>
      <c r="J35" s="1787"/>
      <c r="K35" s="1788"/>
      <c r="L35" s="1159"/>
      <c r="M35" s="1159"/>
      <c r="N35" s="1159"/>
      <c r="O35" s="1340"/>
      <c r="P35" s="261"/>
      <c r="Q35" s="516"/>
      <c r="R35" s="261"/>
      <c r="S35" s="516"/>
      <c r="T35" s="261"/>
      <c r="U35" s="516"/>
      <c r="V35" s="261"/>
      <c r="W35" s="516"/>
      <c r="X35" s="261"/>
      <c r="Y35" s="516"/>
      <c r="Z35" s="261"/>
      <c r="AA35" s="516"/>
      <c r="AB35" s="516"/>
      <c r="AC35" s="516"/>
      <c r="AD35" s="318"/>
      <c r="AE35" s="1270"/>
      <c r="AF35" s="319"/>
      <c r="AG35" s="2092"/>
      <c r="AH35" s="262"/>
      <c r="AI35" s="318"/>
      <c r="AJ35" s="319"/>
      <c r="AK35" s="2089"/>
      <c r="AL35" s="319"/>
      <c r="AM35" s="655"/>
      <c r="AN35" s="653"/>
    </row>
    <row r="36" spans="1:41" ht="15.6">
      <c r="A36" s="223"/>
      <c r="B36" s="1784" t="s">
        <v>1207</v>
      </c>
      <c r="C36" s="1343"/>
      <c r="D36" s="223"/>
      <c r="E36" s="1788">
        <v>0</v>
      </c>
      <c r="F36" s="1787"/>
      <c r="G36" s="1788"/>
      <c r="H36" s="1787"/>
      <c r="I36" s="1788"/>
      <c r="J36" s="1787"/>
      <c r="K36" s="1788"/>
      <c r="L36" s="1159"/>
      <c r="M36" s="1159"/>
      <c r="N36" s="1159"/>
      <c r="O36" s="1340"/>
      <c r="P36" s="261"/>
      <c r="Q36" s="516"/>
      <c r="R36" s="261"/>
      <c r="S36" s="516"/>
      <c r="T36" s="261"/>
      <c r="U36" s="516"/>
      <c r="V36" s="261"/>
      <c r="W36" s="516"/>
      <c r="X36" s="261"/>
      <c r="Y36" s="516"/>
      <c r="Z36" s="261"/>
      <c r="AA36" s="516"/>
      <c r="AB36" s="516"/>
      <c r="AC36" s="1190">
        <v>0</v>
      </c>
      <c r="AD36" s="318"/>
      <c r="AE36" s="1270"/>
      <c r="AF36" s="319">
        <f>ROUND(SUM(E36:AC36),1)</f>
        <v>0</v>
      </c>
      <c r="AG36" s="2092"/>
      <c r="AH36" s="262"/>
      <c r="AI36" s="2086">
        <v>0</v>
      </c>
      <c r="AJ36" s="319"/>
      <c r="AK36" s="2089"/>
      <c r="AL36" s="319">
        <f t="shared" ref="AL36:AL59" si="0">ROUND(AF36-AI36,1)</f>
        <v>0</v>
      </c>
      <c r="AM36" s="655"/>
      <c r="AN36" s="2726">
        <f>ROUND(IF(AI36=0,0,AL36/ABS(AI36)),3)</f>
        <v>0</v>
      </c>
    </row>
    <row r="37" spans="1:41" ht="15.6">
      <c r="A37" s="223"/>
      <c r="B37" s="1784" t="s">
        <v>1302</v>
      </c>
      <c r="C37" s="1343"/>
      <c r="D37" s="223"/>
      <c r="E37" s="1788"/>
      <c r="F37" s="1787"/>
      <c r="G37" s="1788"/>
      <c r="H37" s="1787"/>
      <c r="I37" s="1788"/>
      <c r="J37" s="1787"/>
      <c r="K37" s="1788"/>
      <c r="L37" s="1159"/>
      <c r="M37" s="1159"/>
      <c r="N37" s="1159"/>
      <c r="O37" s="1340"/>
      <c r="P37" s="261"/>
      <c r="Q37" s="516"/>
      <c r="R37" s="261"/>
      <c r="S37" s="516"/>
      <c r="T37" s="261"/>
      <c r="U37" s="516"/>
      <c r="V37" s="261"/>
      <c r="W37" s="516"/>
      <c r="X37" s="261"/>
      <c r="Y37" s="516"/>
      <c r="Z37" s="261"/>
      <c r="AA37" s="516"/>
      <c r="AB37" s="516"/>
      <c r="AC37" s="516"/>
      <c r="AD37" s="318"/>
      <c r="AE37" s="1270"/>
      <c r="AF37" s="2087"/>
      <c r="AG37" s="2092"/>
      <c r="AH37" s="262"/>
      <c r="AI37" s="2086"/>
      <c r="AJ37" s="319"/>
      <c r="AK37" s="2089"/>
      <c r="AL37" s="319"/>
      <c r="AM37" s="655"/>
      <c r="AN37" s="2776"/>
    </row>
    <row r="38" spans="1:41" ht="15.6">
      <c r="A38" s="223"/>
      <c r="B38" s="1784" t="s">
        <v>1208</v>
      </c>
      <c r="C38" s="1343"/>
      <c r="D38" s="223"/>
      <c r="E38" s="1788">
        <v>9.4</v>
      </c>
      <c r="F38" s="1787"/>
      <c r="G38" s="1788"/>
      <c r="H38" s="1787"/>
      <c r="I38" s="1788"/>
      <c r="J38" s="1787"/>
      <c r="K38" s="1788"/>
      <c r="L38" s="1159"/>
      <c r="M38" s="1159"/>
      <c r="N38" s="1159"/>
      <c r="O38" s="1340"/>
      <c r="P38" s="261"/>
      <c r="Q38" s="516"/>
      <c r="R38" s="261"/>
      <c r="S38" s="516"/>
      <c r="T38" s="261"/>
      <c r="U38" s="516"/>
      <c r="V38" s="261"/>
      <c r="W38" s="516"/>
      <c r="X38" s="261"/>
      <c r="Y38" s="516"/>
      <c r="Z38" s="261"/>
      <c r="AA38" s="516"/>
      <c r="AB38" s="516"/>
      <c r="AC38" s="1190">
        <v>0</v>
      </c>
      <c r="AD38" s="318"/>
      <c r="AE38" s="1270"/>
      <c r="AF38" s="319">
        <f>ROUND(SUM(E38:AC38),1)</f>
        <v>9.4</v>
      </c>
      <c r="AG38" s="2092"/>
      <c r="AH38" s="262"/>
      <c r="AI38" s="2086">
        <v>9.1</v>
      </c>
      <c r="AJ38" s="319"/>
      <c r="AK38" s="2089"/>
      <c r="AL38" s="319">
        <f t="shared" si="0"/>
        <v>0.3</v>
      </c>
      <c r="AM38" s="655"/>
      <c r="AN38" s="2726">
        <f>ROUND(IF(AI38=0,0,AL38/ABS(AI38)),3)</f>
        <v>3.3000000000000002E-2</v>
      </c>
    </row>
    <row r="39" spans="1:41" ht="15.6">
      <c r="A39" s="223"/>
      <c r="B39" s="1784" t="s">
        <v>1307</v>
      </c>
      <c r="C39" s="1343"/>
      <c r="D39" s="223"/>
      <c r="E39" s="2086"/>
      <c r="F39" s="318"/>
      <c r="G39" s="2086"/>
      <c r="H39" s="318"/>
      <c r="I39" s="2086"/>
      <c r="J39" s="318"/>
      <c r="K39" s="2086"/>
      <c r="L39" s="261"/>
      <c r="M39" s="261"/>
      <c r="N39" s="261"/>
      <c r="O39" s="516"/>
      <c r="P39" s="261"/>
      <c r="Q39" s="516"/>
      <c r="R39" s="261"/>
      <c r="S39" s="516"/>
      <c r="T39" s="261"/>
      <c r="U39" s="516"/>
      <c r="V39" s="261"/>
      <c r="W39" s="516"/>
      <c r="X39" s="261"/>
      <c r="Y39" s="516"/>
      <c r="Z39" s="261"/>
      <c r="AA39" s="516"/>
      <c r="AB39" s="516"/>
      <c r="AC39" s="516"/>
      <c r="AD39" s="318"/>
      <c r="AE39" s="1270"/>
      <c r="AF39" s="319"/>
      <c r="AG39" s="2092"/>
      <c r="AH39" s="262"/>
      <c r="AI39" s="2086"/>
      <c r="AJ39" s="319"/>
      <c r="AK39" s="2089"/>
      <c r="AL39" s="319"/>
      <c r="AM39" s="655"/>
      <c r="AN39" s="2776"/>
    </row>
    <row r="40" spans="1:41" ht="15.6">
      <c r="A40" s="223"/>
      <c r="B40" s="1784" t="s">
        <v>1212</v>
      </c>
      <c r="C40" s="1343"/>
      <c r="D40" s="223"/>
      <c r="E40" s="2086">
        <v>2.6</v>
      </c>
      <c r="F40" s="318"/>
      <c r="G40" s="2086"/>
      <c r="H40" s="318"/>
      <c r="I40" s="2086"/>
      <c r="J40" s="318"/>
      <c r="K40" s="2086"/>
      <c r="L40" s="261"/>
      <c r="M40" s="261"/>
      <c r="N40" s="261"/>
      <c r="O40" s="516"/>
      <c r="P40" s="261"/>
      <c r="Q40" s="516"/>
      <c r="R40" s="261"/>
      <c r="S40" s="516"/>
      <c r="T40" s="261"/>
      <c r="U40" s="516"/>
      <c r="V40" s="261"/>
      <c r="W40" s="516"/>
      <c r="X40" s="261"/>
      <c r="Y40" s="516"/>
      <c r="Z40" s="261"/>
      <c r="AA40" s="516"/>
      <c r="AB40" s="516"/>
      <c r="AC40" s="1190">
        <v>0</v>
      </c>
      <c r="AD40" s="318"/>
      <c r="AE40" s="1270"/>
      <c r="AF40" s="319">
        <f t="shared" ref="AF40:AF45" si="1">ROUND(SUM(E40:AC40),1)</f>
        <v>2.6</v>
      </c>
      <c r="AG40" s="2092"/>
      <c r="AH40" s="262"/>
      <c r="AI40" s="2086">
        <v>1.7</v>
      </c>
      <c r="AJ40" s="319"/>
      <c r="AK40" s="2089"/>
      <c r="AL40" s="319">
        <f t="shared" si="0"/>
        <v>0.9</v>
      </c>
      <c r="AM40" s="655"/>
      <c r="AN40" s="2726">
        <f>ROUND(IF(AI40=0,0,AL40/ABS(AI40)),3)</f>
        <v>0.52900000000000003</v>
      </c>
    </row>
    <row r="41" spans="1:41" ht="15.6">
      <c r="A41" s="223"/>
      <c r="B41" s="1784" t="s">
        <v>1383</v>
      </c>
      <c r="C41" s="1343"/>
      <c r="D41" s="223"/>
      <c r="E41" s="2086">
        <v>0</v>
      </c>
      <c r="F41" s="318"/>
      <c r="G41" s="2086"/>
      <c r="H41" s="318"/>
      <c r="I41" s="2086"/>
      <c r="J41" s="318"/>
      <c r="K41" s="2086"/>
      <c r="L41" s="261"/>
      <c r="M41" s="261"/>
      <c r="N41" s="261"/>
      <c r="O41" s="516"/>
      <c r="P41" s="261"/>
      <c r="Q41" s="516"/>
      <c r="R41" s="261"/>
      <c r="S41" s="516"/>
      <c r="T41" s="261"/>
      <c r="U41" s="516"/>
      <c r="V41" s="261"/>
      <c r="W41" s="516"/>
      <c r="X41" s="261"/>
      <c r="Y41" s="516"/>
      <c r="Z41" s="261"/>
      <c r="AA41" s="516"/>
      <c r="AB41" s="516"/>
      <c r="AC41" s="1190">
        <v>0</v>
      </c>
      <c r="AD41" s="318"/>
      <c r="AE41" s="1270"/>
      <c r="AF41" s="319">
        <f t="shared" si="1"/>
        <v>0</v>
      </c>
      <c r="AG41" s="2801"/>
      <c r="AH41" s="262"/>
      <c r="AI41" s="2086">
        <v>0</v>
      </c>
      <c r="AJ41" s="319"/>
      <c r="AK41" s="2089"/>
      <c r="AL41" s="319">
        <f>ROUND(AF41-AI41,1)</f>
        <v>0</v>
      </c>
      <c r="AM41" s="655"/>
      <c r="AN41" s="2741">
        <f>ROUND(IF(AI41=0,0,AL41/ABS(AI41)),3)</f>
        <v>0</v>
      </c>
    </row>
    <row r="42" spans="1:41" ht="15.6">
      <c r="A42" s="223"/>
      <c r="B42" s="1784" t="s">
        <v>1215</v>
      </c>
      <c r="C42" s="1343"/>
      <c r="D42" s="223"/>
      <c r="E42" s="2086">
        <v>66.099999999999994</v>
      </c>
      <c r="F42" s="318"/>
      <c r="G42" s="2086"/>
      <c r="H42" s="318"/>
      <c r="I42" s="2086"/>
      <c r="J42" s="318"/>
      <c r="K42" s="2086"/>
      <c r="L42" s="261"/>
      <c r="M42" s="261"/>
      <c r="N42" s="261"/>
      <c r="O42" s="516"/>
      <c r="P42" s="261"/>
      <c r="Q42" s="516"/>
      <c r="R42" s="261"/>
      <c r="S42" s="516"/>
      <c r="T42" s="261"/>
      <c r="U42" s="516"/>
      <c r="V42" s="261"/>
      <c r="W42" s="516"/>
      <c r="X42" s="261"/>
      <c r="Y42" s="516"/>
      <c r="Z42" s="261"/>
      <c r="AA42" s="516"/>
      <c r="AB42" s="516"/>
      <c r="AC42" s="1190">
        <v>0</v>
      </c>
      <c r="AD42" s="318"/>
      <c r="AE42" s="1270"/>
      <c r="AF42" s="319">
        <f t="shared" si="1"/>
        <v>66.099999999999994</v>
      </c>
      <c r="AG42" s="2092"/>
      <c r="AH42" s="262"/>
      <c r="AI42" s="2086">
        <v>58.6</v>
      </c>
      <c r="AJ42" s="319"/>
      <c r="AK42" s="2089"/>
      <c r="AL42" s="319">
        <f t="shared" si="0"/>
        <v>7.5</v>
      </c>
      <c r="AM42" s="655"/>
      <c r="AN42" s="2726">
        <f>ROUND(IF(AI42=0,0,AL42/ABS(AI42)),3)</f>
        <v>0.128</v>
      </c>
    </row>
    <row r="43" spans="1:41" ht="15.6">
      <c r="A43" s="223"/>
      <c r="B43" s="1784" t="s">
        <v>1216</v>
      </c>
      <c r="C43" s="1343"/>
      <c r="D43" s="223"/>
      <c r="E43" s="2086">
        <v>0.1</v>
      </c>
      <c r="F43" s="318"/>
      <c r="G43" s="2086"/>
      <c r="H43" s="318"/>
      <c r="I43" s="2086"/>
      <c r="J43" s="318"/>
      <c r="K43" s="2086"/>
      <c r="L43" s="261"/>
      <c r="M43" s="261"/>
      <c r="N43" s="261"/>
      <c r="O43" s="516"/>
      <c r="P43" s="261"/>
      <c r="Q43" s="516"/>
      <c r="R43" s="261"/>
      <c r="S43" s="516"/>
      <c r="T43" s="261"/>
      <c r="U43" s="516"/>
      <c r="V43" s="261"/>
      <c r="W43" s="516"/>
      <c r="X43" s="261"/>
      <c r="Y43" s="516"/>
      <c r="Z43" s="261"/>
      <c r="AA43" s="516"/>
      <c r="AB43" s="516"/>
      <c r="AC43" s="1190">
        <v>0</v>
      </c>
      <c r="AD43" s="318"/>
      <c r="AE43" s="1270"/>
      <c r="AF43" s="319">
        <f t="shared" si="1"/>
        <v>0.1</v>
      </c>
      <c r="AG43" s="2092"/>
      <c r="AH43" s="262"/>
      <c r="AI43" s="2086">
        <v>0</v>
      </c>
      <c r="AJ43" s="319"/>
      <c r="AK43" s="2089"/>
      <c r="AL43" s="319">
        <f t="shared" si="0"/>
        <v>0.1</v>
      </c>
      <c r="AM43" s="655"/>
      <c r="AN43" s="2741">
        <f>ROUND(IF(AI43=0,1,AL43/ABS(AI43)),3)</f>
        <v>1</v>
      </c>
    </row>
    <row r="44" spans="1:41" ht="15.6">
      <c r="A44" s="223"/>
      <c r="B44" s="1784" t="s">
        <v>1174</v>
      </c>
      <c r="C44" s="1343"/>
      <c r="D44" s="223"/>
      <c r="E44" s="2086">
        <v>2.2999999999999998</v>
      </c>
      <c r="F44" s="318"/>
      <c r="G44" s="2086"/>
      <c r="H44" s="318"/>
      <c r="I44" s="2086"/>
      <c r="J44" s="318"/>
      <c r="K44" s="2086"/>
      <c r="L44" s="261"/>
      <c r="M44" s="261"/>
      <c r="N44" s="261"/>
      <c r="O44" s="516"/>
      <c r="P44" s="261"/>
      <c r="Q44" s="516"/>
      <c r="R44" s="261"/>
      <c r="S44" s="516"/>
      <c r="T44" s="261"/>
      <c r="U44" s="516"/>
      <c r="V44" s="261"/>
      <c r="W44" s="516"/>
      <c r="X44" s="261"/>
      <c r="Y44" s="516"/>
      <c r="Z44" s="261"/>
      <c r="AA44" s="516"/>
      <c r="AB44" s="516"/>
      <c r="AC44" s="1190">
        <v>0</v>
      </c>
      <c r="AD44" s="318"/>
      <c r="AE44" s="1270"/>
      <c r="AF44" s="319">
        <f t="shared" si="1"/>
        <v>2.2999999999999998</v>
      </c>
      <c r="AG44" s="2092"/>
      <c r="AH44" s="262"/>
      <c r="AI44" s="2086">
        <v>0.1</v>
      </c>
      <c r="AJ44" s="319"/>
      <c r="AK44" s="2089"/>
      <c r="AL44" s="319">
        <f t="shared" si="0"/>
        <v>2.2000000000000002</v>
      </c>
      <c r="AM44" s="655"/>
      <c r="AN44" s="2799">
        <f>ROUND(IF(AI44=0,1,AL44/ABS(AI44)),3)</f>
        <v>22</v>
      </c>
    </row>
    <row r="45" spans="1:41" ht="15.6">
      <c r="A45" s="223"/>
      <c r="B45" s="1784" t="s">
        <v>1175</v>
      </c>
      <c r="C45" s="1343"/>
      <c r="D45" s="223"/>
      <c r="E45" s="2086">
        <v>0.2</v>
      </c>
      <c r="F45" s="318"/>
      <c r="G45" s="2086"/>
      <c r="H45" s="318"/>
      <c r="I45" s="2086"/>
      <c r="J45" s="318"/>
      <c r="K45" s="2086"/>
      <c r="L45" s="261"/>
      <c r="M45" s="261"/>
      <c r="N45" s="261"/>
      <c r="O45" s="516"/>
      <c r="P45" s="261"/>
      <c r="Q45" s="516"/>
      <c r="R45" s="261"/>
      <c r="S45" s="516"/>
      <c r="T45" s="261"/>
      <c r="U45" s="516"/>
      <c r="V45" s="261"/>
      <c r="W45" s="516"/>
      <c r="X45" s="261"/>
      <c r="Y45" s="516"/>
      <c r="Z45" s="261"/>
      <c r="AA45" s="516"/>
      <c r="AB45" s="516"/>
      <c r="AC45" s="1190">
        <v>0</v>
      </c>
      <c r="AD45" s="318"/>
      <c r="AE45" s="1270"/>
      <c r="AF45" s="319">
        <f t="shared" si="1"/>
        <v>0.2</v>
      </c>
      <c r="AG45" s="2092"/>
      <c r="AH45" s="262"/>
      <c r="AI45" s="2086">
        <v>0.1</v>
      </c>
      <c r="AJ45" s="319"/>
      <c r="AK45" s="2089"/>
      <c r="AL45" s="319">
        <f t="shared" si="0"/>
        <v>0.1</v>
      </c>
      <c r="AM45" s="655"/>
      <c r="AN45" s="2741">
        <f>ROUND(IF(AI45=0,1,AL45/ABS(AI45)),3)</f>
        <v>1</v>
      </c>
    </row>
    <row r="46" spans="1:41" ht="15.6">
      <c r="A46" s="223"/>
      <c r="B46" s="1784" t="s">
        <v>1305</v>
      </c>
      <c r="C46" s="1343"/>
      <c r="D46" s="223"/>
      <c r="E46" s="2086"/>
      <c r="F46" s="318"/>
      <c r="G46" s="2086"/>
      <c r="H46" s="318"/>
      <c r="I46" s="2086"/>
      <c r="J46" s="318"/>
      <c r="K46" s="2086"/>
      <c r="L46" s="261"/>
      <c r="M46" s="261"/>
      <c r="N46" s="261"/>
      <c r="O46" s="516"/>
      <c r="P46" s="261"/>
      <c r="Q46" s="516"/>
      <c r="R46" s="261"/>
      <c r="S46" s="516"/>
      <c r="T46" s="261"/>
      <c r="U46" s="516"/>
      <c r="V46" s="261"/>
      <c r="W46" s="516"/>
      <c r="X46" s="261"/>
      <c r="Y46" s="516"/>
      <c r="Z46" s="261"/>
      <c r="AA46" s="516"/>
      <c r="AB46" s="516"/>
      <c r="AC46" s="516"/>
      <c r="AD46" s="318"/>
      <c r="AE46" s="1270"/>
      <c r="AF46" s="319"/>
      <c r="AG46" s="2092"/>
      <c r="AH46" s="262"/>
      <c r="AI46" s="2086"/>
      <c r="AJ46" s="319"/>
      <c r="AK46" s="2089"/>
      <c r="AL46" s="319"/>
      <c r="AM46" s="655"/>
      <c r="AN46" s="2776"/>
    </row>
    <row r="47" spans="1:41" ht="15.6">
      <c r="A47" s="223"/>
      <c r="B47" s="1784" t="s">
        <v>1220</v>
      </c>
      <c r="C47" s="1343"/>
      <c r="D47" s="223"/>
      <c r="E47" s="2086">
        <v>0</v>
      </c>
      <c r="F47" s="318"/>
      <c r="G47" s="2086"/>
      <c r="H47" s="318"/>
      <c r="I47" s="2086"/>
      <c r="J47" s="318"/>
      <c r="K47" s="2086"/>
      <c r="L47" s="261"/>
      <c r="M47" s="261"/>
      <c r="N47" s="261"/>
      <c r="O47" s="516"/>
      <c r="P47" s="261"/>
      <c r="Q47" s="516"/>
      <c r="R47" s="261"/>
      <c r="S47" s="516"/>
      <c r="T47" s="261"/>
      <c r="U47" s="516"/>
      <c r="V47" s="261"/>
      <c r="W47" s="516"/>
      <c r="X47" s="261"/>
      <c r="Y47" s="516"/>
      <c r="Z47" s="261"/>
      <c r="AA47" s="516"/>
      <c r="AB47" s="516"/>
      <c r="AC47" s="1190">
        <v>0</v>
      </c>
      <c r="AD47" s="318"/>
      <c r="AE47" s="1270"/>
      <c r="AF47" s="319">
        <f>ROUND(SUM(E47:AC47),1)</f>
        <v>0</v>
      </c>
      <c r="AG47" s="2092"/>
      <c r="AH47" s="262"/>
      <c r="AI47" s="2086">
        <v>12.2</v>
      </c>
      <c r="AJ47" s="319"/>
      <c r="AK47" s="2089"/>
      <c r="AL47" s="319">
        <f t="shared" si="0"/>
        <v>-12.2</v>
      </c>
      <c r="AM47" s="655"/>
      <c r="AN47" s="2726">
        <f>ROUND(IF(AI47=0,0,AL47/ABS(AI47)),3)</f>
        <v>-1</v>
      </c>
    </row>
    <row r="48" spans="1:41" s="1809" customFormat="1" ht="15.6">
      <c r="A48" s="2804"/>
      <c r="B48" s="1784" t="s">
        <v>1222</v>
      </c>
      <c r="C48" s="1343"/>
      <c r="D48" s="1343"/>
      <c r="E48" s="1788">
        <v>0</v>
      </c>
      <c r="F48" s="1788">
        <v>0</v>
      </c>
      <c r="G48" s="1788"/>
      <c r="H48" s="1788"/>
      <c r="I48" s="1788"/>
      <c r="J48" s="1788"/>
      <c r="K48" s="1788"/>
      <c r="L48" s="1788"/>
      <c r="M48" s="1788"/>
      <c r="N48" s="1788"/>
      <c r="O48" s="1788"/>
      <c r="P48" s="1788"/>
      <c r="Q48" s="1788"/>
      <c r="R48" s="1159"/>
      <c r="S48" s="1788"/>
      <c r="T48" s="1159"/>
      <c r="U48" s="3010"/>
      <c r="V48" s="1159"/>
      <c r="W48" s="1340"/>
      <c r="X48" s="1159"/>
      <c r="Y48" s="1340"/>
      <c r="Z48" s="1159"/>
      <c r="AA48" s="1340"/>
      <c r="AB48" s="1340"/>
      <c r="AC48" s="1190">
        <v>0</v>
      </c>
      <c r="AD48" s="1787"/>
      <c r="AE48" s="2702"/>
      <c r="AF48" s="1336">
        <f>ROUND(SUM(E48:AC48),1)</f>
        <v>0</v>
      </c>
      <c r="AG48" s="2807"/>
      <c r="AH48" s="1996"/>
      <c r="AI48" s="3010">
        <v>0</v>
      </c>
      <c r="AJ48" s="1336"/>
      <c r="AK48" s="2089"/>
      <c r="AL48" s="1336">
        <f t="shared" si="0"/>
        <v>0</v>
      </c>
      <c r="AM48" s="1850"/>
      <c r="AN48" s="2741">
        <f>ROUND(IF(AI48=0,0,AL48/ABS(AI48)),3)</f>
        <v>0</v>
      </c>
    </row>
    <row r="49" spans="1:43" ht="15.6">
      <c r="A49" s="223"/>
      <c r="B49" s="1784" t="s">
        <v>1223</v>
      </c>
      <c r="C49" s="1343"/>
      <c r="D49" s="223"/>
      <c r="E49" s="2086">
        <v>0.1</v>
      </c>
      <c r="F49" s="318"/>
      <c r="G49" s="2086"/>
      <c r="H49" s="318"/>
      <c r="I49" s="2086"/>
      <c r="J49" s="318"/>
      <c r="K49" s="2086"/>
      <c r="L49" s="261"/>
      <c r="M49" s="261"/>
      <c r="N49" s="261"/>
      <c r="O49" s="516"/>
      <c r="P49" s="261"/>
      <c r="Q49" s="2086"/>
      <c r="R49" s="261"/>
      <c r="S49" s="516"/>
      <c r="T49" s="261"/>
      <c r="U49" s="516"/>
      <c r="V49" s="261"/>
      <c r="W49" s="516"/>
      <c r="X49" s="261"/>
      <c r="Y49" s="516"/>
      <c r="Z49" s="261"/>
      <c r="AA49" s="516"/>
      <c r="AB49" s="516"/>
      <c r="AC49" s="1190">
        <v>0</v>
      </c>
      <c r="AD49" s="318"/>
      <c r="AE49" s="1270"/>
      <c r="AF49" s="319">
        <f>ROUND(SUM(E49:AC49),1)</f>
        <v>0.1</v>
      </c>
      <c r="AG49" s="2092"/>
      <c r="AH49" s="262"/>
      <c r="AI49" s="2086">
        <v>0</v>
      </c>
      <c r="AJ49" s="319"/>
      <c r="AK49" s="2089"/>
      <c r="AL49" s="319">
        <f t="shared" si="0"/>
        <v>0.1</v>
      </c>
      <c r="AM49" s="655"/>
      <c r="AN49" s="2726">
        <f>ROUND(IF(AI49=0,1,AL49/ABS(AI49)),3)</f>
        <v>1</v>
      </c>
    </row>
    <row r="50" spans="1:43" ht="15.6">
      <c r="A50" s="223"/>
      <c r="B50" s="1784" t="s">
        <v>1193</v>
      </c>
      <c r="C50" s="1343"/>
      <c r="D50" s="223"/>
      <c r="E50" s="2086">
        <v>0</v>
      </c>
      <c r="F50" s="318"/>
      <c r="G50" s="2086"/>
      <c r="H50" s="318"/>
      <c r="I50" s="2086"/>
      <c r="J50" s="318"/>
      <c r="K50" s="2086"/>
      <c r="L50" s="261"/>
      <c r="M50" s="318"/>
      <c r="N50" s="261"/>
      <c r="O50" s="516"/>
      <c r="P50" s="261"/>
      <c r="Q50" s="516"/>
      <c r="R50" s="261"/>
      <c r="S50" s="516"/>
      <c r="T50" s="261"/>
      <c r="U50" s="516"/>
      <c r="V50" s="261"/>
      <c r="W50" s="516"/>
      <c r="X50" s="261"/>
      <c r="Y50" s="516"/>
      <c r="Z50" s="261"/>
      <c r="AA50" s="516"/>
      <c r="AB50" s="516"/>
      <c r="AC50" s="1190">
        <v>0</v>
      </c>
      <c r="AD50" s="318"/>
      <c r="AE50" s="1270"/>
      <c r="AF50" s="319">
        <f>ROUND(SUM(E50:AC50),1)</f>
        <v>0</v>
      </c>
      <c r="AG50" s="2092"/>
      <c r="AH50" s="262"/>
      <c r="AI50" s="2086">
        <v>0.1</v>
      </c>
      <c r="AJ50" s="319"/>
      <c r="AK50" s="2089"/>
      <c r="AL50" s="319">
        <f t="shared" si="0"/>
        <v>-0.1</v>
      </c>
      <c r="AM50" s="655"/>
      <c r="AN50" s="2726">
        <f>ROUND(IF(AI50=0,0,AL50/ABS(AI50)),3)</f>
        <v>-1</v>
      </c>
    </row>
    <row r="51" spans="1:43" ht="15.6">
      <c r="A51" s="223"/>
      <c r="B51" s="1784" t="s">
        <v>1194</v>
      </c>
      <c r="C51" s="1343"/>
      <c r="D51" s="223"/>
      <c r="E51" s="2086">
        <v>0.6</v>
      </c>
      <c r="F51" s="318"/>
      <c r="G51" s="2086"/>
      <c r="H51" s="318"/>
      <c r="I51" s="2086"/>
      <c r="J51" s="318"/>
      <c r="K51" s="2086"/>
      <c r="L51" s="261"/>
      <c r="M51" s="261"/>
      <c r="N51" s="261"/>
      <c r="O51" s="516"/>
      <c r="P51" s="261"/>
      <c r="Q51" s="516"/>
      <c r="R51" s="261"/>
      <c r="S51" s="516"/>
      <c r="T51" s="261"/>
      <c r="U51" s="516"/>
      <c r="V51" s="261"/>
      <c r="W51" s="516"/>
      <c r="X51" s="261"/>
      <c r="Y51" s="516"/>
      <c r="Z51" s="261"/>
      <c r="AA51" s="516"/>
      <c r="AB51" s="516"/>
      <c r="AC51" s="1190">
        <v>0</v>
      </c>
      <c r="AD51" s="318"/>
      <c r="AE51" s="1270"/>
      <c r="AF51" s="319">
        <f>ROUND(SUM(E51:AC51),1)</f>
        <v>0.6</v>
      </c>
      <c r="AG51" s="2092"/>
      <c r="AH51" s="262"/>
      <c r="AI51" s="2086">
        <v>0.1</v>
      </c>
      <c r="AJ51" s="319"/>
      <c r="AK51" s="2089"/>
      <c r="AL51" s="319">
        <f t="shared" si="0"/>
        <v>0.5</v>
      </c>
      <c r="AM51" s="655"/>
      <c r="AN51" s="2726">
        <f>ROUND(IF(AI51=0,0,AL51/ABS(AI51)),3)</f>
        <v>5</v>
      </c>
    </row>
    <row r="52" spans="1:43" ht="15.6">
      <c r="A52" s="223"/>
      <c r="B52" s="1784" t="s">
        <v>1306</v>
      </c>
      <c r="C52" s="1343"/>
      <c r="D52" s="223"/>
      <c r="E52" s="2086"/>
      <c r="F52" s="318"/>
      <c r="G52" s="2086"/>
      <c r="H52" s="318"/>
      <c r="I52" s="2086"/>
      <c r="J52" s="318"/>
      <c r="K52" s="2086"/>
      <c r="L52" s="261"/>
      <c r="M52" s="261"/>
      <c r="N52" s="261"/>
      <c r="O52" s="516"/>
      <c r="P52" s="261"/>
      <c r="Q52" s="516"/>
      <c r="R52" s="261"/>
      <c r="S52" s="516"/>
      <c r="T52" s="261"/>
      <c r="U52" s="516"/>
      <c r="V52" s="261"/>
      <c r="W52" s="516"/>
      <c r="X52" s="261"/>
      <c r="Y52" s="516"/>
      <c r="Z52" s="261"/>
      <c r="AA52" s="516"/>
      <c r="AB52" s="516"/>
      <c r="AC52" s="516"/>
      <c r="AD52" s="318"/>
      <c r="AE52" s="1270"/>
      <c r="AF52" s="319"/>
      <c r="AG52" s="2092"/>
      <c r="AH52" s="262"/>
      <c r="AI52" s="2086"/>
      <c r="AJ52" s="319"/>
      <c r="AK52" s="2089"/>
      <c r="AL52" s="319"/>
      <c r="AM52" s="655"/>
      <c r="AN52" s="2776"/>
    </row>
    <row r="53" spans="1:43" ht="15.6">
      <c r="A53" s="223"/>
      <c r="B53" s="1784" t="s">
        <v>1224</v>
      </c>
      <c r="C53" s="1343"/>
      <c r="D53" s="223"/>
      <c r="E53" s="2086">
        <v>0</v>
      </c>
      <c r="F53" s="2086">
        <v>0</v>
      </c>
      <c r="G53" s="2086"/>
      <c r="H53" s="318"/>
      <c r="I53" s="2086"/>
      <c r="J53" s="318"/>
      <c r="K53" s="2086"/>
      <c r="L53" s="261"/>
      <c r="M53" s="261"/>
      <c r="N53" s="261"/>
      <c r="O53" s="516"/>
      <c r="P53" s="261"/>
      <c r="Q53" s="516"/>
      <c r="R53" s="261"/>
      <c r="S53" s="516"/>
      <c r="T53" s="261"/>
      <c r="U53" s="516"/>
      <c r="V53" s="261"/>
      <c r="W53" s="516"/>
      <c r="X53" s="261"/>
      <c r="Y53" s="516"/>
      <c r="Z53" s="261"/>
      <c r="AA53" s="516"/>
      <c r="AB53" s="516"/>
      <c r="AC53" s="1190">
        <v>0</v>
      </c>
      <c r="AD53" s="318"/>
      <c r="AE53" s="1270"/>
      <c r="AF53" s="319">
        <f t="shared" ref="AF53:AF59" si="2">ROUND(SUM(E53:AC53),1)</f>
        <v>0</v>
      </c>
      <c r="AG53" s="2092"/>
      <c r="AH53" s="262"/>
      <c r="AI53" s="3010">
        <v>0</v>
      </c>
      <c r="AJ53" s="319"/>
      <c r="AK53" s="2089"/>
      <c r="AL53" s="319">
        <f t="shared" si="0"/>
        <v>0</v>
      </c>
      <c r="AM53" s="655"/>
      <c r="AN53" s="2726">
        <f>ROUND(IF(AI53=0,0,AL53/ABS(AI53)),3)</f>
        <v>0</v>
      </c>
    </row>
    <row r="54" spans="1:43" ht="15.6">
      <c r="A54" s="223"/>
      <c r="B54" s="1784" t="s">
        <v>1226</v>
      </c>
      <c r="C54" s="1343"/>
      <c r="D54" s="223"/>
      <c r="E54" s="2086">
        <v>2.5</v>
      </c>
      <c r="F54" s="2086">
        <v>0</v>
      </c>
      <c r="G54" s="2086"/>
      <c r="H54" s="318"/>
      <c r="I54" s="2086"/>
      <c r="J54" s="318"/>
      <c r="K54" s="2086"/>
      <c r="L54" s="261"/>
      <c r="M54" s="261"/>
      <c r="N54" s="261"/>
      <c r="O54" s="516"/>
      <c r="P54" s="261"/>
      <c r="Q54" s="516"/>
      <c r="R54" s="261"/>
      <c r="S54" s="516"/>
      <c r="T54" s="261"/>
      <c r="U54" s="516"/>
      <c r="V54" s="261"/>
      <c r="W54" s="516"/>
      <c r="X54" s="261"/>
      <c r="Y54" s="516"/>
      <c r="Z54" s="261"/>
      <c r="AA54" s="516"/>
      <c r="AB54" s="516"/>
      <c r="AC54" s="1190">
        <v>0</v>
      </c>
      <c r="AD54" s="318"/>
      <c r="AE54" s="1270"/>
      <c r="AF54" s="319">
        <f t="shared" si="2"/>
        <v>2.5</v>
      </c>
      <c r="AG54" s="2092"/>
      <c r="AH54" s="262"/>
      <c r="AI54" s="2086">
        <v>0</v>
      </c>
      <c r="AJ54" s="319"/>
      <c r="AK54" s="2089"/>
      <c r="AL54" s="319">
        <f t="shared" si="0"/>
        <v>2.5</v>
      </c>
      <c r="AM54" s="655"/>
      <c r="AN54" s="2726">
        <f>ROUND(IF(AI54=0,1,AL54/ABS(AI54)),3)</f>
        <v>1</v>
      </c>
    </row>
    <row r="55" spans="1:43" ht="15.6">
      <c r="A55" s="223"/>
      <c r="B55" s="1784" t="s">
        <v>1227</v>
      </c>
      <c r="C55" s="1343"/>
      <c r="D55" s="223"/>
      <c r="E55" s="2086">
        <v>0</v>
      </c>
      <c r="F55" s="2086"/>
      <c r="G55" s="2086"/>
      <c r="H55" s="318"/>
      <c r="I55" s="2086"/>
      <c r="J55" s="318"/>
      <c r="K55" s="2086"/>
      <c r="L55" s="261"/>
      <c r="M55" s="261"/>
      <c r="N55" s="261"/>
      <c r="O55" s="516"/>
      <c r="P55" s="261"/>
      <c r="Q55" s="516"/>
      <c r="R55" s="261"/>
      <c r="S55" s="516"/>
      <c r="T55" s="261"/>
      <c r="U55" s="516"/>
      <c r="V55" s="261"/>
      <c r="W55" s="516"/>
      <c r="X55" s="261"/>
      <c r="Y55" s="516"/>
      <c r="Z55" s="261"/>
      <c r="AA55" s="516"/>
      <c r="AB55" s="516"/>
      <c r="AC55" s="3008">
        <v>0</v>
      </c>
      <c r="AD55" s="318"/>
      <c r="AE55" s="1270"/>
      <c r="AF55" s="319">
        <f>ROUND(SUM(E55:AC55),1)</f>
        <v>0</v>
      </c>
      <c r="AG55" s="3233"/>
      <c r="AH55" s="262"/>
      <c r="AI55" s="2086">
        <v>0</v>
      </c>
      <c r="AJ55" s="319"/>
      <c r="AK55" s="2089"/>
      <c r="AL55" s="319">
        <f t="shared" si="0"/>
        <v>0</v>
      </c>
      <c r="AM55" s="655"/>
      <c r="AN55" s="2726">
        <f t="shared" ref="AN55:AN56" si="3">ROUND(IF(AI55=0,0,AL55/ABS(AI55)),3)</f>
        <v>0</v>
      </c>
    </row>
    <row r="56" spans="1:43" ht="15.6">
      <c r="A56" s="223"/>
      <c r="B56" s="1784" t="s">
        <v>1229</v>
      </c>
      <c r="C56" s="1343"/>
      <c r="D56" s="223"/>
      <c r="E56" s="2086">
        <v>0</v>
      </c>
      <c r="F56" s="2086"/>
      <c r="G56" s="2086"/>
      <c r="H56" s="318"/>
      <c r="I56" s="2086"/>
      <c r="J56" s="318"/>
      <c r="K56" s="2086"/>
      <c r="L56" s="261"/>
      <c r="M56" s="261"/>
      <c r="N56" s="261"/>
      <c r="O56" s="516"/>
      <c r="P56" s="261"/>
      <c r="Q56" s="516"/>
      <c r="R56" s="261"/>
      <c r="S56" s="516"/>
      <c r="T56" s="261"/>
      <c r="U56" s="516"/>
      <c r="V56" s="261"/>
      <c r="W56" s="516"/>
      <c r="X56" s="261"/>
      <c r="Y56" s="516"/>
      <c r="Z56" s="261"/>
      <c r="AA56" s="516"/>
      <c r="AB56" s="516"/>
      <c r="AC56" s="3008">
        <v>0</v>
      </c>
      <c r="AD56" s="318"/>
      <c r="AE56" s="1270"/>
      <c r="AF56" s="319">
        <f>ROUND(SUM(E56:AC56),1)</f>
        <v>0</v>
      </c>
      <c r="AG56" s="3147"/>
      <c r="AH56" s="262"/>
      <c r="AI56" s="2086">
        <v>0</v>
      </c>
      <c r="AJ56" s="319"/>
      <c r="AK56" s="2089"/>
      <c r="AL56" s="319">
        <f>ROUND(AF56-AI56,1)</f>
        <v>0</v>
      </c>
      <c r="AM56" s="655"/>
      <c r="AN56" s="2726">
        <f t="shared" si="3"/>
        <v>0</v>
      </c>
    </row>
    <row r="57" spans="1:43" ht="15.6">
      <c r="A57" s="223"/>
      <c r="B57" s="1784" t="s">
        <v>1230</v>
      </c>
      <c r="C57" s="1343"/>
      <c r="D57" s="223"/>
      <c r="E57" s="2086">
        <v>0</v>
      </c>
      <c r="F57" s="2086">
        <v>0</v>
      </c>
      <c r="G57" s="2086"/>
      <c r="H57" s="318"/>
      <c r="I57" s="2086"/>
      <c r="J57" s="318"/>
      <c r="K57" s="2086"/>
      <c r="L57" s="261"/>
      <c r="M57" s="261"/>
      <c r="N57" s="261"/>
      <c r="O57" s="516"/>
      <c r="P57" s="261"/>
      <c r="Q57" s="516"/>
      <c r="R57" s="261"/>
      <c r="S57" s="516"/>
      <c r="T57" s="261"/>
      <c r="U57" s="516"/>
      <c r="V57" s="261"/>
      <c r="W57" s="516"/>
      <c r="X57" s="261"/>
      <c r="Y57" s="516"/>
      <c r="Z57" s="261"/>
      <c r="AA57" s="516"/>
      <c r="AB57" s="516"/>
      <c r="AC57" s="1190">
        <v>0</v>
      </c>
      <c r="AD57" s="318"/>
      <c r="AE57" s="1270"/>
      <c r="AF57" s="319">
        <f t="shared" si="2"/>
        <v>0</v>
      </c>
      <c r="AG57" s="2092"/>
      <c r="AH57" s="262"/>
      <c r="AI57" s="2086">
        <v>0.6</v>
      </c>
      <c r="AJ57" s="319"/>
      <c r="AK57" s="2089"/>
      <c r="AL57" s="319">
        <f t="shared" si="0"/>
        <v>-0.6</v>
      </c>
      <c r="AM57" s="655"/>
      <c r="AN57" s="2741">
        <f>ROUND(IF(AI57=0,1,AL57/ABS(AI57)),3)</f>
        <v>-1</v>
      </c>
    </row>
    <row r="58" spans="1:43" ht="15.6">
      <c r="A58" s="223"/>
      <c r="B58" s="1784" t="s">
        <v>1232</v>
      </c>
      <c r="C58" s="1343"/>
      <c r="D58" s="223"/>
      <c r="E58" s="2086">
        <v>0.1</v>
      </c>
      <c r="F58" s="2086">
        <v>0</v>
      </c>
      <c r="G58" s="2086"/>
      <c r="H58" s="318"/>
      <c r="I58" s="2086"/>
      <c r="J58" s="318"/>
      <c r="K58" s="2086"/>
      <c r="L58" s="261"/>
      <c r="M58" s="261"/>
      <c r="N58" s="261"/>
      <c r="O58" s="516"/>
      <c r="P58" s="261"/>
      <c r="Q58" s="516"/>
      <c r="R58" s="261"/>
      <c r="S58" s="516"/>
      <c r="T58" s="261"/>
      <c r="U58" s="516"/>
      <c r="V58" s="261"/>
      <c r="W58" s="516"/>
      <c r="X58" s="261"/>
      <c r="Y58" s="516"/>
      <c r="Z58" s="261"/>
      <c r="AA58" s="516"/>
      <c r="AB58" s="516"/>
      <c r="AC58" s="1190">
        <v>0</v>
      </c>
      <c r="AD58" s="318"/>
      <c r="AE58" s="1270"/>
      <c r="AF58" s="319">
        <f t="shared" si="2"/>
        <v>0.1</v>
      </c>
      <c r="AG58" s="2092"/>
      <c r="AH58" s="262"/>
      <c r="AI58" s="2086">
        <v>1.2</v>
      </c>
      <c r="AJ58" s="319"/>
      <c r="AK58" s="2089"/>
      <c r="AL58" s="319">
        <f t="shared" si="0"/>
        <v>-1.1000000000000001</v>
      </c>
      <c r="AM58" s="655"/>
      <c r="AN58" s="2775">
        <f>ROUND(IF(AI58=0,0,AL58/ABS(AI58)),3)</f>
        <v>-0.91700000000000004</v>
      </c>
    </row>
    <row r="59" spans="1:43" ht="15.6">
      <c r="A59" s="223"/>
      <c r="B59" s="1784" t="s">
        <v>1204</v>
      </c>
      <c r="C59" s="1343"/>
      <c r="D59" s="223"/>
      <c r="E59" s="2086">
        <v>0.2</v>
      </c>
      <c r="F59" s="2086">
        <v>0</v>
      </c>
      <c r="G59" s="2086"/>
      <c r="H59" s="318"/>
      <c r="I59" s="2086"/>
      <c r="J59" s="318"/>
      <c r="K59" s="2086"/>
      <c r="L59" s="261"/>
      <c r="M59" s="261"/>
      <c r="N59" s="261"/>
      <c r="O59" s="516"/>
      <c r="P59" s="261"/>
      <c r="Q59" s="516"/>
      <c r="R59" s="261"/>
      <c r="S59" s="516"/>
      <c r="T59" s="261"/>
      <c r="U59" s="516"/>
      <c r="V59" s="261"/>
      <c r="W59" s="516"/>
      <c r="X59" s="261"/>
      <c r="Y59" s="516"/>
      <c r="Z59" s="261"/>
      <c r="AA59" s="516"/>
      <c r="AB59" s="516"/>
      <c r="AC59" s="1190">
        <v>0</v>
      </c>
      <c r="AD59" s="318"/>
      <c r="AE59" s="1270"/>
      <c r="AF59" s="319">
        <f t="shared" si="2"/>
        <v>0.2</v>
      </c>
      <c r="AG59" s="2092"/>
      <c r="AH59" s="262"/>
      <c r="AI59" s="2086">
        <v>0</v>
      </c>
      <c r="AJ59" s="319"/>
      <c r="AK59" s="2089"/>
      <c r="AL59" s="319">
        <f t="shared" si="0"/>
        <v>0.2</v>
      </c>
      <c r="AM59" s="655"/>
      <c r="AN59" s="2726">
        <f>ROUND(IF(AI59=0,1,AL59/ABS(AI59)),3)</f>
        <v>1</v>
      </c>
    </row>
    <row r="60" spans="1:43" s="650" customFormat="1" ht="15.6" collapsed="1">
      <c r="A60" s="221"/>
      <c r="B60" s="588" t="s">
        <v>1364</v>
      </c>
      <c r="C60" s="221"/>
      <c r="D60" s="221"/>
      <c r="E60" s="1269">
        <f>ROUND(SUM(E34:E59),1)</f>
        <v>84.2</v>
      </c>
      <c r="F60" s="312"/>
      <c r="G60" s="1269">
        <f>ROUND(SUM(G34:G59),1)</f>
        <v>0</v>
      </c>
      <c r="H60" s="2111"/>
      <c r="I60" s="1269">
        <f>ROUND(SUM(I34:I59),1)</f>
        <v>0</v>
      </c>
      <c r="J60" s="312"/>
      <c r="K60" s="1269">
        <f>ROUND(SUM(K34:K59),1)</f>
        <v>0</v>
      </c>
      <c r="L60" s="1838"/>
      <c r="M60" s="483">
        <f>ROUND(SUM(M34:M59),1)</f>
        <v>0</v>
      </c>
      <c r="N60" s="1838"/>
      <c r="O60" s="483">
        <f>ROUND(SUM(O34:O59),1)</f>
        <v>0</v>
      </c>
      <c r="P60" s="1838"/>
      <c r="Q60" s="483">
        <f>ROUND(SUM(Q34:Q59),1)</f>
        <v>0</v>
      </c>
      <c r="R60" s="1838"/>
      <c r="S60" s="483">
        <f>ROUND(SUM(S34:S59),1)</f>
        <v>0</v>
      </c>
      <c r="T60" s="1838"/>
      <c r="U60" s="483">
        <f>ROUND(SUM(U34:U59),1)</f>
        <v>0</v>
      </c>
      <c r="V60" s="1838"/>
      <c r="W60" s="483">
        <f>ROUND(SUM(W34:W59),1)</f>
        <v>0</v>
      </c>
      <c r="X60" s="1838"/>
      <c r="Y60" s="483">
        <f>ROUND(SUM(Y34:Y59),1)</f>
        <v>0</v>
      </c>
      <c r="Z60" s="1838"/>
      <c r="AA60" s="483">
        <f>ROUND(SUM(AA34:AA59),1)</f>
        <v>0</v>
      </c>
      <c r="AB60" s="273"/>
      <c r="AC60" s="483">
        <f>ROUND(SUM(AC34:AC59),1)</f>
        <v>0</v>
      </c>
      <c r="AD60" s="312"/>
      <c r="AE60" s="1271"/>
      <c r="AF60" s="1269">
        <f>ROUND(SUM(AF34:AF59),1)</f>
        <v>84.2</v>
      </c>
      <c r="AG60" s="2093"/>
      <c r="AH60" s="315"/>
      <c r="AI60" s="3009">
        <f>ROUND(SUM(AI34:AI59),1)</f>
        <v>83.8</v>
      </c>
      <c r="AJ60" s="2136"/>
      <c r="AK60" s="2089"/>
      <c r="AL60" s="1269">
        <f>ROUND(SUM(AL34:AL59),1)</f>
        <v>0.4</v>
      </c>
      <c r="AM60" s="2049"/>
      <c r="AN60" s="2745">
        <f>ROUND(IF(AI60=0,0,AL60/ABS(AI60)),3)</f>
        <v>5.0000000000000001E-3</v>
      </c>
    </row>
    <row r="61" spans="1:43" s="650" customFormat="1" ht="15.6">
      <c r="A61" s="221"/>
      <c r="B61" s="588"/>
      <c r="C61" s="221"/>
      <c r="D61" s="221"/>
      <c r="E61" s="315"/>
      <c r="F61" s="312"/>
      <c r="G61" s="315"/>
      <c r="H61" s="2111"/>
      <c r="I61" s="315"/>
      <c r="J61" s="312"/>
      <c r="K61" s="315"/>
      <c r="L61" s="1838"/>
      <c r="M61" s="273"/>
      <c r="N61" s="1838"/>
      <c r="O61" s="273"/>
      <c r="P61" s="1838"/>
      <c r="Q61" s="273"/>
      <c r="R61" s="1838"/>
      <c r="S61" s="273"/>
      <c r="T61" s="1838"/>
      <c r="U61" s="2994"/>
      <c r="V61" s="1838"/>
      <c r="W61" s="273"/>
      <c r="X61" s="1838"/>
      <c r="Y61" s="273"/>
      <c r="Z61" s="1838"/>
      <c r="AA61" s="273"/>
      <c r="AB61" s="273"/>
      <c r="AC61" s="273"/>
      <c r="AD61" s="312"/>
      <c r="AE61" s="1271"/>
      <c r="AF61" s="315"/>
      <c r="AG61" s="2138"/>
      <c r="AH61" s="315"/>
      <c r="AI61" s="315"/>
      <c r="AJ61" s="2136"/>
      <c r="AK61" s="2089"/>
      <c r="AL61" s="315"/>
      <c r="AM61" s="2049"/>
      <c r="AN61" s="649"/>
    </row>
    <row r="62" spans="1:43" ht="15.6">
      <c r="A62" s="223"/>
      <c r="B62" s="223" t="s">
        <v>155</v>
      </c>
      <c r="C62" s="223"/>
      <c r="D62" s="223"/>
      <c r="E62" s="686">
        <v>0</v>
      </c>
      <c r="F62" s="318"/>
      <c r="G62" s="686"/>
      <c r="H62" s="318"/>
      <c r="I62" s="686"/>
      <c r="J62" s="318"/>
      <c r="K62" s="686"/>
      <c r="L62" s="261"/>
      <c r="M62" s="372"/>
      <c r="N62" s="261"/>
      <c r="O62" s="516"/>
      <c r="P62" s="261"/>
      <c r="Q62" s="372"/>
      <c r="R62" s="261"/>
      <c r="S62" s="372"/>
      <c r="T62" s="261"/>
      <c r="U62" s="372"/>
      <c r="V62" s="261"/>
      <c r="W62" s="372"/>
      <c r="X62" s="261"/>
      <c r="Y62" s="516"/>
      <c r="Z62" s="261"/>
      <c r="AA62" s="516"/>
      <c r="AB62" s="516"/>
      <c r="AC62" s="1190">
        <v>0</v>
      </c>
      <c r="AD62" s="318"/>
      <c r="AE62" s="1270"/>
      <c r="AF62" s="319">
        <f>ROUND(SUM(E62:AC62),1)</f>
        <v>0</v>
      </c>
      <c r="AG62" s="2088"/>
      <c r="AH62" s="262"/>
      <c r="AI62" s="319">
        <v>0</v>
      </c>
      <c r="AJ62" s="319"/>
      <c r="AK62" s="2132"/>
      <c r="AL62" s="319">
        <f>ROUND(AF62-AI62,1)</f>
        <v>0</v>
      </c>
      <c r="AM62" s="655"/>
      <c r="AN62" s="45">
        <f>ROUND(IF(AI62=0,0,AL62/ABS(AI62)),3)</f>
        <v>0</v>
      </c>
    </row>
    <row r="63" spans="1:43" ht="15.6">
      <c r="A63" s="223"/>
      <c r="B63" s="223"/>
      <c r="C63" s="223"/>
      <c r="D63" s="223"/>
      <c r="E63" s="327"/>
      <c r="F63" s="318"/>
      <c r="G63" s="327"/>
      <c r="H63" s="318"/>
      <c r="I63" s="327"/>
      <c r="J63" s="318"/>
      <c r="K63" s="2112"/>
      <c r="L63" s="261"/>
      <c r="M63" s="288"/>
      <c r="N63" s="261"/>
      <c r="O63" s="288"/>
      <c r="P63" s="261"/>
      <c r="Q63" s="288"/>
      <c r="R63" s="261"/>
      <c r="S63" s="288"/>
      <c r="T63" s="261"/>
      <c r="U63" s="288"/>
      <c r="V63" s="261"/>
      <c r="W63" s="288"/>
      <c r="X63" s="261"/>
      <c r="Y63" s="288"/>
      <c r="Z63" s="261"/>
      <c r="AA63" s="288"/>
      <c r="AB63" s="249"/>
      <c r="AC63" s="288"/>
      <c r="AD63" s="318"/>
      <c r="AE63" s="1270"/>
      <c r="AF63" s="327"/>
      <c r="AG63" s="2088"/>
      <c r="AH63" s="262"/>
      <c r="AI63" s="327"/>
      <c r="AJ63" s="262"/>
      <c r="AK63" s="2132"/>
      <c r="AL63" s="327"/>
      <c r="AM63" s="645"/>
      <c r="AN63" s="370"/>
    </row>
    <row r="64" spans="1:43" ht="15.6">
      <c r="A64" s="223"/>
      <c r="B64" s="221" t="s">
        <v>203</v>
      </c>
      <c r="C64" s="223"/>
      <c r="D64" s="223"/>
      <c r="E64" s="2809">
        <f>ROUND(SUM(E32+E60+E62),1)</f>
        <v>176.9</v>
      </c>
      <c r="F64" s="312"/>
      <c r="G64" s="2809">
        <f>ROUND(SUM(G32+G60+G62),1)</f>
        <v>0</v>
      </c>
      <c r="H64" s="312"/>
      <c r="I64" s="2809">
        <f>ROUND(SUM(I32+I60+I62),1)</f>
        <v>0</v>
      </c>
      <c r="J64" s="312"/>
      <c r="K64" s="2809">
        <f>ROUND(SUM(K32+K60+K62),1)</f>
        <v>0</v>
      </c>
      <c r="L64" s="257"/>
      <c r="M64" s="2810">
        <f>ROUND(SUM(M32+M60+M62),1)</f>
        <v>0</v>
      </c>
      <c r="N64" s="257"/>
      <c r="O64" s="2810">
        <f>ROUND(SUM(O32+O60+O62),1)</f>
        <v>0</v>
      </c>
      <c r="P64" s="257"/>
      <c r="Q64" s="2810">
        <f>ROUND(SUM(Q32+Q60+Q62),1)</f>
        <v>0</v>
      </c>
      <c r="R64" s="257"/>
      <c r="S64" s="2810">
        <f>ROUND(SUM(S32+S60+S62),1)</f>
        <v>0</v>
      </c>
      <c r="T64" s="257"/>
      <c r="U64" s="2810">
        <f>ROUND(SUM(U32+U60+U62),1)</f>
        <v>0</v>
      </c>
      <c r="V64" s="257"/>
      <c r="W64" s="2810">
        <f>ROUND(SUM(W32+W60+W62),1)</f>
        <v>0</v>
      </c>
      <c r="X64" s="257"/>
      <c r="Y64" s="2810">
        <f>ROUND(SUM(Y32+Y60+Y62),1)</f>
        <v>0</v>
      </c>
      <c r="Z64" s="257"/>
      <c r="AA64" s="2810">
        <f>ROUND(SUM(AA32+AA60+AA62),1)</f>
        <v>0</v>
      </c>
      <c r="AB64" s="1838"/>
      <c r="AC64" s="2810">
        <f>ROUND(SUM(AC32+AC60+AC62),1)</f>
        <v>0</v>
      </c>
      <c r="AD64" s="312"/>
      <c r="AE64" s="1271"/>
      <c r="AF64" s="2809">
        <f>ROUND(SUM(AF32+AF60+AF62),1)</f>
        <v>176.9</v>
      </c>
      <c r="AG64" s="2093"/>
      <c r="AH64" s="315"/>
      <c r="AI64" s="2809">
        <f>ROUND(SUM(AI32+AI60+AI62),1)</f>
        <v>183.7</v>
      </c>
      <c r="AJ64" s="2136"/>
      <c r="AK64" s="2132"/>
      <c r="AL64" s="2139">
        <f>ROUND(SUM(AL32+AL60+AL62),1)</f>
        <v>-6.8</v>
      </c>
      <c r="AM64" s="368"/>
      <c r="AN64" s="1913">
        <f>ROUND(IF(AI64=0,0,AL64/ABS(AI64)),3)</f>
        <v>-3.6999999999999998E-2</v>
      </c>
      <c r="AO64" s="650"/>
      <c r="AQ64" s="369"/>
    </row>
    <row r="65" spans="1:43" ht="15.6">
      <c r="A65" s="223"/>
      <c r="B65" s="223"/>
      <c r="C65" s="223"/>
      <c r="D65" s="223"/>
      <c r="E65" s="327"/>
      <c r="F65" s="318"/>
      <c r="G65" s="327"/>
      <c r="H65" s="318"/>
      <c r="I65" s="327"/>
      <c r="J65" s="318"/>
      <c r="K65" s="327"/>
      <c r="L65" s="261"/>
      <c r="M65" s="288"/>
      <c r="N65" s="261"/>
      <c r="O65" s="288"/>
      <c r="P65" s="261"/>
      <c r="Q65" s="288"/>
      <c r="R65" s="261"/>
      <c r="S65" s="288"/>
      <c r="T65" s="261"/>
      <c r="U65" s="288"/>
      <c r="V65" s="261"/>
      <c r="W65" s="288"/>
      <c r="X65" s="261"/>
      <c r="Y65" s="288"/>
      <c r="Z65" s="261"/>
      <c r="AA65" s="288"/>
      <c r="AB65" s="249"/>
      <c r="AC65" s="288"/>
      <c r="AD65" s="262"/>
      <c r="AE65" s="262"/>
      <c r="AF65" s="327"/>
      <c r="AG65" s="262"/>
      <c r="AH65" s="262"/>
      <c r="AI65" s="327"/>
      <c r="AJ65" s="262"/>
      <c r="AK65" s="315"/>
      <c r="AL65" s="687"/>
      <c r="AM65" s="645"/>
      <c r="AN65" s="653"/>
    </row>
    <row r="66" spans="1:43" ht="15.6">
      <c r="A66" s="223"/>
      <c r="B66" s="221" t="s">
        <v>24</v>
      </c>
      <c r="C66" s="223"/>
      <c r="D66" s="223"/>
      <c r="E66" s="318"/>
      <c r="F66" s="318"/>
      <c r="G66" s="318"/>
      <c r="H66" s="318"/>
      <c r="I66" s="318"/>
      <c r="J66" s="318"/>
      <c r="K66" s="318"/>
      <c r="L66" s="261"/>
      <c r="M66" s="261"/>
      <c r="N66" s="261"/>
      <c r="O66" s="261"/>
      <c r="P66" s="261"/>
      <c r="Q66" s="261"/>
      <c r="R66" s="261"/>
      <c r="S66" s="261"/>
      <c r="T66" s="261"/>
      <c r="U66" s="261"/>
      <c r="V66" s="261"/>
      <c r="W66" s="261"/>
      <c r="X66" s="261"/>
      <c r="Y66" s="261"/>
      <c r="Z66" s="261"/>
      <c r="AA66" s="261"/>
      <c r="AB66" s="261"/>
      <c r="AC66" s="261"/>
      <c r="AD66" s="318"/>
      <c r="AE66" s="1270"/>
      <c r="AF66" s="318"/>
      <c r="AG66" s="2088"/>
      <c r="AH66" s="262"/>
      <c r="AI66" s="318"/>
      <c r="AJ66" s="318"/>
      <c r="AK66" s="2132"/>
      <c r="AL66" s="687"/>
      <c r="AM66" s="645"/>
      <c r="AN66" s="653"/>
    </row>
    <row r="67" spans="1:43" ht="15.6">
      <c r="A67" s="223"/>
      <c r="B67" s="223" t="s">
        <v>157</v>
      </c>
      <c r="C67" s="223"/>
      <c r="D67" s="223"/>
      <c r="E67" s="318"/>
      <c r="F67" s="318"/>
      <c r="G67" s="318"/>
      <c r="H67" s="318"/>
      <c r="I67" s="318"/>
      <c r="J67" s="318"/>
      <c r="K67" s="318"/>
      <c r="L67" s="261"/>
      <c r="M67" s="261"/>
      <c r="N67" s="261"/>
      <c r="O67" s="261"/>
      <c r="P67" s="261"/>
      <c r="Q67" s="261"/>
      <c r="R67" s="261"/>
      <c r="S67" s="261"/>
      <c r="T67" s="261"/>
      <c r="U67" s="261"/>
      <c r="V67" s="261"/>
      <c r="W67" s="261"/>
      <c r="X67" s="261"/>
      <c r="Y67" s="261"/>
      <c r="Z67" s="261"/>
      <c r="AA67" s="261"/>
      <c r="AB67" s="261"/>
      <c r="AC67" s="261"/>
      <c r="AD67" s="318"/>
      <c r="AE67" s="1270"/>
      <c r="AF67" s="319"/>
      <c r="AG67" s="2088"/>
      <c r="AH67" s="262"/>
      <c r="AI67" s="318"/>
      <c r="AJ67" s="318"/>
      <c r="AK67" s="2132"/>
      <c r="AL67" s="687"/>
      <c r="AM67" s="645"/>
      <c r="AN67" s="653"/>
    </row>
    <row r="68" spans="1:43" ht="15.6">
      <c r="A68" s="223"/>
      <c r="B68" s="223" t="s">
        <v>26</v>
      </c>
      <c r="C68" s="223"/>
      <c r="D68" s="223"/>
      <c r="E68" s="2086">
        <v>0</v>
      </c>
      <c r="F68" s="318"/>
      <c r="G68" s="2086"/>
      <c r="H68" s="318"/>
      <c r="I68" s="2086"/>
      <c r="J68" s="318"/>
      <c r="K68" s="2086"/>
      <c r="L68" s="261"/>
      <c r="M68" s="516"/>
      <c r="N68" s="261"/>
      <c r="O68" s="516"/>
      <c r="P68" s="261"/>
      <c r="Q68" s="516"/>
      <c r="R68" s="261"/>
      <c r="S68" s="516"/>
      <c r="T68" s="261"/>
      <c r="U68" s="516"/>
      <c r="V68" s="261"/>
      <c r="W68" s="516"/>
      <c r="X68" s="261"/>
      <c r="Y68" s="516"/>
      <c r="Z68" s="261"/>
      <c r="AA68" s="516"/>
      <c r="AB68" s="516"/>
      <c r="AC68" s="1190">
        <v>0</v>
      </c>
      <c r="AD68" s="318"/>
      <c r="AE68" s="1270"/>
      <c r="AF68" s="319">
        <f>ROUND(SUM(E68:AC68),1)</f>
        <v>0</v>
      </c>
      <c r="AG68" s="2088"/>
      <c r="AH68" s="262"/>
      <c r="AI68" s="318">
        <v>0.1</v>
      </c>
      <c r="AJ68" s="319"/>
      <c r="AK68" s="2089"/>
      <c r="AL68" s="319">
        <f t="shared" ref="AL68:AL77" si="4">ROUND(AF68-AI68,1)</f>
        <v>-0.1</v>
      </c>
      <c r="AM68" s="655"/>
      <c r="AN68" s="45">
        <f>ROUND(IF(AI68=0,0,AL68/ABS(AI68)),3)</f>
        <v>-1</v>
      </c>
    </row>
    <row r="69" spans="1:43" ht="15.6">
      <c r="A69" s="223"/>
      <c r="B69" s="223" t="s">
        <v>27</v>
      </c>
      <c r="C69" s="223"/>
      <c r="D69" s="223"/>
      <c r="E69" s="1263">
        <v>2.7</v>
      </c>
      <c r="F69" s="318"/>
      <c r="G69" s="2086"/>
      <c r="H69" s="318"/>
      <c r="I69" s="2086"/>
      <c r="J69" s="318"/>
      <c r="K69" s="2086"/>
      <c r="L69" s="261"/>
      <c r="M69" s="516"/>
      <c r="N69" s="261"/>
      <c r="O69" s="516"/>
      <c r="P69" s="261"/>
      <c r="Q69" s="516"/>
      <c r="R69" s="261"/>
      <c r="S69" s="516"/>
      <c r="T69" s="261"/>
      <c r="U69" s="516"/>
      <c r="V69" s="261"/>
      <c r="W69" s="516"/>
      <c r="X69" s="261"/>
      <c r="Y69" s="516"/>
      <c r="Z69" s="261"/>
      <c r="AA69" s="372"/>
      <c r="AB69" s="372"/>
      <c r="AC69" s="1190">
        <v>0</v>
      </c>
      <c r="AD69" s="318"/>
      <c r="AE69" s="1270"/>
      <c r="AF69" s="319">
        <f>ROUND(SUM(E69:AC69),1)</f>
        <v>2.7</v>
      </c>
      <c r="AG69" s="2088"/>
      <c r="AH69" s="262"/>
      <c r="AI69" s="318">
        <v>2.7</v>
      </c>
      <c r="AJ69" s="319"/>
      <c r="AK69" s="2089"/>
      <c r="AL69" s="319">
        <f t="shared" si="4"/>
        <v>0</v>
      </c>
      <c r="AM69" s="655"/>
      <c r="AN69" s="45">
        <f>ROUND(IF(AI69=0,0,AL69/ABS(AI69)),3)</f>
        <v>0</v>
      </c>
    </row>
    <row r="70" spans="1:43" ht="15.6">
      <c r="A70" s="223"/>
      <c r="B70" s="223" t="s">
        <v>28</v>
      </c>
      <c r="C70" s="223"/>
      <c r="D70" s="223"/>
      <c r="E70" s="2086">
        <v>58.9</v>
      </c>
      <c r="F70" s="318"/>
      <c r="G70" s="2086"/>
      <c r="H70" s="318"/>
      <c r="I70" s="2086"/>
      <c r="J70" s="318"/>
      <c r="K70" s="2086"/>
      <c r="L70" s="261"/>
      <c r="M70" s="516"/>
      <c r="N70" s="261"/>
      <c r="O70" s="516"/>
      <c r="P70" s="261"/>
      <c r="Q70" s="516"/>
      <c r="R70" s="261"/>
      <c r="S70" s="516"/>
      <c r="T70" s="261"/>
      <c r="U70" s="516"/>
      <c r="V70" s="261"/>
      <c r="W70" s="516"/>
      <c r="X70" s="261"/>
      <c r="Y70" s="516"/>
      <c r="Z70" s="261"/>
      <c r="AA70" s="516"/>
      <c r="AB70" s="516"/>
      <c r="AC70" s="1190">
        <v>0</v>
      </c>
      <c r="AD70" s="318"/>
      <c r="AE70" s="1270"/>
      <c r="AF70" s="319">
        <f>ROUND(SUM(E70:AC70),1)</f>
        <v>58.9</v>
      </c>
      <c r="AG70" s="2088"/>
      <c r="AH70" s="262"/>
      <c r="AI70" s="318">
        <v>9.1</v>
      </c>
      <c r="AJ70" s="319"/>
      <c r="AK70" s="2089"/>
      <c r="AL70" s="319">
        <f t="shared" si="4"/>
        <v>49.8</v>
      </c>
      <c r="AM70" s="655"/>
      <c r="AN70" s="45">
        <f>ROUND(IF(AI70=0,0,AL70/ABS(AI70)),3)</f>
        <v>5.4729999999999999</v>
      </c>
      <c r="AO70" s="645"/>
    </row>
    <row r="71" spans="1:43" ht="15.6">
      <c r="A71" s="223"/>
      <c r="B71" s="223" t="s">
        <v>29</v>
      </c>
      <c r="C71" s="223"/>
      <c r="D71" s="223"/>
      <c r="E71" s="328"/>
      <c r="F71" s="318"/>
      <c r="G71" s="2086"/>
      <c r="H71" s="318"/>
      <c r="I71" s="318"/>
      <c r="J71" s="318"/>
      <c r="K71" s="2086"/>
      <c r="L71" s="261"/>
      <c r="M71" s="516"/>
      <c r="N71" s="261"/>
      <c r="O71" s="516"/>
      <c r="P71" s="261"/>
      <c r="Q71" s="516"/>
      <c r="R71" s="261"/>
      <c r="S71" s="516"/>
      <c r="T71" s="261"/>
      <c r="U71" s="516"/>
      <c r="V71" s="261"/>
      <c r="W71" s="516"/>
      <c r="X71" s="261"/>
      <c r="Y71" s="516"/>
      <c r="Z71" s="261"/>
      <c r="AA71" s="516"/>
      <c r="AB71" s="516"/>
      <c r="AC71" s="516"/>
      <c r="AD71" s="318"/>
      <c r="AE71" s="1270"/>
      <c r="AF71" s="319"/>
      <c r="AG71" s="2088"/>
      <c r="AH71" s="262"/>
      <c r="AI71" s="318"/>
      <c r="AJ71" s="318"/>
      <c r="AK71" s="2132"/>
      <c r="AL71" s="1336"/>
      <c r="AM71" s="655"/>
      <c r="AN71" s="653"/>
      <c r="AO71" s="645"/>
    </row>
    <row r="72" spans="1:43" ht="15.6">
      <c r="A72" s="223"/>
      <c r="B72" s="223" t="s">
        <v>30</v>
      </c>
      <c r="C72" s="221"/>
      <c r="D72" s="223"/>
      <c r="E72" s="328">
        <v>0</v>
      </c>
      <c r="F72" s="318"/>
      <c r="G72" s="328"/>
      <c r="H72" s="318"/>
      <c r="I72" s="328"/>
      <c r="J72" s="318"/>
      <c r="K72" s="328"/>
      <c r="L72" s="261"/>
      <c r="M72" s="266"/>
      <c r="N72" s="261"/>
      <c r="O72" s="266"/>
      <c r="P72" s="261"/>
      <c r="Q72" s="266"/>
      <c r="R72" s="261"/>
      <c r="S72" s="266"/>
      <c r="T72" s="261"/>
      <c r="U72" s="266"/>
      <c r="V72" s="261"/>
      <c r="W72" s="266"/>
      <c r="X72" s="261"/>
      <c r="Y72" s="516"/>
      <c r="Z72" s="261"/>
      <c r="AA72" s="516"/>
      <c r="AB72" s="516"/>
      <c r="AC72" s="1190">
        <v>0</v>
      </c>
      <c r="AD72" s="318"/>
      <c r="AE72" s="1270"/>
      <c r="AF72" s="319">
        <f t="shared" ref="AF72:AF77" si="5">ROUND(SUM(E72:AC72),1)</f>
        <v>0</v>
      </c>
      <c r="AG72" s="2088"/>
      <c r="AH72" s="262"/>
      <c r="AI72" s="328">
        <v>0</v>
      </c>
      <c r="AJ72" s="318"/>
      <c r="AK72" s="2132"/>
      <c r="AL72" s="319">
        <f t="shared" si="4"/>
        <v>0</v>
      </c>
      <c r="AM72" s="645"/>
      <c r="AN72" s="45">
        <f>ROUND(IF(AI72=0,0,AL72/ABS(AI72)),3)</f>
        <v>0</v>
      </c>
      <c r="AO72" s="645"/>
    </row>
    <row r="73" spans="1:43" ht="15.6">
      <c r="A73" s="223"/>
      <c r="B73" s="223" t="s">
        <v>31</v>
      </c>
      <c r="C73" s="223"/>
      <c r="D73" s="223"/>
      <c r="E73" s="1263">
        <v>2.7</v>
      </c>
      <c r="F73" s="318"/>
      <c r="G73" s="2086"/>
      <c r="H73" s="318"/>
      <c r="I73" s="2086"/>
      <c r="J73" s="318"/>
      <c r="K73" s="2086"/>
      <c r="L73" s="261"/>
      <c r="M73" s="516"/>
      <c r="N73" s="261"/>
      <c r="O73" s="516"/>
      <c r="P73" s="261"/>
      <c r="Q73" s="516"/>
      <c r="R73" s="261"/>
      <c r="S73" s="516"/>
      <c r="T73" s="261"/>
      <c r="U73" s="516"/>
      <c r="V73" s="261"/>
      <c r="W73" s="516"/>
      <c r="X73" s="261"/>
      <c r="Y73" s="516"/>
      <c r="Z73" s="261"/>
      <c r="AA73" s="372"/>
      <c r="AB73" s="372"/>
      <c r="AC73" s="1190">
        <v>0</v>
      </c>
      <c r="AD73" s="318"/>
      <c r="AE73" s="1270"/>
      <c r="AF73" s="319">
        <f t="shared" si="5"/>
        <v>2.7</v>
      </c>
      <c r="AG73" s="2088"/>
      <c r="AH73" s="262"/>
      <c r="AI73" s="318">
        <v>3.6</v>
      </c>
      <c r="AJ73" s="319"/>
      <c r="AK73" s="2089"/>
      <c r="AL73" s="319">
        <f t="shared" si="4"/>
        <v>-0.9</v>
      </c>
      <c r="AM73" s="655"/>
      <c r="AN73" s="45">
        <f>ROUND(IF(AI73=0,0,AL73/ABS(AI73)),3)</f>
        <v>-0.25</v>
      </c>
    </row>
    <row r="74" spans="1:43" ht="15.6">
      <c r="A74" s="223"/>
      <c r="B74" s="223" t="s">
        <v>32</v>
      </c>
      <c r="C74" s="223"/>
      <c r="D74" s="223"/>
      <c r="E74" s="328">
        <v>-1.3</v>
      </c>
      <c r="F74" s="318"/>
      <c r="G74" s="328"/>
      <c r="H74" s="318"/>
      <c r="I74" s="328"/>
      <c r="J74" s="318"/>
      <c r="K74" s="328"/>
      <c r="L74" s="261"/>
      <c r="M74" s="266"/>
      <c r="N74" s="261"/>
      <c r="O74" s="266"/>
      <c r="P74" s="261"/>
      <c r="Q74" s="266"/>
      <c r="R74" s="261"/>
      <c r="S74" s="266"/>
      <c r="T74" s="261"/>
      <c r="U74" s="266"/>
      <c r="V74" s="261"/>
      <c r="W74" s="266"/>
      <c r="X74" s="261"/>
      <c r="Y74" s="516"/>
      <c r="Z74" s="261"/>
      <c r="AA74" s="516"/>
      <c r="AB74" s="516"/>
      <c r="AC74" s="1190">
        <v>0</v>
      </c>
      <c r="AD74" s="318"/>
      <c r="AE74" s="1270"/>
      <c r="AF74" s="319">
        <f>ROUND(SUM(E74:AC74),1)</f>
        <v>-1.3</v>
      </c>
      <c r="AG74" s="2088"/>
      <c r="AH74" s="262"/>
      <c r="AI74" s="328">
        <v>0</v>
      </c>
      <c r="AJ74" s="319"/>
      <c r="AK74" s="2089"/>
      <c r="AL74" s="319">
        <f t="shared" si="4"/>
        <v>-1.3</v>
      </c>
      <c r="AM74" s="655"/>
      <c r="AN74" s="2741">
        <f>-ROUND(IF(AI74=0,1,AL74/ABS(AI74)),3)</f>
        <v>-1</v>
      </c>
      <c r="AO74" s="645"/>
    </row>
    <row r="75" spans="1:43" ht="15.6">
      <c r="A75" s="223"/>
      <c r="B75" s="223" t="s">
        <v>33</v>
      </c>
      <c r="C75" s="223"/>
      <c r="D75" s="223"/>
      <c r="E75" s="328">
        <v>0</v>
      </c>
      <c r="F75" s="318"/>
      <c r="G75" s="2086"/>
      <c r="H75" s="318"/>
      <c r="I75" s="328"/>
      <c r="J75" s="318"/>
      <c r="K75" s="2086"/>
      <c r="L75" s="261"/>
      <c r="M75" s="516"/>
      <c r="N75" s="261"/>
      <c r="O75" s="516"/>
      <c r="P75" s="261"/>
      <c r="Q75" s="266"/>
      <c r="R75" s="261"/>
      <c r="S75" s="266"/>
      <c r="T75" s="261"/>
      <c r="U75" s="266"/>
      <c r="V75" s="261"/>
      <c r="W75" s="516"/>
      <c r="X75" s="261"/>
      <c r="Y75" s="516"/>
      <c r="Z75" s="261"/>
      <c r="AA75" s="516"/>
      <c r="AB75" s="516"/>
      <c r="AC75" s="1190">
        <v>0</v>
      </c>
      <c r="AD75" s="318"/>
      <c r="AE75" s="1270"/>
      <c r="AF75" s="319">
        <f t="shared" si="5"/>
        <v>0</v>
      </c>
      <c r="AG75" s="2088"/>
      <c r="AH75" s="262"/>
      <c r="AI75" s="318">
        <v>0</v>
      </c>
      <c r="AJ75" s="318"/>
      <c r="AK75" s="2132"/>
      <c r="AL75" s="319">
        <f t="shared" si="4"/>
        <v>0</v>
      </c>
      <c r="AM75" s="655"/>
      <c r="AN75" s="45">
        <f>ROUND(IF(AI75=0,0,AL75/ABS(AI75)),3)</f>
        <v>0</v>
      </c>
      <c r="AO75" s="645"/>
    </row>
    <row r="76" spans="1:43" ht="15.6">
      <c r="A76" s="223"/>
      <c r="B76" s="223" t="s">
        <v>34</v>
      </c>
      <c r="C76" s="221"/>
      <c r="D76" s="223"/>
      <c r="E76" s="318">
        <v>2.7</v>
      </c>
      <c r="F76" s="318"/>
      <c r="G76" s="2086"/>
      <c r="H76" s="318"/>
      <c r="I76" s="2086"/>
      <c r="J76" s="318"/>
      <c r="K76" s="2086"/>
      <c r="L76" s="261"/>
      <c r="M76" s="516"/>
      <c r="N76" s="261"/>
      <c r="O76" s="516"/>
      <c r="P76" s="261"/>
      <c r="Q76" s="516"/>
      <c r="R76" s="261"/>
      <c r="S76" s="516"/>
      <c r="T76" s="261"/>
      <c r="U76" s="516"/>
      <c r="V76" s="261"/>
      <c r="W76" s="516"/>
      <c r="X76" s="261"/>
      <c r="Y76" s="516"/>
      <c r="Z76" s="261"/>
      <c r="AA76" s="516"/>
      <c r="AB76" s="516"/>
      <c r="AC76" s="1190">
        <v>0</v>
      </c>
      <c r="AD76" s="318"/>
      <c r="AE76" s="1270"/>
      <c r="AF76" s="319">
        <f t="shared" si="5"/>
        <v>2.7</v>
      </c>
      <c r="AG76" s="2088"/>
      <c r="AH76" s="262"/>
      <c r="AI76" s="318">
        <v>21.2</v>
      </c>
      <c r="AJ76" s="318"/>
      <c r="AK76" s="2132"/>
      <c r="AL76" s="319">
        <f t="shared" si="4"/>
        <v>-18.5</v>
      </c>
      <c r="AM76" s="645"/>
      <c r="AN76" s="3139">
        <f>ROUND(IF(AI76=0,0,AL76/ABS(AI76)),3)</f>
        <v>-0.873</v>
      </c>
      <c r="AO76" s="645"/>
    </row>
    <row r="77" spans="1:43" ht="15.6">
      <c r="A77" s="223"/>
      <c r="B77" s="223" t="s">
        <v>35</v>
      </c>
      <c r="C77" s="223"/>
      <c r="D77" s="223"/>
      <c r="E77" s="2086">
        <v>5.8</v>
      </c>
      <c r="F77" s="318"/>
      <c r="G77" s="2113"/>
      <c r="H77" s="318"/>
      <c r="I77" s="525"/>
      <c r="J77" s="318"/>
      <c r="K77" s="2086"/>
      <c r="L77" s="261"/>
      <c r="M77" s="516"/>
      <c r="N77" s="261"/>
      <c r="O77" s="516"/>
      <c r="P77" s="261"/>
      <c r="Q77" s="516"/>
      <c r="R77" s="261"/>
      <c r="S77" s="516"/>
      <c r="T77" s="261"/>
      <c r="U77" s="516"/>
      <c r="V77" s="261"/>
      <c r="W77" s="280"/>
      <c r="X77" s="261"/>
      <c r="Y77" s="516"/>
      <c r="Z77" s="261"/>
      <c r="AA77" s="280"/>
      <c r="AB77" s="254"/>
      <c r="AC77" s="1190">
        <v>0</v>
      </c>
      <c r="AD77" s="318"/>
      <c r="AE77" s="1270"/>
      <c r="AF77" s="319">
        <f t="shared" si="5"/>
        <v>5.8</v>
      </c>
      <c r="AG77" s="2088"/>
      <c r="AH77" s="262"/>
      <c r="AI77" s="1787">
        <v>4.4000000000000004</v>
      </c>
      <c r="AJ77" s="262"/>
      <c r="AK77" s="2132"/>
      <c r="AL77" s="319">
        <f t="shared" si="4"/>
        <v>1.4</v>
      </c>
      <c r="AM77" s="655"/>
      <c r="AN77" s="45">
        <f>ROUND(IF(AI77=0,0,AL77/ABS(AI77)),3)</f>
        <v>0.318</v>
      </c>
      <c r="AO77" s="645"/>
    </row>
    <row r="78" spans="1:43" ht="15.6">
      <c r="A78" s="223"/>
      <c r="B78" s="221" t="s">
        <v>204</v>
      </c>
      <c r="C78" s="223"/>
      <c r="D78" s="223"/>
      <c r="E78" s="2114">
        <f>ROUND(SUM(E68:E77),1)</f>
        <v>71.5</v>
      </c>
      <c r="F78" s="312"/>
      <c r="G78" s="2114">
        <f>ROUND(SUM(G68:G77),1)</f>
        <v>0</v>
      </c>
      <c r="H78" s="312"/>
      <c r="I78" s="2114">
        <f>ROUND(SUM(I68:I77),1)</f>
        <v>0</v>
      </c>
      <c r="J78" s="315"/>
      <c r="K78" s="2114">
        <f>ROUND(SUM(K68:K77),1)</f>
        <v>0</v>
      </c>
      <c r="L78" s="257"/>
      <c r="M78" s="544">
        <f>ROUND(SUM(M68:M77),1)</f>
        <v>0</v>
      </c>
      <c r="N78" s="273"/>
      <c r="O78" s="544">
        <f>ROUND(SUM(O68:O77),1)</f>
        <v>0</v>
      </c>
      <c r="P78" s="257"/>
      <c r="Q78" s="544">
        <f>ROUND(SUM(Q68:Q77),1)</f>
        <v>0</v>
      </c>
      <c r="R78" s="257"/>
      <c r="S78" s="544">
        <f>ROUND(SUM(S68:S77),1)</f>
        <v>0</v>
      </c>
      <c r="T78" s="257"/>
      <c r="U78" s="544">
        <f>ROUND(SUM(U68:U77),1)</f>
        <v>0</v>
      </c>
      <c r="V78" s="257"/>
      <c r="W78" s="544">
        <f>ROUND(SUM(W68:W77),1)</f>
        <v>0</v>
      </c>
      <c r="X78" s="257"/>
      <c r="Y78" s="544">
        <f>ROUND(SUM(Y68:Y77),1)</f>
        <v>0</v>
      </c>
      <c r="Z78" s="257"/>
      <c r="AA78" s="544">
        <f>ROUND(SUM(AA68:AA77),1)</f>
        <v>0</v>
      </c>
      <c r="AB78" s="273"/>
      <c r="AC78" s="544">
        <f>ROUND(SUM(AC68:AC77),1)</f>
        <v>0</v>
      </c>
      <c r="AD78" s="312"/>
      <c r="AE78" s="1271"/>
      <c r="AF78" s="2114">
        <f>ROUND(SUM(AF68:AF77),1)</f>
        <v>71.5</v>
      </c>
      <c r="AG78" s="2093"/>
      <c r="AH78" s="315"/>
      <c r="AI78" s="2114">
        <f>ROUND(SUM(AI68:AI77),1)</f>
        <v>41.1</v>
      </c>
      <c r="AJ78" s="315"/>
      <c r="AK78" s="2132"/>
      <c r="AL78" s="2114">
        <f>ROUND(SUM(AL68:AL77),1)</f>
        <v>30.4</v>
      </c>
      <c r="AM78" s="663"/>
      <c r="AN78" s="72">
        <f>ROUND(IF(AI78=0,0,AL78/ABS(AI78)),3)</f>
        <v>0.74</v>
      </c>
      <c r="AQ78" s="369"/>
    </row>
    <row r="79" spans="1:43" ht="15.6">
      <c r="A79" s="223"/>
      <c r="B79" s="223" t="s">
        <v>205</v>
      </c>
      <c r="C79" s="223"/>
      <c r="D79" s="223"/>
      <c r="E79" s="318"/>
      <c r="F79" s="318"/>
      <c r="G79" s="318"/>
      <c r="H79" s="318"/>
      <c r="I79" s="318"/>
      <c r="J79" s="318"/>
      <c r="K79" s="318"/>
      <c r="L79" s="261"/>
      <c r="M79" s="261"/>
      <c r="N79" s="261"/>
      <c r="O79" s="261"/>
      <c r="P79" s="261"/>
      <c r="Q79" s="261"/>
      <c r="R79" s="261"/>
      <c r="S79" s="261"/>
      <c r="T79" s="261"/>
      <c r="U79" s="261"/>
      <c r="V79" s="261"/>
      <c r="W79" s="261"/>
      <c r="X79" s="261"/>
      <c r="Y79" s="261"/>
      <c r="Z79" s="261"/>
      <c r="AA79" s="261"/>
      <c r="AB79" s="261"/>
      <c r="AC79" s="261"/>
      <c r="AD79" s="318"/>
      <c r="AE79" s="1270"/>
      <c r="AF79" s="318"/>
      <c r="AG79" s="2088"/>
      <c r="AH79" s="262"/>
      <c r="AI79" s="318"/>
      <c r="AJ79" s="318"/>
      <c r="AK79" s="2132"/>
      <c r="AL79" s="687"/>
      <c r="AM79" s="645"/>
      <c r="AN79" s="653"/>
    </row>
    <row r="80" spans="1:43" ht="15.6">
      <c r="A80" s="223"/>
      <c r="B80" s="223" t="s">
        <v>206</v>
      </c>
      <c r="C80" s="223"/>
      <c r="D80" s="223"/>
      <c r="E80" s="686">
        <v>0</v>
      </c>
      <c r="F80" s="318"/>
      <c r="G80" s="686"/>
      <c r="H80" s="318"/>
      <c r="I80" s="686"/>
      <c r="J80" s="318"/>
      <c r="K80" s="686"/>
      <c r="L80" s="261"/>
      <c r="M80" s="372"/>
      <c r="N80" s="261"/>
      <c r="O80" s="372"/>
      <c r="P80" s="261"/>
      <c r="Q80" s="372"/>
      <c r="R80" s="261"/>
      <c r="S80" s="372"/>
      <c r="T80" s="261"/>
      <c r="U80" s="372"/>
      <c r="V80" s="261"/>
      <c r="W80" s="372"/>
      <c r="X80" s="261"/>
      <c r="Y80" s="372"/>
      <c r="Z80" s="261"/>
      <c r="AA80" s="372"/>
      <c r="AB80" s="372"/>
      <c r="AC80" s="1190">
        <v>0</v>
      </c>
      <c r="AD80" s="318"/>
      <c r="AE80" s="1270"/>
      <c r="AF80" s="319">
        <f>ROUND(SUM(E80:AC80),1)</f>
        <v>0</v>
      </c>
      <c r="AG80" s="2088"/>
      <c r="AH80" s="262"/>
      <c r="AI80" s="686">
        <v>0</v>
      </c>
      <c r="AJ80" s="328"/>
      <c r="AK80" s="2140"/>
      <c r="AL80" s="319">
        <f>ROUND(AF80-AI80,1)</f>
        <v>0</v>
      </c>
      <c r="AM80" s="645"/>
      <c r="AN80" s="45">
        <f>ROUND(IF(AI80=0,0,AL80/ABS(AI80)),3)</f>
        <v>0</v>
      </c>
    </row>
    <row r="81" spans="1:43" ht="15.6">
      <c r="A81" s="223"/>
      <c r="B81" s="223" t="s">
        <v>207</v>
      </c>
      <c r="C81" s="223"/>
      <c r="D81" s="223"/>
      <c r="E81" s="686">
        <v>0</v>
      </c>
      <c r="F81" s="318"/>
      <c r="G81" s="686"/>
      <c r="H81" s="318"/>
      <c r="I81" s="686"/>
      <c r="J81" s="318"/>
      <c r="K81" s="686"/>
      <c r="L81" s="261"/>
      <c r="M81" s="372"/>
      <c r="N81" s="261"/>
      <c r="O81" s="372"/>
      <c r="P81" s="261"/>
      <c r="Q81" s="372"/>
      <c r="R81" s="261"/>
      <c r="S81" s="372"/>
      <c r="T81" s="261"/>
      <c r="U81" s="372"/>
      <c r="V81" s="261"/>
      <c r="W81" s="372"/>
      <c r="X81" s="261"/>
      <c r="Y81" s="372"/>
      <c r="Z81" s="261"/>
      <c r="AA81" s="372"/>
      <c r="AB81" s="372"/>
      <c r="AC81" s="1190">
        <v>0</v>
      </c>
      <c r="AD81" s="318"/>
      <c r="AE81" s="1270"/>
      <c r="AF81" s="319">
        <f>ROUND(SUM(E81:AC81),1)</f>
        <v>0</v>
      </c>
      <c r="AG81" s="2088"/>
      <c r="AH81" s="262"/>
      <c r="AI81" s="686">
        <v>0</v>
      </c>
      <c r="AJ81" s="328"/>
      <c r="AK81" s="2140"/>
      <c r="AL81" s="319">
        <f>ROUND(AF81-AI81,1)</f>
        <v>0</v>
      </c>
      <c r="AM81" s="645"/>
      <c r="AN81" s="45">
        <f>ROUND(IF(AI81=0,0,AL81/ABS(AI81)),3)</f>
        <v>0</v>
      </c>
    </row>
    <row r="82" spans="1:43" ht="15.6">
      <c r="A82" s="223"/>
      <c r="B82" s="223" t="s">
        <v>208</v>
      </c>
      <c r="C82" s="223"/>
      <c r="D82" s="223"/>
      <c r="E82" s="686">
        <v>0</v>
      </c>
      <c r="F82" s="318"/>
      <c r="G82" s="686"/>
      <c r="H82" s="318"/>
      <c r="I82" s="686"/>
      <c r="J82" s="318"/>
      <c r="K82" s="686"/>
      <c r="L82" s="261"/>
      <c r="M82" s="372"/>
      <c r="N82" s="261"/>
      <c r="O82" s="372"/>
      <c r="P82" s="261"/>
      <c r="Q82" s="372"/>
      <c r="R82" s="261"/>
      <c r="S82" s="372"/>
      <c r="T82" s="261"/>
      <c r="U82" s="372"/>
      <c r="V82" s="261"/>
      <c r="W82" s="372"/>
      <c r="X82" s="261"/>
      <c r="Y82" s="372"/>
      <c r="Z82" s="666"/>
      <c r="AA82" s="372"/>
      <c r="AB82" s="372"/>
      <c r="AC82" s="1190">
        <v>0</v>
      </c>
      <c r="AD82" s="2141"/>
      <c r="AE82" s="2142"/>
      <c r="AF82" s="319">
        <f>ROUND(SUM(E82:AC82),1)</f>
        <v>0</v>
      </c>
      <c r="AG82" s="2088"/>
      <c r="AH82" s="262"/>
      <c r="AI82" s="686">
        <v>0</v>
      </c>
      <c r="AJ82" s="328"/>
      <c r="AK82" s="2140"/>
      <c r="AL82" s="319">
        <f>ROUND(AF82-AI82,1)</f>
        <v>0</v>
      </c>
      <c r="AM82" s="645"/>
      <c r="AN82" s="45">
        <f>ROUND(IF(AI82=0,0,AL82/ABS(AI82)),3)</f>
        <v>0</v>
      </c>
    </row>
    <row r="83" spans="1:43" ht="15.6">
      <c r="A83" s="223"/>
      <c r="B83" s="247" t="s">
        <v>179</v>
      </c>
      <c r="C83" s="223"/>
      <c r="D83" s="223"/>
      <c r="E83" s="319">
        <v>257.60000000000002</v>
      </c>
      <c r="F83" s="318"/>
      <c r="G83" s="525"/>
      <c r="H83" s="318"/>
      <c r="I83" s="525"/>
      <c r="J83" s="318"/>
      <c r="K83" s="2113"/>
      <c r="L83" s="261"/>
      <c r="M83" s="280"/>
      <c r="N83" s="261"/>
      <c r="O83" s="280"/>
      <c r="P83" s="261"/>
      <c r="Q83" s="280"/>
      <c r="R83" s="261"/>
      <c r="S83" s="280"/>
      <c r="T83" s="261"/>
      <c r="U83" s="280"/>
      <c r="V83" s="261"/>
      <c r="W83" s="280"/>
      <c r="X83" s="261"/>
      <c r="Y83" s="372"/>
      <c r="Z83" s="261"/>
      <c r="AA83" s="280"/>
      <c r="AB83" s="254"/>
      <c r="AC83" s="1190">
        <v>0</v>
      </c>
      <c r="AD83" s="318"/>
      <c r="AE83" s="1270"/>
      <c r="AF83" s="319">
        <f>ROUND(SUM(E83:AC83),1)</f>
        <v>257.60000000000002</v>
      </c>
      <c r="AG83" s="2088"/>
      <c r="AH83" s="262"/>
      <c r="AI83" s="1814">
        <v>212.3</v>
      </c>
      <c r="AJ83" s="267"/>
      <c r="AK83" s="2089"/>
      <c r="AL83" s="2143">
        <f>ROUND(AF83-AI83,1)</f>
        <v>45.3</v>
      </c>
      <c r="AM83" s="645"/>
      <c r="AN83" s="1801">
        <f>ROUND(IF(AI83=0,0,AL83/ABS(AI83)),3)</f>
        <v>0.21299999999999999</v>
      </c>
    </row>
    <row r="84" spans="1:43" ht="15.6">
      <c r="A84" s="223"/>
      <c r="B84" s="223"/>
      <c r="C84" s="223"/>
      <c r="D84" s="223"/>
      <c r="E84" s="327"/>
      <c r="F84" s="318"/>
      <c r="G84" s="327"/>
      <c r="H84" s="318"/>
      <c r="I84" s="327"/>
      <c r="J84" s="318"/>
      <c r="K84" s="327"/>
      <c r="L84" s="261"/>
      <c r="M84" s="288"/>
      <c r="N84" s="261"/>
      <c r="O84" s="288"/>
      <c r="P84" s="261"/>
      <c r="Q84" s="288"/>
      <c r="R84" s="261"/>
      <c r="S84" s="288"/>
      <c r="T84" s="261"/>
      <c r="U84" s="288"/>
      <c r="V84" s="261"/>
      <c r="W84" s="288"/>
      <c r="X84" s="261"/>
      <c r="Y84" s="288"/>
      <c r="Z84" s="261"/>
      <c r="AA84" s="288"/>
      <c r="AB84" s="249"/>
      <c r="AC84" s="288"/>
      <c r="AD84" s="318"/>
      <c r="AE84" s="1270"/>
      <c r="AF84" s="327"/>
      <c r="AG84" s="2088"/>
      <c r="AH84" s="262"/>
      <c r="AI84" s="687"/>
      <c r="AJ84" s="687"/>
      <c r="AK84" s="2144"/>
      <c r="AL84" s="687"/>
      <c r="AM84" s="645"/>
      <c r="AN84" s="653"/>
    </row>
    <row r="85" spans="1:43" ht="15.6">
      <c r="A85" s="223"/>
      <c r="B85" s="221" t="s">
        <v>209</v>
      </c>
      <c r="C85" s="223"/>
      <c r="D85" s="223"/>
      <c r="E85" s="312">
        <f>ROUND(SUM(E78:E83),1)</f>
        <v>329.1</v>
      </c>
      <c r="F85" s="312"/>
      <c r="G85" s="312">
        <f>ROUND(SUM(G78:G83),1)</f>
        <v>0</v>
      </c>
      <c r="H85" s="312"/>
      <c r="I85" s="312">
        <f>ROUND(SUM(I78:I83),1)</f>
        <v>0</v>
      </c>
      <c r="J85" s="312"/>
      <c r="K85" s="312">
        <f>ROUND(SUM(K78:K83),1)</f>
        <v>0</v>
      </c>
      <c r="L85" s="257"/>
      <c r="M85" s="257">
        <f>ROUND(SUM(M78:M83),1)</f>
        <v>0</v>
      </c>
      <c r="N85" s="257"/>
      <c r="O85" s="257">
        <f>ROUND(SUM(O78:O83),1)</f>
        <v>0</v>
      </c>
      <c r="P85" s="257"/>
      <c r="Q85" s="257">
        <f>ROUND(SUM(Q78:Q83),1)</f>
        <v>0</v>
      </c>
      <c r="R85" s="257"/>
      <c r="S85" s="257">
        <f>ROUND(SUM(S78:S83),1)</f>
        <v>0</v>
      </c>
      <c r="T85" s="257"/>
      <c r="U85" s="1838">
        <f>ROUND(SUM(U78:U83),1)</f>
        <v>0</v>
      </c>
      <c r="V85" s="257"/>
      <c r="W85" s="257">
        <f>ROUND(SUM(W78:W83),1)</f>
        <v>0</v>
      </c>
      <c r="X85" s="257"/>
      <c r="Y85" s="257">
        <f>ROUND(SUM(Y78:Y83),1)</f>
        <v>0</v>
      </c>
      <c r="Z85" s="257"/>
      <c r="AA85" s="257">
        <f>ROUND(SUM(AA78:AA83),1)</f>
        <v>0</v>
      </c>
      <c r="AB85" s="1838"/>
      <c r="AC85" s="1838">
        <f>ROUND(SUM(AC78:AC83),1)</f>
        <v>0</v>
      </c>
      <c r="AD85" s="312"/>
      <c r="AE85" s="1271"/>
      <c r="AF85" s="312">
        <f>ROUND(SUM(AF78:AF83),1)</f>
        <v>329.1</v>
      </c>
      <c r="AG85" s="2093"/>
      <c r="AH85" s="315"/>
      <c r="AI85" s="312">
        <f>ROUND(SUM(AI78:AI83),1)</f>
        <v>253.4</v>
      </c>
      <c r="AJ85" s="315"/>
      <c r="AK85" s="2132"/>
      <c r="AL85" s="313">
        <f>ROUND(AF85-AI85,1)</f>
        <v>75.7</v>
      </c>
      <c r="AM85" s="663"/>
      <c r="AN85" s="1913">
        <f>ROUND(IF(AI85=0,0,AL85/ABS(AI85)),3)</f>
        <v>0.29899999999999999</v>
      </c>
      <c r="AO85" s="650"/>
      <c r="AP85" s="650"/>
      <c r="AQ85" s="650"/>
    </row>
    <row r="86" spans="1:43" ht="15.6">
      <c r="A86" s="223"/>
      <c r="B86" s="223"/>
      <c r="C86" s="223"/>
      <c r="D86" s="223"/>
      <c r="E86" s="327"/>
      <c r="F86" s="318"/>
      <c r="G86" s="327"/>
      <c r="H86" s="318"/>
      <c r="I86" s="327"/>
      <c r="J86" s="318"/>
      <c r="K86" s="327"/>
      <c r="L86" s="261"/>
      <c r="M86" s="288"/>
      <c r="N86" s="261"/>
      <c r="O86" s="288"/>
      <c r="P86" s="261"/>
      <c r="Q86" s="288"/>
      <c r="R86" s="261"/>
      <c r="S86" s="288"/>
      <c r="T86" s="261"/>
      <c r="U86" s="288"/>
      <c r="V86" s="261"/>
      <c r="W86" s="288"/>
      <c r="X86" s="261"/>
      <c r="Y86" s="288"/>
      <c r="Z86" s="261"/>
      <c r="AA86" s="288"/>
      <c r="AB86" s="249"/>
      <c r="AC86" s="288"/>
      <c r="AD86" s="318"/>
      <c r="AE86" s="1270"/>
      <c r="AF86" s="327"/>
      <c r="AG86" s="2088"/>
      <c r="AH86" s="262"/>
      <c r="AI86" s="327"/>
      <c r="AJ86" s="262"/>
      <c r="AK86" s="2132"/>
      <c r="AL86" s="687"/>
      <c r="AM86" s="645"/>
      <c r="AN86" s="653"/>
    </row>
    <row r="87" spans="1:43" ht="15.6">
      <c r="A87" s="223"/>
      <c r="B87" s="221" t="s">
        <v>210</v>
      </c>
      <c r="C87" s="223"/>
      <c r="D87" s="223"/>
      <c r="E87" s="318"/>
      <c r="F87" s="318"/>
      <c r="G87" s="318"/>
      <c r="H87" s="318"/>
      <c r="I87" s="318"/>
      <c r="J87" s="318"/>
      <c r="K87" s="318"/>
      <c r="L87" s="261"/>
      <c r="M87" s="261"/>
      <c r="N87" s="261"/>
      <c r="O87" s="261"/>
      <c r="P87" s="261"/>
      <c r="Q87" s="261"/>
      <c r="R87" s="261"/>
      <c r="S87" s="261"/>
      <c r="T87" s="261"/>
      <c r="U87" s="261"/>
      <c r="V87" s="261"/>
      <c r="W87" s="261"/>
      <c r="X87" s="261"/>
      <c r="Y87" s="261"/>
      <c r="Z87" s="261"/>
      <c r="AA87" s="261"/>
      <c r="AB87" s="261"/>
      <c r="AC87" s="261"/>
      <c r="AD87" s="318"/>
      <c r="AE87" s="1270"/>
      <c r="AF87" s="687"/>
      <c r="AG87" s="2088"/>
      <c r="AH87" s="262"/>
      <c r="AI87" s="687"/>
      <c r="AJ87" s="687"/>
      <c r="AK87" s="2144"/>
      <c r="AL87" s="687"/>
      <c r="AM87" s="645"/>
      <c r="AN87" s="653"/>
    </row>
    <row r="88" spans="1:43" ht="15.6">
      <c r="A88" s="223"/>
      <c r="B88" s="221" t="s">
        <v>211</v>
      </c>
      <c r="C88" s="223"/>
      <c r="D88" s="223"/>
      <c r="E88" s="312">
        <f>ROUND(SUM(E64-E85),1)</f>
        <v>-152.19999999999999</v>
      </c>
      <c r="F88" s="312"/>
      <c r="G88" s="312">
        <f>ROUND(SUM(G64-G85),1)</f>
        <v>0</v>
      </c>
      <c r="H88" s="312"/>
      <c r="I88" s="312">
        <f>ROUND(SUM(I64-I85),1)</f>
        <v>0</v>
      </c>
      <c r="J88" s="312"/>
      <c r="K88" s="312">
        <f>ROUND(SUM(K64-K85),1)</f>
        <v>0</v>
      </c>
      <c r="L88" s="257"/>
      <c r="M88" s="257">
        <f>ROUND(SUM(M64-M85),1)</f>
        <v>0</v>
      </c>
      <c r="N88" s="257"/>
      <c r="O88" s="257">
        <f>ROUND(SUM(O64-O85),1)</f>
        <v>0</v>
      </c>
      <c r="P88" s="257"/>
      <c r="Q88" s="257">
        <f>ROUND(SUM(Q64-Q85),1)</f>
        <v>0</v>
      </c>
      <c r="R88" s="257"/>
      <c r="S88" s="257">
        <f>ROUND(SUM(S64-S85),1)</f>
        <v>0</v>
      </c>
      <c r="T88" s="257"/>
      <c r="U88" s="1838">
        <f>ROUND(SUM(U64-U85),1)</f>
        <v>0</v>
      </c>
      <c r="V88" s="257"/>
      <c r="W88" s="257">
        <f>ROUND(SUM(W64-W85),1)</f>
        <v>0</v>
      </c>
      <c r="X88" s="257"/>
      <c r="Y88" s="257">
        <f>ROUND(SUM(Y64-Y85),1)</f>
        <v>0</v>
      </c>
      <c r="Z88" s="257"/>
      <c r="AA88" s="257">
        <f>ROUND(SUM(AA64-AA85),1)</f>
        <v>0</v>
      </c>
      <c r="AB88" s="1838"/>
      <c r="AC88" s="1838">
        <f>ROUND(SUM(AC64-AC85),1)</f>
        <v>0</v>
      </c>
      <c r="AD88" s="312"/>
      <c r="AE88" s="1271"/>
      <c r="AF88" s="312">
        <f>ROUND(SUM(AF64-AF85),1)</f>
        <v>-152.19999999999999</v>
      </c>
      <c r="AG88" s="2093"/>
      <c r="AH88" s="315"/>
      <c r="AI88" s="312">
        <f>ROUND(SUM(AI64-AI85),1)</f>
        <v>-69.7</v>
      </c>
      <c r="AJ88" s="315"/>
      <c r="AK88" s="2132"/>
      <c r="AL88" s="313">
        <f>ROUND(AF88-AI88,1)</f>
        <v>-82.5</v>
      </c>
      <c r="AM88" s="663"/>
      <c r="AN88" s="2777">
        <f>ROUND(IF(AI88=0,0,AL88/ABS(AI88)),3)</f>
        <v>-1.1839999999999999</v>
      </c>
      <c r="AO88" s="650"/>
      <c r="AP88" s="660"/>
    </row>
    <row r="89" spans="1:43" ht="15.6">
      <c r="A89" s="223"/>
      <c r="B89" s="223"/>
      <c r="C89" s="223"/>
      <c r="D89" s="223"/>
      <c r="E89" s="327"/>
      <c r="F89" s="318"/>
      <c r="G89" s="327"/>
      <c r="H89" s="318"/>
      <c r="I89" s="327"/>
      <c r="J89" s="318"/>
      <c r="K89" s="327"/>
      <c r="L89" s="261"/>
      <c r="M89" s="288"/>
      <c r="N89" s="261"/>
      <c r="O89" s="288"/>
      <c r="P89" s="261"/>
      <c r="Q89" s="288"/>
      <c r="R89" s="261"/>
      <c r="S89" s="288"/>
      <c r="T89" s="261"/>
      <c r="U89" s="288"/>
      <c r="V89" s="261"/>
      <c r="W89" s="288"/>
      <c r="X89" s="261"/>
      <c r="Y89" s="288"/>
      <c r="Z89" s="261"/>
      <c r="AA89" s="288"/>
      <c r="AB89" s="249"/>
      <c r="AC89" s="288"/>
      <c r="AD89" s="318"/>
      <c r="AE89" s="1270"/>
      <c r="AF89" s="327"/>
      <c r="AG89" s="2088"/>
      <c r="AH89" s="262"/>
      <c r="AI89" s="327"/>
      <c r="AJ89" s="262"/>
      <c r="AK89" s="2132"/>
      <c r="AL89" s="687"/>
      <c r="AM89" s="645"/>
      <c r="AN89" s="653"/>
    </row>
    <row r="90" spans="1:43" ht="15.6">
      <c r="A90" s="223"/>
      <c r="B90" s="221" t="s">
        <v>212</v>
      </c>
      <c r="C90" s="223"/>
      <c r="D90" s="223"/>
      <c r="E90" s="318"/>
      <c r="F90" s="318"/>
      <c r="G90" s="318"/>
      <c r="H90" s="318"/>
      <c r="I90" s="318"/>
      <c r="J90" s="318"/>
      <c r="K90" s="318"/>
      <c r="L90" s="261"/>
      <c r="M90" s="261"/>
      <c r="N90" s="261"/>
      <c r="O90" s="261"/>
      <c r="P90" s="261"/>
      <c r="Q90" s="261"/>
      <c r="R90" s="261"/>
      <c r="S90" s="261"/>
      <c r="T90" s="261"/>
      <c r="U90" s="261"/>
      <c r="V90" s="261"/>
      <c r="W90" s="261"/>
      <c r="X90" s="261"/>
      <c r="Y90" s="261"/>
      <c r="Z90" s="261"/>
      <c r="AA90" s="261"/>
      <c r="AB90" s="261"/>
      <c r="AC90" s="261"/>
      <c r="AD90" s="318"/>
      <c r="AE90" s="1270"/>
      <c r="AF90" s="318"/>
      <c r="AG90" s="2088"/>
      <c r="AH90" s="262"/>
      <c r="AI90" s="328"/>
      <c r="AJ90" s="328"/>
      <c r="AK90" s="2140"/>
      <c r="AL90" s="687"/>
      <c r="AM90" s="645"/>
      <c r="AN90" s="653"/>
    </row>
    <row r="91" spans="1:43" ht="15.6">
      <c r="A91" s="223"/>
      <c r="B91" s="223" t="s">
        <v>213</v>
      </c>
      <c r="C91" s="223"/>
      <c r="D91" s="223"/>
      <c r="E91" s="686">
        <v>0</v>
      </c>
      <c r="F91" s="318"/>
      <c r="G91" s="686"/>
      <c r="H91" s="318"/>
      <c r="I91" s="686"/>
      <c r="J91" s="318"/>
      <c r="K91" s="686"/>
      <c r="L91" s="261"/>
      <c r="M91" s="372"/>
      <c r="N91" s="372"/>
      <c r="O91" s="372"/>
      <c r="P91" s="261"/>
      <c r="Q91" s="372"/>
      <c r="R91" s="261"/>
      <c r="S91" s="372"/>
      <c r="T91" s="261"/>
      <c r="U91" s="372"/>
      <c r="V91" s="261"/>
      <c r="W91" s="372"/>
      <c r="X91" s="261"/>
      <c r="Y91" s="372"/>
      <c r="Z91" s="261"/>
      <c r="AA91" s="515"/>
      <c r="AB91" s="515"/>
      <c r="AC91" s="515">
        <v>0</v>
      </c>
      <c r="AD91" s="318"/>
      <c r="AE91" s="1270"/>
      <c r="AF91" s="319">
        <f>ROUND(SUM(E91:AC91),1)</f>
        <v>0</v>
      </c>
      <c r="AG91" s="2088"/>
      <c r="AH91" s="262"/>
      <c r="AI91" s="328">
        <v>0</v>
      </c>
      <c r="AJ91" s="328"/>
      <c r="AK91" s="2140"/>
      <c r="AL91" s="319">
        <f>ROUND(AF91-AI91,1)</f>
        <v>0</v>
      </c>
      <c r="AM91" s="655"/>
      <c r="AN91" s="2741">
        <f>ROUND(IF(AI91=0,0,AL91/ABS(AI91)),3)</f>
        <v>0</v>
      </c>
    </row>
    <row r="92" spans="1:43" ht="15.6">
      <c r="A92" s="223"/>
      <c r="B92" s="247" t="s">
        <v>180</v>
      </c>
      <c r="C92" s="223"/>
      <c r="D92" s="223"/>
      <c r="E92" s="2086">
        <v>162.19999999999999</v>
      </c>
      <c r="F92" s="318"/>
      <c r="G92" s="2086"/>
      <c r="H92" s="318"/>
      <c r="I92" s="2086"/>
      <c r="J92" s="318"/>
      <c r="K92" s="2086"/>
      <c r="L92" s="261"/>
      <c r="M92" s="516"/>
      <c r="N92" s="261"/>
      <c r="O92" s="516"/>
      <c r="P92" s="261"/>
      <c r="Q92" s="516"/>
      <c r="R92" s="261"/>
      <c r="S92" s="516"/>
      <c r="T92" s="261"/>
      <c r="U92" s="516"/>
      <c r="V92" s="261"/>
      <c r="W92" s="516"/>
      <c r="X92" s="261"/>
      <c r="Y92" s="372"/>
      <c r="Z92" s="261"/>
      <c r="AA92" s="516"/>
      <c r="AB92" s="516"/>
      <c r="AC92" s="516">
        <v>0</v>
      </c>
      <c r="AD92" s="318"/>
      <c r="AE92" s="1270"/>
      <c r="AF92" s="319">
        <f>ROUND(SUM(E92:AC92),1)</f>
        <v>162.19999999999999</v>
      </c>
      <c r="AG92" s="2088"/>
      <c r="AH92" s="262"/>
      <c r="AI92" s="318">
        <v>77.8</v>
      </c>
      <c r="AJ92" s="319"/>
      <c r="AK92" s="2089"/>
      <c r="AL92" s="319">
        <f>ROUND(AF92-AI92,1)</f>
        <v>84.4</v>
      </c>
      <c r="AM92" s="645"/>
      <c r="AN92" s="45">
        <f>ROUND(IF(AI92=0,0,AL92/ABS(AI92)),3)</f>
        <v>1.085</v>
      </c>
      <c r="AO92" s="645"/>
    </row>
    <row r="93" spans="1:43" ht="15.6">
      <c r="A93" s="223"/>
      <c r="B93" s="247" t="s">
        <v>214</v>
      </c>
      <c r="C93" s="223"/>
      <c r="D93" s="223"/>
      <c r="E93" s="2086">
        <v>-25.5</v>
      </c>
      <c r="F93" s="318"/>
      <c r="G93" s="318"/>
      <c r="H93" s="318"/>
      <c r="I93" s="2086"/>
      <c r="J93" s="318"/>
      <c r="K93" s="2086"/>
      <c r="L93" s="261"/>
      <c r="M93" s="516"/>
      <c r="N93" s="261"/>
      <c r="O93" s="516"/>
      <c r="P93" s="261"/>
      <c r="Q93" s="516"/>
      <c r="R93" s="261"/>
      <c r="S93" s="516"/>
      <c r="T93" s="261"/>
      <c r="U93" s="516"/>
      <c r="V93" s="261"/>
      <c r="W93" s="516"/>
      <c r="X93" s="261"/>
      <c r="Y93" s="372"/>
      <c r="Z93" s="261"/>
      <c r="AA93" s="516"/>
      <c r="AB93" s="516"/>
      <c r="AC93" s="1190">
        <v>0</v>
      </c>
      <c r="AD93" s="318"/>
      <c r="AE93" s="1270"/>
      <c r="AF93" s="319">
        <f>ROUND(SUM(E93:AC93),1)</f>
        <v>-25.5</v>
      </c>
      <c r="AG93" s="2088"/>
      <c r="AH93" s="262"/>
      <c r="AI93" s="2565">
        <v>-74.7</v>
      </c>
      <c r="AJ93" s="262"/>
      <c r="AK93" s="2132"/>
      <c r="AL93" s="2143">
        <f>ROUND(-AF93+AI93,1)</f>
        <v>-49.2</v>
      </c>
      <c r="AM93" s="645"/>
      <c r="AN93" s="1801">
        <f>ROUND(IF(AI93=0,0,AL93/ABS(AI93)),3)</f>
        <v>-0.65900000000000003</v>
      </c>
      <c r="AO93" s="645"/>
    </row>
    <row r="94" spans="1:43" ht="15.6">
      <c r="A94" s="223"/>
      <c r="B94" s="223"/>
      <c r="C94" s="223"/>
      <c r="D94" s="223"/>
      <c r="E94" s="327"/>
      <c r="F94" s="318"/>
      <c r="G94" s="327"/>
      <c r="H94" s="318"/>
      <c r="I94" s="327"/>
      <c r="J94" s="318"/>
      <c r="K94" s="327"/>
      <c r="L94" s="261"/>
      <c r="M94" s="288"/>
      <c r="N94" s="261"/>
      <c r="O94" s="288"/>
      <c r="P94" s="261"/>
      <c r="Q94" s="288"/>
      <c r="R94" s="261"/>
      <c r="S94" s="288"/>
      <c r="T94" s="261"/>
      <c r="U94" s="288"/>
      <c r="V94" s="261"/>
      <c r="W94" s="288"/>
      <c r="X94" s="261"/>
      <c r="Y94" s="288"/>
      <c r="Z94" s="261"/>
      <c r="AA94" s="288"/>
      <c r="AB94" s="249"/>
      <c r="AC94" s="288"/>
      <c r="AD94" s="318"/>
      <c r="AE94" s="1270"/>
      <c r="AF94" s="327"/>
      <c r="AG94" s="2088"/>
      <c r="AH94" s="262"/>
      <c r="AI94" s="687"/>
      <c r="AJ94" s="687"/>
      <c r="AK94" s="2144"/>
      <c r="AL94" s="687"/>
      <c r="AM94" s="645"/>
      <c r="AN94" s="653"/>
    </row>
    <row r="95" spans="1:43" ht="15.6">
      <c r="A95" s="223"/>
      <c r="B95" s="221" t="s">
        <v>1368</v>
      </c>
      <c r="C95" s="223"/>
      <c r="D95" s="223"/>
      <c r="E95" s="312">
        <f>ROUND(SUM(E91:E93),1)</f>
        <v>136.69999999999999</v>
      </c>
      <c r="F95" s="312"/>
      <c r="G95" s="312">
        <f>ROUND(SUM(G91:G93),1)</f>
        <v>0</v>
      </c>
      <c r="H95" s="312"/>
      <c r="I95" s="312">
        <f>ROUND(SUM(I91:I93),1)</f>
        <v>0</v>
      </c>
      <c r="J95" s="312"/>
      <c r="K95" s="312">
        <f>ROUND(SUM(K91:K93),1)</f>
        <v>0</v>
      </c>
      <c r="L95" s="257"/>
      <c r="M95" s="257">
        <f>ROUND(SUM(M91:M93),1)</f>
        <v>0</v>
      </c>
      <c r="N95" s="257"/>
      <c r="O95" s="257">
        <f>ROUND(SUM(O91:O93),1)</f>
        <v>0</v>
      </c>
      <c r="P95" s="257"/>
      <c r="Q95" s="257">
        <f>ROUND(SUM(Q91:Q93),1)</f>
        <v>0</v>
      </c>
      <c r="R95" s="257"/>
      <c r="S95" s="257">
        <f>ROUND(SUM(S91:S93),1)</f>
        <v>0</v>
      </c>
      <c r="T95" s="257"/>
      <c r="U95" s="1838">
        <f>ROUND(SUM(U91:U93),1)</f>
        <v>0</v>
      </c>
      <c r="V95" s="257"/>
      <c r="W95" s="257">
        <f>ROUND(SUM(W91:W93),1)</f>
        <v>0</v>
      </c>
      <c r="X95" s="257"/>
      <c r="Y95" s="257">
        <f>ROUND(SUM(Y91:Y93),1)</f>
        <v>0</v>
      </c>
      <c r="Z95" s="257"/>
      <c r="AA95" s="257">
        <f>ROUND(SUM(AA91:AA93),1)</f>
        <v>0</v>
      </c>
      <c r="AB95" s="1838"/>
      <c r="AC95" s="1838">
        <f>ROUND(SUM(AC91:AC93),1)</f>
        <v>0</v>
      </c>
      <c r="AD95" s="312"/>
      <c r="AE95" s="1271"/>
      <c r="AF95" s="312">
        <f>ROUND(SUM(AF91:AF93),1)</f>
        <v>136.69999999999999</v>
      </c>
      <c r="AG95" s="2093"/>
      <c r="AH95" s="315"/>
      <c r="AI95" s="315">
        <f>ROUND(SUM(AI91:AI93),1)</f>
        <v>3.1</v>
      </c>
      <c r="AJ95" s="315"/>
      <c r="AK95" s="2132"/>
      <c r="AL95" s="313">
        <f>ROUND(AF95-AI95,1)</f>
        <v>133.6</v>
      </c>
      <c r="AM95" s="663"/>
      <c r="AN95" s="2777">
        <f>ROUND(IF(AI95=0,0,AL95/ABS(AI95)),3)</f>
        <v>43.097000000000001</v>
      </c>
      <c r="AO95" s="650"/>
      <c r="AP95" s="650"/>
      <c r="AQ95" s="660"/>
    </row>
    <row r="96" spans="1:43" ht="15.6">
      <c r="A96" s="223"/>
      <c r="B96" s="223"/>
      <c r="C96" s="223"/>
      <c r="D96" s="223"/>
      <c r="E96" s="327"/>
      <c r="F96" s="318"/>
      <c r="G96" s="327"/>
      <c r="H96" s="318"/>
      <c r="I96" s="327"/>
      <c r="J96" s="318"/>
      <c r="K96" s="327"/>
      <c r="L96" s="261"/>
      <c r="M96" s="288"/>
      <c r="N96" s="261"/>
      <c r="O96" s="288"/>
      <c r="P96" s="261"/>
      <c r="Q96" s="288"/>
      <c r="R96" s="261"/>
      <c r="S96" s="288"/>
      <c r="T96" s="261"/>
      <c r="U96" s="288"/>
      <c r="V96" s="261"/>
      <c r="W96" s="288"/>
      <c r="X96" s="261"/>
      <c r="Y96" s="288"/>
      <c r="Z96" s="261"/>
      <c r="AA96" s="288"/>
      <c r="AB96" s="249"/>
      <c r="AC96" s="288"/>
      <c r="AD96" s="318"/>
      <c r="AE96" s="1270"/>
      <c r="AF96" s="327"/>
      <c r="AG96" s="2088"/>
      <c r="AH96" s="262"/>
      <c r="AI96" s="327"/>
      <c r="AJ96" s="262"/>
      <c r="AK96" s="2132"/>
      <c r="AL96" s="687"/>
      <c r="AM96" s="645"/>
      <c r="AN96" s="653"/>
      <c r="AQ96" s="369"/>
    </row>
    <row r="97" spans="1:43" ht="15.6">
      <c r="A97" s="223"/>
      <c r="B97" s="223"/>
      <c r="C97" s="223"/>
      <c r="D97" s="223"/>
      <c r="E97" s="318" t="s">
        <v>16</v>
      </c>
      <c r="F97" s="318" t="s">
        <v>16</v>
      </c>
      <c r="G97" s="318" t="s">
        <v>16</v>
      </c>
      <c r="H97" s="318"/>
      <c r="I97" s="318" t="s">
        <v>16</v>
      </c>
      <c r="J97" s="318"/>
      <c r="K97" s="318" t="s">
        <v>16</v>
      </c>
      <c r="L97" s="261"/>
      <c r="M97" s="261" t="s">
        <v>16</v>
      </c>
      <c r="N97" s="261"/>
      <c r="O97" s="261" t="s">
        <v>16</v>
      </c>
      <c r="P97" s="261"/>
      <c r="Q97" s="261" t="s">
        <v>16</v>
      </c>
      <c r="R97" s="261"/>
      <c r="S97" s="261" t="s">
        <v>16</v>
      </c>
      <c r="T97" s="261"/>
      <c r="U97" s="261" t="s">
        <v>16</v>
      </c>
      <c r="V97" s="261"/>
      <c r="W97" s="261" t="s">
        <v>16</v>
      </c>
      <c r="X97" s="261"/>
      <c r="Y97" s="261" t="s">
        <v>16</v>
      </c>
      <c r="Z97" s="261"/>
      <c r="AA97" s="261" t="s">
        <v>16</v>
      </c>
      <c r="AB97" s="261"/>
      <c r="AC97" s="261" t="s">
        <v>16</v>
      </c>
      <c r="AD97" s="318"/>
      <c r="AE97" s="1270"/>
      <c r="AF97" s="318" t="s">
        <v>16</v>
      </c>
      <c r="AG97" s="2088"/>
      <c r="AH97" s="262"/>
      <c r="AI97" s="318"/>
      <c r="AJ97" s="318"/>
      <c r="AK97" s="2132"/>
      <c r="AL97" s="687" t="s">
        <v>16</v>
      </c>
      <c r="AM97" s="645"/>
      <c r="AN97" s="653"/>
    </row>
    <row r="98" spans="1:43" ht="15.6">
      <c r="A98" s="223"/>
      <c r="B98" s="221" t="s">
        <v>216</v>
      </c>
      <c r="C98" s="223"/>
      <c r="D98" s="223"/>
      <c r="E98" s="318"/>
      <c r="F98" s="318"/>
      <c r="G98" s="318" t="s">
        <v>16</v>
      </c>
      <c r="H98" s="318"/>
      <c r="I98" s="318" t="s">
        <v>16</v>
      </c>
      <c r="J98" s="318"/>
      <c r="K98" s="318" t="s">
        <v>16</v>
      </c>
      <c r="L98" s="261"/>
      <c r="M98" s="261" t="s">
        <v>16</v>
      </c>
      <c r="N98" s="261"/>
      <c r="O98" s="261" t="s">
        <v>16</v>
      </c>
      <c r="P98" s="261"/>
      <c r="Q98" s="261" t="s">
        <v>16</v>
      </c>
      <c r="R98" s="261"/>
      <c r="S98" s="261" t="s">
        <v>16</v>
      </c>
      <c r="T98" s="261"/>
      <c r="U98" s="261" t="s">
        <v>16</v>
      </c>
      <c r="V98" s="261"/>
      <c r="W98" s="261" t="s">
        <v>16</v>
      </c>
      <c r="X98" s="261"/>
      <c r="Y98" s="261" t="s">
        <v>16</v>
      </c>
      <c r="Z98" s="261"/>
      <c r="AA98" s="261" t="s">
        <v>16</v>
      </c>
      <c r="AB98" s="261"/>
      <c r="AC98" s="261" t="s">
        <v>16</v>
      </c>
      <c r="AD98" s="318"/>
      <c r="AE98" s="1270"/>
      <c r="AF98" s="318"/>
      <c r="AG98" s="2088"/>
      <c r="AH98" s="262"/>
      <c r="AI98" s="318"/>
      <c r="AJ98" s="318"/>
      <c r="AK98" s="2132"/>
      <c r="AL98" s="687"/>
      <c r="AM98" s="645"/>
      <c r="AN98" s="653"/>
    </row>
    <row r="99" spans="1:43" ht="15.6">
      <c r="A99" s="223"/>
      <c r="B99" s="221" t="s">
        <v>217</v>
      </c>
      <c r="C99" s="223"/>
      <c r="D99" s="223"/>
      <c r="E99" s="318" t="s">
        <v>16</v>
      </c>
      <c r="F99" s="318"/>
      <c r="G99" s="318"/>
      <c r="H99" s="318"/>
      <c r="I99" s="318"/>
      <c r="J99" s="318"/>
      <c r="K99" s="318"/>
      <c r="L99" s="261"/>
      <c r="M99" s="261"/>
      <c r="N99" s="261"/>
      <c r="O99" s="261"/>
      <c r="P99" s="261"/>
      <c r="Q99" s="261"/>
      <c r="R99" s="261"/>
      <c r="S99" s="261"/>
      <c r="T99" s="261"/>
      <c r="U99" s="261"/>
      <c r="V99" s="261"/>
      <c r="W99" s="261"/>
      <c r="X99" s="261"/>
      <c r="Y99" s="261"/>
      <c r="Z99" s="261"/>
      <c r="AA99" s="261"/>
      <c r="AB99" s="261"/>
      <c r="AC99" s="261"/>
      <c r="AD99" s="318"/>
      <c r="AE99" s="1270"/>
      <c r="AF99" s="2145" t="s">
        <v>16</v>
      </c>
      <c r="AG99" s="2088"/>
      <c r="AH99" s="262"/>
      <c r="AI99" s="687"/>
      <c r="AJ99" s="687"/>
      <c r="AK99" s="2144"/>
      <c r="AL99" s="687"/>
      <c r="AM99" s="645"/>
      <c r="AN99" s="653"/>
      <c r="AQ99" s="681"/>
    </row>
    <row r="100" spans="1:43" ht="16.2" thickBot="1">
      <c r="A100" s="223"/>
      <c r="B100" s="221" t="s">
        <v>1369</v>
      </c>
      <c r="C100" s="223"/>
      <c r="D100" s="223"/>
      <c r="E100" s="2116">
        <f>ROUND(SUM(E88+E95),1)</f>
        <v>-15.5</v>
      </c>
      <c r="F100" s="2115"/>
      <c r="G100" s="2116">
        <f>ROUND(SUM(G88+G95),1)</f>
        <v>0</v>
      </c>
      <c r="H100" s="2115"/>
      <c r="I100" s="2116">
        <f>ROUND(SUM(I88+I95),1)</f>
        <v>0</v>
      </c>
      <c r="J100" s="2115"/>
      <c r="K100" s="2116">
        <f>ROUND(SUM(K88+K95),1)</f>
        <v>0</v>
      </c>
      <c r="L100" s="682"/>
      <c r="M100" s="2116">
        <f>ROUND(SUM(M88+M95),1)</f>
        <v>0</v>
      </c>
      <c r="N100" s="682"/>
      <c r="O100" s="2116">
        <f>ROUND(SUM(O88+O95),1)</f>
        <v>0</v>
      </c>
      <c r="P100" s="682"/>
      <c r="Q100" s="2116">
        <f>ROUND(SUM(Q88+Q95),1)</f>
        <v>0</v>
      </c>
      <c r="R100" s="682"/>
      <c r="S100" s="2116">
        <f>ROUND(SUM(S88+S95),1)</f>
        <v>0</v>
      </c>
      <c r="T100" s="682"/>
      <c r="U100" s="2116">
        <f>ROUND(SUM(U88+U95),1)</f>
        <v>0</v>
      </c>
      <c r="V100" s="682"/>
      <c r="W100" s="2116">
        <f>ROUND(SUM(W88+W95),1)</f>
        <v>0</v>
      </c>
      <c r="X100" s="683"/>
      <c r="Y100" s="2116">
        <f>ROUND(SUM(Y88+Y95),1)</f>
        <v>0</v>
      </c>
      <c r="Z100" s="682"/>
      <c r="AA100" s="2116">
        <f>ROUND(SUM(AA88+AA95),1)</f>
        <v>0</v>
      </c>
      <c r="AB100" s="2615"/>
      <c r="AC100" s="2116">
        <f>ROUND(SUM(AC88+AC95),1)</f>
        <v>0</v>
      </c>
      <c r="AD100" s="2115"/>
      <c r="AE100" s="2146"/>
      <c r="AF100" s="2116">
        <f>ROUND(SUM(AF88+AF95),1)</f>
        <v>-15.5</v>
      </c>
      <c r="AG100" s="2147"/>
      <c r="AH100" s="340"/>
      <c r="AI100" s="2116">
        <f>ROUND(SUM(AI88+AI95),1)</f>
        <v>-66.599999999999994</v>
      </c>
      <c r="AJ100" s="2148"/>
      <c r="AK100" s="2149"/>
      <c r="AL100" s="2116">
        <f>ROUND(SUM(AL88+AL95),1)</f>
        <v>51.1</v>
      </c>
      <c r="AM100" s="663"/>
      <c r="AN100" s="3140">
        <f>ROUND(IF(AI100=0,0,AL100/ABS(AI100)),3)</f>
        <v>0.76700000000000002</v>
      </c>
      <c r="AO100" s="650"/>
    </row>
    <row r="101" spans="1:43" ht="15.6" thickTop="1">
      <c r="B101" s="424"/>
      <c r="X101" s="684"/>
    </row>
    <row r="102" spans="1:43">
      <c r="B102" s="674"/>
      <c r="C102" s="675"/>
      <c r="D102" s="675"/>
      <c r="E102" s="2117"/>
      <c r="F102" s="2117"/>
      <c r="G102" s="2117"/>
    </row>
    <row r="103" spans="1:43">
      <c r="B103" s="2793" t="s">
        <v>1376</v>
      </c>
      <c r="C103" s="675"/>
      <c r="D103" s="675"/>
      <c r="E103" s="2117"/>
      <c r="F103" s="2117"/>
      <c r="G103" s="2117"/>
      <c r="AI103" s="2197"/>
      <c r="AL103" s="2131"/>
    </row>
    <row r="104" spans="1:43">
      <c r="B104" s="678"/>
    </row>
    <row r="105" spans="1:43">
      <c r="B105" s="678"/>
    </row>
    <row r="106" spans="1:43">
      <c r="B106" s="674"/>
    </row>
    <row r="107" spans="1:43">
      <c r="B107" s="678"/>
    </row>
    <row r="108" spans="1:43">
      <c r="B108" s="678"/>
    </row>
    <row r="109" spans="1:43">
      <c r="B109" s="674"/>
    </row>
  </sheetData>
  <customSheetViews>
    <customSheetView guid="{8EE6466D-211E-4E05-9F84-CC0A1C6F79F4}" scale="70" showGridLines="0" topLeftCell="D10">
      <selection activeCell="AN19" sqref="AN19"/>
      <rowBreaks count="1" manualBreakCount="1">
        <brk id="61" min="1" max="37" man="1"/>
      </rowBreaks>
      <pageMargins left="0.5" right="0.2" top="0.75" bottom="0.5" header="0" footer="0.25"/>
      <pageSetup scale="42" firstPageNumber="31" fitToHeight="2" orientation="landscape" useFirstPageNumber="1" r:id="rId1"/>
      <headerFooter scaleWithDoc="0" alignWithMargins="0">
        <oddFooter>&amp;C&amp;8&amp;P</oddFooter>
      </headerFooter>
    </customSheetView>
  </customSheetViews>
  <mergeCells count="1">
    <mergeCell ref="AF10:AN10"/>
  </mergeCells>
  <pageMargins left="0.5" right="0.2" top="0.75" bottom="0.5" header="0" footer="0.25"/>
  <pageSetup scale="40" firstPageNumber="31" orientation="landscape" useFirstPageNumber="1" r:id="rId2"/>
  <headerFooter scaleWithDoc="0" alignWithMargins="0">
    <oddFooter>&amp;C&amp;8&amp;P</oddFooter>
  </headerFooter>
  <rowBreaks count="1" manualBreakCount="1">
    <brk id="65" min="1" max="39" man="1"/>
  </rowBreaks>
  <ignoredErrors>
    <ignoredError sqref="AN39 AN32:AN35 AN37 AN94 AN96:AN100 AN89:AN90 AN86:AN87 AN92:AN93 AN79 AN84 AN85 AN80:AN83 AN75:AN78 AN23 AN31 AN28 AN19:AN22 AN29:AN30 AN24 AN26:AN27" unlockedFormula="1"/>
    <ignoredError sqref="AN46 AN25 AN64 AN62 AN63 AN72:AN73 AN68:AN70 AN71 AN65:AN67 AN61 AN52" formula="1" unlockedFormula="1"/>
    <ignoredError sqref="AN49:AN51 AN74 AN53:AN60"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Q82"/>
  <sheetViews>
    <sheetView zoomScale="70" zoomScaleNormal="70" workbookViewId="0"/>
  </sheetViews>
  <sheetFormatPr defaultColWidth="8.90625" defaultRowHeight="15"/>
  <cols>
    <col min="1" max="1" width="2.54296875" style="301" customWidth="1"/>
    <col min="2" max="2" width="14.36328125" style="301" customWidth="1"/>
    <col min="3" max="3" width="32" style="301" customWidth="1"/>
    <col min="4" max="4" width="4.54296875" style="2103" customWidth="1"/>
    <col min="5" max="5" width="9.81640625" style="2103" bestFit="1" customWidth="1"/>
    <col min="6" max="6" width="1.81640625" style="2103" customWidth="1"/>
    <col min="7" max="7" width="11" style="2103" bestFit="1" customWidth="1"/>
    <col min="8" max="8" width="1.81640625" style="2103" customWidth="1"/>
    <col min="9" max="9" width="11" style="2103" bestFit="1" customWidth="1"/>
    <col min="10" max="10" width="1.81640625" style="2103" customWidth="1"/>
    <col min="11" max="11" width="12.1796875" style="2103" customWidth="1"/>
    <col min="12" max="12" width="1.81640625" style="301" customWidth="1"/>
    <col min="13" max="13" width="8.90625" style="301"/>
    <col min="14" max="14" width="1.81640625" style="301" customWidth="1"/>
    <col min="15" max="15" width="13.90625" style="301" customWidth="1"/>
    <col min="16" max="16" width="1.81640625" style="301" customWidth="1"/>
    <col min="17" max="17" width="12.453125" style="301" customWidth="1"/>
    <col min="18" max="18" width="1.81640625" style="301" customWidth="1"/>
    <col min="19" max="19" width="12.54296875" style="301" customWidth="1"/>
    <col min="20" max="20" width="1.81640625" style="301" customWidth="1"/>
    <col min="21" max="21" width="10.81640625" style="301" customWidth="1"/>
    <col min="22" max="22" width="1.81640625" style="301" customWidth="1"/>
    <col min="23" max="23" width="10.54296875" style="301" customWidth="1"/>
    <col min="24" max="24" width="1.81640625" style="301" customWidth="1"/>
    <col min="25" max="25" width="10.81640625" style="301" customWidth="1"/>
    <col min="26" max="26" width="1.81640625" style="301" customWidth="1"/>
    <col min="27" max="27" width="11.90625" style="2103" customWidth="1"/>
    <col min="28" max="28" width="2.08984375" style="2103" customWidth="1"/>
    <col min="29" max="29" width="15.54296875" style="2103" customWidth="1"/>
    <col min="30" max="31" width="1.81640625" style="2103" customWidth="1"/>
    <col min="32" max="32" width="10.54296875" style="2103" customWidth="1"/>
    <col min="33" max="34" width="1" style="2103" customWidth="1"/>
    <col min="35" max="35" width="12.90625" style="2103" customWidth="1"/>
    <col min="36" max="37" width="1" style="2103" customWidth="1"/>
    <col min="38" max="38" width="13.08984375" style="2103" bestFit="1" customWidth="1"/>
    <col min="39" max="39" width="1.36328125" style="301" customWidth="1"/>
    <col min="40" max="40" width="11.36328125" style="301" customWidth="1"/>
    <col min="41" max="16384" width="8.90625" style="301"/>
  </cols>
  <sheetData>
    <row r="1" spans="1:41">
      <c r="B1" s="1172" t="s">
        <v>1103</v>
      </c>
    </row>
    <row r="2" spans="1:41">
      <c r="B2" s="1687"/>
    </row>
    <row r="3" spans="1:41" ht="19.5" customHeight="1">
      <c r="A3" s="634"/>
      <c r="B3" s="537" t="s">
        <v>0</v>
      </c>
      <c r="C3" s="635"/>
      <c r="D3" s="2104"/>
      <c r="E3" s="2104"/>
      <c r="F3" s="2105"/>
      <c r="G3" s="2105"/>
      <c r="H3" s="2105"/>
      <c r="I3" s="2105"/>
      <c r="J3" s="2105"/>
      <c r="K3" s="2105"/>
      <c r="L3" s="636"/>
      <c r="M3" s="636"/>
      <c r="N3" s="636"/>
      <c r="O3" s="636"/>
      <c r="P3" s="636"/>
      <c r="Q3" s="636"/>
      <c r="R3" s="636"/>
      <c r="S3" s="685"/>
      <c r="T3" s="636"/>
      <c r="U3" s="636"/>
      <c r="V3" s="636"/>
      <c r="W3" s="636"/>
      <c r="X3" s="636"/>
      <c r="Y3" s="636"/>
      <c r="Z3" s="636"/>
      <c r="AA3" s="2105"/>
      <c r="AB3" s="2105"/>
      <c r="AC3" s="2105"/>
      <c r="AD3" s="2105"/>
      <c r="AE3" s="2105"/>
      <c r="AF3" s="2105"/>
      <c r="AG3" s="2105"/>
      <c r="AH3" s="2105"/>
      <c r="AI3" s="2105"/>
      <c r="AJ3" s="2105"/>
      <c r="AK3" s="2105"/>
      <c r="AN3" s="506" t="s">
        <v>201</v>
      </c>
    </row>
    <row r="4" spans="1:41" ht="19.5" customHeight="1">
      <c r="A4" s="634"/>
      <c r="B4" s="537" t="s">
        <v>219</v>
      </c>
      <c r="C4" s="635"/>
      <c r="D4" s="2104"/>
      <c r="E4" s="2104"/>
      <c r="F4" s="2105"/>
      <c r="G4" s="2105"/>
      <c r="H4" s="2105"/>
      <c r="I4" s="2105"/>
      <c r="J4" s="2105"/>
      <c r="K4" s="2105"/>
      <c r="L4" s="636"/>
      <c r="M4" s="636"/>
      <c r="N4" s="636"/>
      <c r="O4" s="636"/>
      <c r="P4" s="636"/>
      <c r="Q4" s="636"/>
      <c r="R4" s="636"/>
      <c r="S4" s="636"/>
      <c r="T4" s="636"/>
      <c r="U4" s="636"/>
      <c r="V4" s="636"/>
      <c r="W4" s="636"/>
      <c r="X4" s="636"/>
      <c r="Y4" s="636"/>
      <c r="Z4" s="636"/>
      <c r="AA4" s="2105"/>
      <c r="AB4" s="2105"/>
      <c r="AC4" s="2105"/>
      <c r="AD4" s="2105"/>
      <c r="AE4" s="2105"/>
      <c r="AG4" s="2118"/>
      <c r="AH4" s="2118"/>
    </row>
    <row r="5" spans="1:41" ht="19.5" customHeight="1">
      <c r="A5" s="634"/>
      <c r="B5" s="504" t="s">
        <v>1147</v>
      </c>
      <c r="C5" s="635"/>
      <c r="D5" s="2104"/>
      <c r="E5" s="2104"/>
      <c r="F5" s="2105"/>
      <c r="G5" s="2105"/>
      <c r="H5" s="2105"/>
      <c r="I5" s="2105"/>
      <c r="J5" s="2105"/>
      <c r="K5" s="2105"/>
      <c r="L5" s="636"/>
      <c r="M5" s="636"/>
      <c r="N5" s="636"/>
      <c r="O5" s="636"/>
      <c r="P5" s="636"/>
      <c r="Q5" s="636"/>
      <c r="R5" s="636"/>
      <c r="S5" s="636"/>
      <c r="T5" s="636"/>
      <c r="U5" s="636"/>
      <c r="V5" s="636"/>
      <c r="W5" s="636"/>
      <c r="X5" s="636"/>
      <c r="Y5" s="636"/>
      <c r="Z5" s="636"/>
      <c r="AA5" s="2105"/>
      <c r="AB5" s="2105"/>
      <c r="AC5" s="2105"/>
      <c r="AD5" s="2105"/>
      <c r="AE5" s="2105"/>
      <c r="AF5" s="2105"/>
      <c r="AG5" s="2105"/>
      <c r="AH5" s="2105"/>
      <c r="AI5" s="2105"/>
      <c r="AJ5" s="2105"/>
      <c r="AK5" s="2105"/>
      <c r="AN5" s="506"/>
    </row>
    <row r="6" spans="1:41" ht="19.5" customHeight="1">
      <c r="A6" s="634"/>
      <c r="B6" s="2997" t="s">
        <v>1488</v>
      </c>
      <c r="C6" s="1771"/>
      <c r="D6" s="2104"/>
      <c r="E6" s="2104"/>
      <c r="F6" s="2105"/>
      <c r="G6" s="2105"/>
      <c r="H6" s="2106"/>
      <c r="I6" s="2105"/>
      <c r="J6" s="2105"/>
      <c r="K6" s="2105"/>
      <c r="L6" s="636"/>
      <c r="M6" s="636"/>
      <c r="N6" s="636"/>
      <c r="O6" s="636"/>
      <c r="P6" s="636"/>
      <c r="Q6" s="636"/>
      <c r="R6" s="636"/>
      <c r="S6" s="636"/>
      <c r="T6" s="636"/>
      <c r="U6" s="636"/>
      <c r="V6" s="636"/>
      <c r="W6" s="636"/>
      <c r="X6" s="636"/>
      <c r="Y6" s="636"/>
      <c r="Z6" s="636"/>
      <c r="AA6" s="2105"/>
      <c r="AB6" s="2105"/>
      <c r="AC6" s="2105"/>
      <c r="AD6" s="2105"/>
      <c r="AE6" s="2105"/>
      <c r="AF6" s="2105"/>
      <c r="AG6" s="2119"/>
      <c r="AH6" s="2119"/>
      <c r="AI6" s="2119"/>
      <c r="AJ6" s="2119"/>
      <c r="AK6" s="2119"/>
    </row>
    <row r="7" spans="1:41" ht="19.5" customHeight="1">
      <c r="A7" s="634"/>
      <c r="B7" s="640" t="s">
        <v>992</v>
      </c>
      <c r="C7" s="635"/>
      <c r="D7" s="2104"/>
      <c r="E7" s="2104"/>
      <c r="F7" s="2105"/>
      <c r="G7" s="2105"/>
      <c r="H7" s="2106"/>
      <c r="I7" s="2105"/>
      <c r="J7" s="2105"/>
      <c r="K7" s="2105"/>
      <c r="L7" s="636"/>
      <c r="M7" s="636"/>
      <c r="N7" s="636"/>
      <c r="O7" s="636"/>
      <c r="P7" s="636"/>
      <c r="Q7" s="636"/>
      <c r="R7" s="636"/>
      <c r="S7" s="636"/>
      <c r="T7" s="636"/>
      <c r="U7" s="636"/>
      <c r="V7" s="636"/>
      <c r="W7" s="636"/>
      <c r="X7" s="636"/>
      <c r="Y7" s="636"/>
      <c r="Z7" s="636"/>
      <c r="AA7" s="2105"/>
      <c r="AB7" s="2105"/>
      <c r="AC7" s="2105"/>
      <c r="AD7" s="2105"/>
      <c r="AE7" s="2105"/>
      <c r="AF7" s="2105"/>
      <c r="AG7" s="2119"/>
      <c r="AH7" s="2119"/>
      <c r="AI7" s="2119"/>
      <c r="AJ7" s="2119"/>
      <c r="AK7" s="2119"/>
    </row>
    <row r="8" spans="1:41" ht="19.5" customHeight="1">
      <c r="A8" s="634"/>
      <c r="B8" s="504"/>
      <c r="C8" s="635"/>
      <c r="D8" s="2104"/>
      <c r="E8" s="2104"/>
      <c r="F8" s="2105"/>
      <c r="G8" s="2105"/>
      <c r="H8" s="2106"/>
      <c r="I8" s="2105"/>
      <c r="J8" s="2105"/>
      <c r="K8" s="2105"/>
      <c r="L8" s="636"/>
      <c r="M8" s="636"/>
      <c r="N8" s="636"/>
      <c r="O8" s="636"/>
      <c r="P8" s="636"/>
      <c r="Q8" s="636"/>
      <c r="R8" s="636"/>
      <c r="S8" s="636"/>
      <c r="T8" s="636"/>
      <c r="U8" s="636"/>
      <c r="V8" s="636"/>
      <c r="W8" s="636"/>
      <c r="X8" s="636"/>
      <c r="Y8" s="636"/>
      <c r="Z8" s="636"/>
      <c r="AA8" s="2105"/>
      <c r="AB8" s="2105"/>
      <c r="AC8" s="2105"/>
      <c r="AD8" s="2105"/>
      <c r="AE8" s="2105"/>
      <c r="AF8" s="2105"/>
      <c r="AG8" s="2119"/>
      <c r="AH8" s="2119"/>
      <c r="AI8" s="2119"/>
      <c r="AJ8" s="2119"/>
      <c r="AK8" s="2119"/>
    </row>
    <row r="9" spans="1:41" ht="15.75" customHeight="1">
      <c r="A9" s="634"/>
      <c r="B9" s="640"/>
      <c r="C9" s="635"/>
      <c r="D9" s="2104"/>
      <c r="E9" s="2104"/>
      <c r="F9" s="2105"/>
      <c r="G9" s="2105"/>
      <c r="H9" s="2105"/>
      <c r="I9" s="2105"/>
      <c r="J9" s="2105"/>
      <c r="K9" s="2105"/>
      <c r="L9" s="636"/>
      <c r="M9" s="636"/>
      <c r="N9" s="636"/>
      <c r="O9" s="636"/>
      <c r="P9" s="636"/>
      <c r="Q9" s="636"/>
      <c r="R9" s="636"/>
      <c r="S9" s="636"/>
      <c r="T9" s="636"/>
      <c r="U9" s="636"/>
      <c r="V9" s="636"/>
      <c r="W9" s="636"/>
      <c r="X9" s="636"/>
      <c r="Y9" s="636"/>
      <c r="Z9" s="636"/>
      <c r="AA9" s="2105"/>
      <c r="AB9" s="2105"/>
      <c r="AC9" s="2105"/>
      <c r="AD9" s="2105"/>
      <c r="AE9" s="2120"/>
    </row>
    <row r="10" spans="1:41" ht="15.75" customHeight="1">
      <c r="A10" s="634"/>
      <c r="B10" s="640"/>
      <c r="C10" s="635"/>
      <c r="D10" s="2104"/>
      <c r="E10" s="2104"/>
      <c r="F10" s="2105"/>
      <c r="G10" s="2105"/>
      <c r="H10" s="2105"/>
      <c r="I10" s="2105"/>
      <c r="J10" s="2105"/>
      <c r="K10" s="2105"/>
      <c r="L10" s="636"/>
      <c r="M10" s="636"/>
      <c r="N10" s="636"/>
      <c r="O10" s="636"/>
      <c r="P10" s="636"/>
      <c r="Q10" s="636"/>
      <c r="R10" s="636"/>
      <c r="S10" s="636"/>
      <c r="T10" s="636"/>
      <c r="U10" s="636"/>
      <c r="V10" s="636"/>
      <c r="W10" s="636"/>
      <c r="X10" s="636"/>
      <c r="Y10" s="636"/>
      <c r="Z10" s="636"/>
      <c r="AA10" s="2105"/>
      <c r="AB10" s="2105"/>
      <c r="AC10" s="2105"/>
      <c r="AD10" s="2105"/>
      <c r="AE10" s="2120"/>
      <c r="AF10" s="3405" t="s">
        <v>1465</v>
      </c>
      <c r="AG10" s="3412"/>
      <c r="AH10" s="3412"/>
      <c r="AI10" s="3412"/>
      <c r="AJ10" s="3412"/>
      <c r="AK10" s="3412"/>
      <c r="AL10" s="3412"/>
      <c r="AM10" s="3412"/>
      <c r="AN10" s="3412"/>
    </row>
    <row r="11" spans="1:41" ht="15.75" customHeight="1">
      <c r="A11" s="634"/>
      <c r="B11" s="642"/>
      <c r="C11" s="635"/>
      <c r="D11" s="2104"/>
      <c r="E11" s="2107"/>
      <c r="F11" s="2108"/>
      <c r="G11" s="2108"/>
      <c r="H11" s="2108"/>
      <c r="I11" s="2108"/>
      <c r="J11" s="2108"/>
      <c r="K11" s="2108"/>
      <c r="L11" s="1505"/>
      <c r="M11" s="1505"/>
      <c r="N11" s="1505"/>
      <c r="O11" s="1505"/>
      <c r="P11" s="1505"/>
      <c r="Q11" s="1505"/>
      <c r="R11" s="1505"/>
      <c r="S11" s="1505"/>
      <c r="T11" s="1505"/>
      <c r="U11" s="1505"/>
      <c r="V11" s="1505"/>
      <c r="W11" s="1505"/>
      <c r="X11" s="1505"/>
      <c r="Y11" s="1505"/>
      <c r="Z11" s="1505"/>
      <c r="AA11" s="2108"/>
      <c r="AB11" s="2108"/>
      <c r="AC11" s="1483" t="s">
        <v>1331</v>
      </c>
      <c r="AD11" s="2108"/>
      <c r="AE11" s="2121"/>
      <c r="AF11" s="2153"/>
      <c r="AG11" s="2153"/>
      <c r="AH11" s="2153"/>
      <c r="AI11" s="2153"/>
      <c r="AJ11" s="2153"/>
      <c r="AK11" s="2153"/>
      <c r="AL11" s="2153"/>
      <c r="AM11" s="1512"/>
      <c r="AN11" s="1512"/>
      <c r="AO11" s="1512"/>
    </row>
    <row r="12" spans="1:41" ht="15.75" customHeight="1">
      <c r="A12" s="643"/>
      <c r="B12" s="643"/>
      <c r="C12" s="643"/>
      <c r="D12" s="2150"/>
      <c r="E12" s="1466">
        <v>2016</v>
      </c>
      <c r="F12" s="2109"/>
      <c r="G12" s="2109"/>
      <c r="H12" s="2109"/>
      <c r="I12" s="2109"/>
      <c r="J12" s="2109"/>
      <c r="K12" s="2109"/>
      <c r="L12" s="1508"/>
      <c r="M12" s="1508"/>
      <c r="N12" s="1508"/>
      <c r="O12" s="1508"/>
      <c r="P12" s="1508"/>
      <c r="Q12" s="1508"/>
      <c r="R12" s="1508"/>
      <c r="S12" s="1508"/>
      <c r="T12" s="1508"/>
      <c r="U12" s="1508"/>
      <c r="V12" s="1508"/>
      <c r="W12" s="1476">
        <v>2017</v>
      </c>
      <c r="X12" s="1508"/>
      <c r="Y12" s="1508"/>
      <c r="Z12" s="1508"/>
      <c r="AA12" s="2109"/>
      <c r="AB12" s="2109"/>
      <c r="AC12" s="1483" t="s">
        <v>1332</v>
      </c>
      <c r="AD12" s="2109"/>
      <c r="AE12" s="2109"/>
      <c r="AF12" s="2124"/>
      <c r="AG12" s="2124"/>
      <c r="AH12" s="2124"/>
      <c r="AI12" s="2124"/>
      <c r="AJ12" s="2124"/>
      <c r="AK12" s="2124"/>
      <c r="AL12" s="2125" t="s">
        <v>8</v>
      </c>
      <c r="AM12" s="1483"/>
      <c r="AN12" s="1478" t="s">
        <v>9</v>
      </c>
      <c r="AO12" s="1512"/>
    </row>
    <row r="13" spans="1:41" ht="15.6">
      <c r="A13" s="223"/>
      <c r="B13" s="223"/>
      <c r="C13" s="223"/>
      <c r="D13" s="307"/>
      <c r="E13" s="1510" t="s">
        <v>129</v>
      </c>
      <c r="F13" s="305"/>
      <c r="G13" s="1510" t="s">
        <v>130</v>
      </c>
      <c r="H13" s="305"/>
      <c r="I13" s="1510" t="s">
        <v>131</v>
      </c>
      <c r="J13" s="305"/>
      <c r="K13" s="1510" t="s">
        <v>132</v>
      </c>
      <c r="L13" s="221"/>
      <c r="M13" s="1458" t="s">
        <v>133</v>
      </c>
      <c r="N13" s="221"/>
      <c r="O13" s="1458" t="s">
        <v>134</v>
      </c>
      <c r="P13" s="221"/>
      <c r="Q13" s="1458" t="s">
        <v>135</v>
      </c>
      <c r="R13" s="221"/>
      <c r="S13" s="1458" t="s">
        <v>136</v>
      </c>
      <c r="T13" s="221"/>
      <c r="U13" s="1458" t="s">
        <v>137</v>
      </c>
      <c r="V13" s="221"/>
      <c r="W13" s="1458" t="s">
        <v>154</v>
      </c>
      <c r="X13" s="221"/>
      <c r="Y13" s="1458" t="s">
        <v>139</v>
      </c>
      <c r="Z13" s="221"/>
      <c r="AA13" s="1510" t="s">
        <v>140</v>
      </c>
      <c r="AB13" s="1511"/>
      <c r="AC13" s="2044" t="s">
        <v>1333</v>
      </c>
      <c r="AD13" s="305"/>
      <c r="AE13" s="305"/>
      <c r="AF13" s="1510">
        <v>2016</v>
      </c>
      <c r="AG13" s="305" t="s">
        <v>16</v>
      </c>
      <c r="AH13" s="305"/>
      <c r="AI13" s="1510">
        <v>2015</v>
      </c>
      <c r="AJ13" s="1511"/>
      <c r="AK13" s="1511"/>
      <c r="AL13" s="2126" t="s">
        <v>13</v>
      </c>
      <c r="AM13" s="1481"/>
      <c r="AN13" s="1491" t="s">
        <v>14</v>
      </c>
      <c r="AO13" s="1512"/>
    </row>
    <row r="14" spans="1:41" ht="15.6">
      <c r="A14" s="223"/>
      <c r="B14" s="221"/>
      <c r="C14" s="221"/>
      <c r="D14" s="307"/>
      <c r="E14" s="341"/>
      <c r="F14" s="341"/>
      <c r="G14" s="341"/>
      <c r="H14" s="341"/>
      <c r="I14" s="341"/>
      <c r="J14" s="341"/>
      <c r="K14" s="341"/>
      <c r="L14" s="367"/>
      <c r="M14" s="367"/>
      <c r="N14" s="367"/>
      <c r="O14" s="367"/>
      <c r="P14" s="367"/>
      <c r="Q14" s="367"/>
      <c r="R14" s="367"/>
      <c r="S14" s="367"/>
      <c r="T14" s="367"/>
      <c r="U14" s="367"/>
      <c r="V14" s="367"/>
      <c r="W14" s="367"/>
      <c r="X14" s="367"/>
      <c r="Y14" s="367"/>
      <c r="Z14" s="367"/>
      <c r="AA14" s="341"/>
      <c r="AB14" s="341"/>
      <c r="AC14" s="341"/>
      <c r="AD14" s="341"/>
      <c r="AE14" s="2056"/>
      <c r="AF14" s="341"/>
      <c r="AG14" s="341"/>
      <c r="AH14" s="2056"/>
      <c r="AI14" s="341"/>
      <c r="AJ14" s="341"/>
      <c r="AK14" s="1960"/>
      <c r="AL14" s="2129"/>
      <c r="AM14" s="645"/>
      <c r="AN14" s="645"/>
    </row>
    <row r="15" spans="1:41" ht="15.6">
      <c r="A15" s="223"/>
      <c r="B15" s="221" t="s">
        <v>202</v>
      </c>
      <c r="C15" s="223"/>
      <c r="D15" s="307"/>
      <c r="E15" s="341"/>
      <c r="F15" s="341"/>
      <c r="G15" s="341"/>
      <c r="H15" s="341"/>
      <c r="I15" s="341"/>
      <c r="J15" s="341"/>
      <c r="K15" s="341"/>
      <c r="L15" s="367"/>
      <c r="M15" s="367"/>
      <c r="N15" s="367"/>
      <c r="O15" s="367"/>
      <c r="P15" s="367"/>
      <c r="Q15" s="367"/>
      <c r="R15" s="367"/>
      <c r="S15" s="367"/>
      <c r="T15" s="367"/>
      <c r="U15" s="367"/>
      <c r="V15" s="367"/>
      <c r="W15" s="367"/>
      <c r="X15" s="367"/>
      <c r="Y15" s="367"/>
      <c r="Z15" s="367"/>
      <c r="AA15" s="341"/>
      <c r="AB15" s="341"/>
      <c r="AC15" s="341"/>
      <c r="AD15" s="341"/>
      <c r="AE15" s="2056"/>
      <c r="AF15" s="341"/>
      <c r="AG15" s="317"/>
      <c r="AH15" s="2154"/>
      <c r="AI15" s="341"/>
      <c r="AJ15" s="341"/>
      <c r="AK15" s="1960"/>
      <c r="AL15" s="2129"/>
      <c r="AM15" s="645"/>
      <c r="AN15" s="645"/>
    </row>
    <row r="16" spans="1:41" ht="15.6">
      <c r="A16" s="223"/>
      <c r="B16" s="1784" t="s">
        <v>1173</v>
      </c>
      <c r="C16" s="223"/>
      <c r="D16" s="307"/>
      <c r="E16" s="2086"/>
      <c r="F16" s="318"/>
      <c r="G16" s="2086"/>
      <c r="H16" s="318"/>
      <c r="I16" s="2086"/>
      <c r="J16" s="318"/>
      <c r="K16" s="2086"/>
      <c r="L16" s="318"/>
      <c r="M16" s="318"/>
      <c r="N16" s="318"/>
      <c r="O16" s="2086"/>
      <c r="P16" s="318"/>
      <c r="Q16" s="2086"/>
      <c r="R16" s="318"/>
      <c r="S16" s="2086"/>
      <c r="T16" s="318"/>
      <c r="U16" s="2086"/>
      <c r="V16" s="318"/>
      <c r="W16" s="2086"/>
      <c r="X16" s="318"/>
      <c r="Y16" s="2086"/>
      <c r="Z16" s="318"/>
      <c r="AA16" s="2086"/>
      <c r="AB16" s="2086"/>
      <c r="AC16" s="2086"/>
      <c r="AD16" s="318"/>
      <c r="AE16" s="1270"/>
      <c r="AF16" s="2087"/>
      <c r="AG16" s="2088"/>
      <c r="AH16" s="262"/>
      <c r="AI16" s="318"/>
      <c r="AJ16" s="319"/>
      <c r="AK16" s="2089"/>
      <c r="AL16" s="319"/>
      <c r="AM16" s="2090"/>
      <c r="AN16" s="2091"/>
    </row>
    <row r="17" spans="1:40" ht="15.6">
      <c r="A17" s="223"/>
      <c r="B17" s="1784" t="s">
        <v>1301</v>
      </c>
      <c r="C17" s="223"/>
      <c r="D17" s="307"/>
      <c r="E17" s="2086"/>
      <c r="F17" s="318"/>
      <c r="G17" s="2086"/>
      <c r="H17" s="318"/>
      <c r="I17" s="2086"/>
      <c r="J17" s="318"/>
      <c r="K17" s="2086"/>
      <c r="L17" s="261"/>
      <c r="M17" s="261"/>
      <c r="N17" s="261"/>
      <c r="O17" s="516"/>
      <c r="P17" s="261"/>
      <c r="Q17" s="516"/>
      <c r="R17" s="261"/>
      <c r="S17" s="516"/>
      <c r="T17" s="261"/>
      <c r="U17" s="516"/>
      <c r="V17" s="261"/>
      <c r="W17" s="516"/>
      <c r="X17" s="261"/>
      <c r="Y17" s="516"/>
      <c r="Z17" s="261"/>
      <c r="AA17" s="2086"/>
      <c r="AB17" s="2086"/>
      <c r="AC17" s="2086"/>
      <c r="AD17" s="318"/>
      <c r="AE17" s="1270"/>
      <c r="AF17" s="2087"/>
      <c r="AG17" s="2092"/>
      <c r="AH17" s="262"/>
      <c r="AI17" s="318"/>
      <c r="AJ17" s="319"/>
      <c r="AK17" s="2089"/>
      <c r="AL17" s="319"/>
      <c r="AM17" s="655"/>
      <c r="AN17" s="45"/>
    </row>
    <row r="18" spans="1:40">
      <c r="A18" s="223"/>
      <c r="B18" s="1784" t="s">
        <v>1207</v>
      </c>
      <c r="C18" s="223"/>
      <c r="D18" s="307"/>
      <c r="E18" s="2701">
        <v>0</v>
      </c>
      <c r="F18" s="1786"/>
      <c r="G18" s="2701"/>
      <c r="H18" s="1786"/>
      <c r="I18" s="2701"/>
      <c r="J18" s="1786"/>
      <c r="K18" s="2701"/>
      <c r="L18" s="1159"/>
      <c r="M18" s="2701"/>
      <c r="N18" s="1159"/>
      <c r="O18" s="1238"/>
      <c r="P18" s="1159"/>
      <c r="Q18" s="1872"/>
      <c r="R18" s="1159"/>
      <c r="S18" s="1872"/>
      <c r="T18" s="1872"/>
      <c r="U18" s="1872"/>
      <c r="V18" s="1159"/>
      <c r="W18" s="1872"/>
      <c r="X18" s="1159"/>
      <c r="Y18" s="1872"/>
      <c r="Z18" s="1159"/>
      <c r="AA18" s="1872"/>
      <c r="AB18" s="1788"/>
      <c r="AC18" s="2716">
        <v>0</v>
      </c>
      <c r="AD18" s="1787"/>
      <c r="AE18" s="2702"/>
      <c r="AF18" s="1785">
        <f>ROUND(SUM(E18:AC18),1)</f>
        <v>0</v>
      </c>
      <c r="AG18" s="2703"/>
      <c r="AH18" s="1986"/>
      <c r="AI18" s="1786">
        <v>0</v>
      </c>
      <c r="AJ18" s="1785"/>
      <c r="AK18" s="2704"/>
      <c r="AL18" s="1785">
        <f t="shared" ref="AL18:AL40" si="0">ROUND(AF18-AI18,1)</f>
        <v>0</v>
      </c>
      <c r="AM18" s="1850"/>
      <c r="AN18" s="2741">
        <f>ROUND(IF(AI18=0,0,AL18/ABS(AI18)),3)</f>
        <v>0</v>
      </c>
    </row>
    <row r="19" spans="1:40" ht="15.6">
      <c r="A19" s="223"/>
      <c r="B19" s="1784" t="s">
        <v>1302</v>
      </c>
      <c r="C19" s="223"/>
      <c r="D19" s="307"/>
      <c r="E19" s="2086"/>
      <c r="F19" s="318"/>
      <c r="G19" s="2086"/>
      <c r="H19" s="318"/>
      <c r="I19" s="2086"/>
      <c r="J19" s="318"/>
      <c r="K19" s="2086"/>
      <c r="L19" s="261"/>
      <c r="M19" s="2086"/>
      <c r="N19" s="261"/>
      <c r="O19" s="516"/>
      <c r="P19" s="261"/>
      <c r="Q19" s="516"/>
      <c r="R19" s="261"/>
      <c r="S19" s="516"/>
      <c r="T19" s="261"/>
      <c r="U19" s="516"/>
      <c r="V19" s="261"/>
      <c r="W19" s="516"/>
      <c r="X19" s="261"/>
      <c r="Y19" s="516"/>
      <c r="Z19" s="261"/>
      <c r="AA19" s="2086"/>
      <c r="AB19" s="2086"/>
      <c r="AC19" s="2086"/>
      <c r="AD19" s="318"/>
      <c r="AE19" s="1270"/>
      <c r="AF19" s="2087"/>
      <c r="AG19" s="2092"/>
      <c r="AH19" s="262"/>
      <c r="AI19" s="318"/>
      <c r="AJ19" s="319"/>
      <c r="AK19" s="2089"/>
      <c r="AL19" s="1336" t="s">
        <v>16</v>
      </c>
      <c r="AM19" s="655"/>
      <c r="AN19" s="1816" t="s">
        <v>16</v>
      </c>
    </row>
    <row r="20" spans="1:40" ht="15.6">
      <c r="A20" s="223"/>
      <c r="B20" s="1784" t="s">
        <v>1208</v>
      </c>
      <c r="C20" s="223"/>
      <c r="D20" s="307"/>
      <c r="E20" s="2086">
        <v>0</v>
      </c>
      <c r="F20" s="318"/>
      <c r="G20" s="2086"/>
      <c r="H20" s="318"/>
      <c r="I20" s="2086"/>
      <c r="J20" s="318"/>
      <c r="K20" s="2086"/>
      <c r="L20" s="261"/>
      <c r="M20" s="2086"/>
      <c r="N20" s="261"/>
      <c r="O20" s="2086"/>
      <c r="P20" s="261"/>
      <c r="Q20" s="516"/>
      <c r="R20" s="261"/>
      <c r="S20" s="516"/>
      <c r="T20" s="261"/>
      <c r="U20" s="516"/>
      <c r="V20" s="261"/>
      <c r="W20" s="516"/>
      <c r="X20" s="261"/>
      <c r="Y20" s="516"/>
      <c r="Z20" s="261"/>
      <c r="AA20" s="2086"/>
      <c r="AB20" s="2086"/>
      <c r="AC20" s="1190">
        <v>0</v>
      </c>
      <c r="AD20" s="318"/>
      <c r="AE20" s="1270"/>
      <c r="AF20" s="319">
        <f>ROUND(SUM(E20:AC20),1)</f>
        <v>0</v>
      </c>
      <c r="AG20" s="2092"/>
      <c r="AH20" s="262"/>
      <c r="AI20" s="318">
        <v>0</v>
      </c>
      <c r="AJ20" s="319"/>
      <c r="AK20" s="2089"/>
      <c r="AL20" s="319">
        <f t="shared" si="0"/>
        <v>0</v>
      </c>
      <c r="AM20" s="655"/>
      <c r="AN20" s="45">
        <f>ROUND(IF(AI20=0,0,AL20/ABS(AI20)),3)</f>
        <v>0</v>
      </c>
    </row>
    <row r="21" spans="1:40" ht="15.6">
      <c r="A21" s="223"/>
      <c r="B21" s="1784" t="s">
        <v>1307</v>
      </c>
      <c r="C21" s="223"/>
      <c r="D21" s="307"/>
      <c r="E21" s="2086"/>
      <c r="F21" s="318"/>
      <c r="G21" s="2086"/>
      <c r="H21" s="318"/>
      <c r="I21" s="2086"/>
      <c r="J21" s="318"/>
      <c r="K21" s="2086"/>
      <c r="L21" s="261"/>
      <c r="M21" s="2086"/>
      <c r="N21" s="261"/>
      <c r="O21" s="2086"/>
      <c r="P21" s="261"/>
      <c r="Q21" s="516"/>
      <c r="R21" s="261"/>
      <c r="S21" s="516"/>
      <c r="T21" s="261"/>
      <c r="U21" s="516"/>
      <c r="V21" s="261"/>
      <c r="W21" s="516"/>
      <c r="X21" s="261"/>
      <c r="Y21" s="516"/>
      <c r="Z21" s="261"/>
      <c r="AA21" s="2086"/>
      <c r="AB21" s="2086"/>
      <c r="AC21" s="2086"/>
      <c r="AD21" s="318"/>
      <c r="AE21" s="1270"/>
      <c r="AF21" s="319"/>
      <c r="AG21" s="2092"/>
      <c r="AH21" s="262"/>
      <c r="AI21" s="318"/>
      <c r="AJ21" s="319"/>
      <c r="AK21" s="2089"/>
      <c r="AL21" s="1336" t="s">
        <v>16</v>
      </c>
      <c r="AM21" s="655"/>
      <c r="AN21" s="1816" t="s">
        <v>16</v>
      </c>
    </row>
    <row r="22" spans="1:40" ht="15.6">
      <c r="A22" s="223"/>
      <c r="B22" s="1784" t="s">
        <v>1212</v>
      </c>
      <c r="C22" s="223"/>
      <c r="D22" s="307"/>
      <c r="E22" s="2086">
        <v>0</v>
      </c>
      <c r="F22" s="318"/>
      <c r="G22" s="2086"/>
      <c r="H22" s="318"/>
      <c r="I22" s="2086"/>
      <c r="J22" s="318"/>
      <c r="K22" s="2086"/>
      <c r="L22" s="261"/>
      <c r="M22" s="2086"/>
      <c r="N22" s="261"/>
      <c r="O22" s="2086"/>
      <c r="P22" s="261"/>
      <c r="Q22" s="516"/>
      <c r="R22" s="261"/>
      <c r="S22" s="516"/>
      <c r="T22" s="261"/>
      <c r="U22" s="516"/>
      <c r="V22" s="261"/>
      <c r="W22" s="516"/>
      <c r="X22" s="261"/>
      <c r="Y22" s="516"/>
      <c r="Z22" s="261"/>
      <c r="AA22" s="2086"/>
      <c r="AB22" s="2086"/>
      <c r="AC22" s="1190">
        <v>0</v>
      </c>
      <c r="AD22" s="318"/>
      <c r="AE22" s="1270"/>
      <c r="AF22" s="319">
        <f t="shared" ref="AF22:AF27" si="1">ROUND(SUM(E22:AC22),1)</f>
        <v>0</v>
      </c>
      <c r="AG22" s="2092"/>
      <c r="AH22" s="262"/>
      <c r="AI22" s="318">
        <v>0</v>
      </c>
      <c r="AJ22" s="319"/>
      <c r="AK22" s="2089"/>
      <c r="AL22" s="319">
        <f t="shared" si="0"/>
        <v>0</v>
      </c>
      <c r="AM22" s="655"/>
      <c r="AN22" s="45">
        <f t="shared" ref="AN22:AN27" si="2">ROUND(IF(AI22=0,0,AL22/ABS(AI22)),3)</f>
        <v>0</v>
      </c>
    </row>
    <row r="23" spans="1:40" ht="15.6">
      <c r="A23" s="223"/>
      <c r="B23" s="1784" t="s">
        <v>1383</v>
      </c>
      <c r="C23" s="223"/>
      <c r="D23" s="307"/>
      <c r="E23" s="2086">
        <v>0</v>
      </c>
      <c r="F23" s="318"/>
      <c r="G23" s="2086"/>
      <c r="H23" s="318"/>
      <c r="I23" s="2086"/>
      <c r="J23" s="318"/>
      <c r="K23" s="2086"/>
      <c r="L23" s="261"/>
      <c r="M23" s="2086"/>
      <c r="N23" s="261"/>
      <c r="O23" s="2086"/>
      <c r="P23" s="261"/>
      <c r="Q23" s="516"/>
      <c r="R23" s="261"/>
      <c r="S23" s="516"/>
      <c r="T23" s="261"/>
      <c r="U23" s="516"/>
      <c r="V23" s="261"/>
      <c r="W23" s="516"/>
      <c r="X23" s="261"/>
      <c r="Y23" s="516"/>
      <c r="Z23" s="261"/>
      <c r="AA23" s="2086"/>
      <c r="AB23" s="2086"/>
      <c r="AC23" s="1190">
        <v>0</v>
      </c>
      <c r="AD23" s="318"/>
      <c r="AE23" s="1270"/>
      <c r="AF23" s="319">
        <f t="shared" si="1"/>
        <v>0</v>
      </c>
      <c r="AG23" s="2801"/>
      <c r="AH23" s="262"/>
      <c r="AI23" s="318">
        <v>0</v>
      </c>
      <c r="AJ23" s="319"/>
      <c r="AK23" s="2089"/>
      <c r="AL23" s="319">
        <f>ROUND(AF23-AI23,1)</f>
        <v>0</v>
      </c>
      <c r="AM23" s="655"/>
      <c r="AN23" s="45">
        <f t="shared" si="2"/>
        <v>0</v>
      </c>
    </row>
    <row r="24" spans="1:40" ht="15.6">
      <c r="A24" s="223"/>
      <c r="B24" s="1784" t="s">
        <v>1215</v>
      </c>
      <c r="C24" s="223"/>
      <c r="D24" s="307"/>
      <c r="E24" s="2086">
        <v>0</v>
      </c>
      <c r="F24" s="318"/>
      <c r="G24" s="2086"/>
      <c r="H24" s="318"/>
      <c r="I24" s="2086"/>
      <c r="J24" s="318"/>
      <c r="K24" s="2086"/>
      <c r="L24" s="261"/>
      <c r="M24" s="2086"/>
      <c r="N24" s="261"/>
      <c r="O24" s="2086"/>
      <c r="P24" s="261"/>
      <c r="Q24" s="516"/>
      <c r="R24" s="261"/>
      <c r="S24" s="516"/>
      <c r="T24" s="261"/>
      <c r="U24" s="516"/>
      <c r="V24" s="261"/>
      <c r="W24" s="516"/>
      <c r="X24" s="261"/>
      <c r="Y24" s="516"/>
      <c r="Z24" s="261"/>
      <c r="AA24" s="2086"/>
      <c r="AB24" s="2086"/>
      <c r="AC24" s="1190">
        <v>0</v>
      </c>
      <c r="AD24" s="318"/>
      <c r="AE24" s="1270"/>
      <c r="AF24" s="319">
        <f t="shared" si="1"/>
        <v>0</v>
      </c>
      <c r="AG24" s="2092"/>
      <c r="AH24" s="262"/>
      <c r="AI24" s="318">
        <v>0</v>
      </c>
      <c r="AJ24" s="319"/>
      <c r="AK24" s="2089"/>
      <c r="AL24" s="319">
        <f t="shared" si="0"/>
        <v>0</v>
      </c>
      <c r="AM24" s="655"/>
      <c r="AN24" s="45">
        <f t="shared" si="2"/>
        <v>0</v>
      </c>
    </row>
    <row r="25" spans="1:40" ht="15.6">
      <c r="A25" s="223"/>
      <c r="B25" s="1784" t="s">
        <v>1216</v>
      </c>
      <c r="C25" s="223"/>
      <c r="D25" s="307"/>
      <c r="E25" s="2086">
        <v>0</v>
      </c>
      <c r="F25" s="318"/>
      <c r="G25" s="2086"/>
      <c r="H25" s="318"/>
      <c r="I25" s="2086"/>
      <c r="J25" s="318"/>
      <c r="K25" s="2086"/>
      <c r="L25" s="261"/>
      <c r="M25" s="2086"/>
      <c r="N25" s="261"/>
      <c r="O25" s="2086"/>
      <c r="P25" s="261"/>
      <c r="Q25" s="516"/>
      <c r="R25" s="261"/>
      <c r="S25" s="516"/>
      <c r="T25" s="261"/>
      <c r="U25" s="516"/>
      <c r="V25" s="261"/>
      <c r="W25" s="516"/>
      <c r="X25" s="261"/>
      <c r="Y25" s="516"/>
      <c r="Z25" s="261"/>
      <c r="AA25" s="2086"/>
      <c r="AB25" s="2086"/>
      <c r="AC25" s="1190">
        <v>0</v>
      </c>
      <c r="AD25" s="318"/>
      <c r="AE25" s="1270"/>
      <c r="AF25" s="319">
        <f t="shared" si="1"/>
        <v>0</v>
      </c>
      <c r="AG25" s="2092"/>
      <c r="AH25" s="262"/>
      <c r="AI25" s="318">
        <v>0</v>
      </c>
      <c r="AJ25" s="319"/>
      <c r="AK25" s="2089"/>
      <c r="AL25" s="319">
        <f t="shared" si="0"/>
        <v>0</v>
      </c>
      <c r="AM25" s="655"/>
      <c r="AN25" s="45">
        <f t="shared" si="2"/>
        <v>0</v>
      </c>
    </row>
    <row r="26" spans="1:40" ht="15.6">
      <c r="A26" s="223"/>
      <c r="B26" s="1784" t="s">
        <v>1174</v>
      </c>
      <c r="C26" s="223"/>
      <c r="D26" s="307"/>
      <c r="E26" s="2086">
        <v>0</v>
      </c>
      <c r="F26" s="318"/>
      <c r="G26" s="2086"/>
      <c r="H26" s="318"/>
      <c r="I26" s="2086"/>
      <c r="J26" s="318"/>
      <c r="K26" s="2086"/>
      <c r="L26" s="261"/>
      <c r="M26" s="2086"/>
      <c r="N26" s="261"/>
      <c r="O26" s="2086"/>
      <c r="P26" s="261"/>
      <c r="Q26" s="516"/>
      <c r="R26" s="261"/>
      <c r="S26" s="516"/>
      <c r="T26" s="261"/>
      <c r="U26" s="516"/>
      <c r="V26" s="261"/>
      <c r="W26" s="516"/>
      <c r="X26" s="261"/>
      <c r="Y26" s="516"/>
      <c r="Z26" s="261"/>
      <c r="AA26" s="2086"/>
      <c r="AB26" s="2086"/>
      <c r="AC26" s="1190">
        <v>0</v>
      </c>
      <c r="AD26" s="318"/>
      <c r="AE26" s="1270"/>
      <c r="AF26" s="319">
        <f t="shared" si="1"/>
        <v>0</v>
      </c>
      <c r="AG26" s="2092"/>
      <c r="AH26" s="262"/>
      <c r="AI26" s="318">
        <v>0</v>
      </c>
      <c r="AJ26" s="319"/>
      <c r="AK26" s="2089"/>
      <c r="AL26" s="319">
        <f t="shared" si="0"/>
        <v>0</v>
      </c>
      <c r="AM26" s="655"/>
      <c r="AN26" s="45">
        <f t="shared" si="2"/>
        <v>0</v>
      </c>
    </row>
    <row r="27" spans="1:40" ht="15.6">
      <c r="A27" s="223"/>
      <c r="B27" s="1784" t="s">
        <v>1175</v>
      </c>
      <c r="C27" s="223"/>
      <c r="D27" s="307"/>
      <c r="E27" s="2086">
        <v>0</v>
      </c>
      <c r="F27" s="318"/>
      <c r="G27" s="2086"/>
      <c r="H27" s="318"/>
      <c r="I27" s="2086"/>
      <c r="J27" s="318"/>
      <c r="K27" s="2086"/>
      <c r="L27" s="261"/>
      <c r="M27" s="2086"/>
      <c r="N27" s="261"/>
      <c r="O27" s="2086"/>
      <c r="P27" s="261"/>
      <c r="Q27" s="516"/>
      <c r="R27" s="261"/>
      <c r="S27" s="516"/>
      <c r="T27" s="261"/>
      <c r="U27" s="516"/>
      <c r="V27" s="261"/>
      <c r="W27" s="516"/>
      <c r="X27" s="261"/>
      <c r="Y27" s="516"/>
      <c r="Z27" s="261"/>
      <c r="AA27" s="2086"/>
      <c r="AB27" s="2086"/>
      <c r="AC27" s="1190">
        <v>0</v>
      </c>
      <c r="AD27" s="318"/>
      <c r="AE27" s="1270"/>
      <c r="AF27" s="319">
        <f t="shared" si="1"/>
        <v>0</v>
      </c>
      <c r="AG27" s="2092"/>
      <c r="AH27" s="262"/>
      <c r="AI27" s="318">
        <v>0</v>
      </c>
      <c r="AJ27" s="319"/>
      <c r="AK27" s="2089"/>
      <c r="AL27" s="319">
        <f t="shared" si="0"/>
        <v>0</v>
      </c>
      <c r="AM27" s="655"/>
      <c r="AN27" s="45">
        <f t="shared" si="2"/>
        <v>0</v>
      </c>
    </row>
    <row r="28" spans="1:40" ht="15.6">
      <c r="A28" s="223"/>
      <c r="B28" s="1784" t="s">
        <v>1305</v>
      </c>
      <c r="C28" s="223"/>
      <c r="D28" s="307"/>
      <c r="E28" s="2086"/>
      <c r="F28" s="318"/>
      <c r="G28" s="2086"/>
      <c r="H28" s="318"/>
      <c r="I28" s="2086"/>
      <c r="J28" s="318"/>
      <c r="K28" s="2086"/>
      <c r="L28" s="261"/>
      <c r="M28" s="2086"/>
      <c r="N28" s="261"/>
      <c r="O28" s="2086"/>
      <c r="P28" s="261"/>
      <c r="Q28" s="516"/>
      <c r="R28" s="261"/>
      <c r="S28" s="516"/>
      <c r="T28" s="261"/>
      <c r="U28" s="516"/>
      <c r="V28" s="261"/>
      <c r="W28" s="516"/>
      <c r="X28" s="261"/>
      <c r="Y28" s="516"/>
      <c r="Z28" s="261"/>
      <c r="AA28" s="2086"/>
      <c r="AB28" s="2086"/>
      <c r="AC28" s="1190"/>
      <c r="AD28" s="318"/>
      <c r="AE28" s="1270"/>
      <c r="AF28" s="319"/>
      <c r="AG28" s="2092"/>
      <c r="AH28" s="262"/>
      <c r="AI28" s="318"/>
      <c r="AJ28" s="319"/>
      <c r="AK28" s="2089"/>
      <c r="AL28" s="1336" t="s">
        <v>16</v>
      </c>
      <c r="AM28" s="655"/>
      <c r="AN28" s="1816" t="s">
        <v>16</v>
      </c>
    </row>
    <row r="29" spans="1:40" ht="15.6">
      <c r="A29" s="223"/>
      <c r="B29" s="1784" t="s">
        <v>1220</v>
      </c>
      <c r="C29" s="223"/>
      <c r="D29" s="307"/>
      <c r="E29" s="2086">
        <v>0</v>
      </c>
      <c r="F29" s="318"/>
      <c r="G29" s="2086"/>
      <c r="H29" s="318"/>
      <c r="I29" s="2086"/>
      <c r="J29" s="318"/>
      <c r="K29" s="2086"/>
      <c r="L29" s="261"/>
      <c r="M29" s="2086"/>
      <c r="N29" s="261"/>
      <c r="O29" s="2086"/>
      <c r="P29" s="261"/>
      <c r="Q29" s="516"/>
      <c r="R29" s="261"/>
      <c r="S29" s="516"/>
      <c r="T29" s="261"/>
      <c r="U29" s="516"/>
      <c r="V29" s="261"/>
      <c r="W29" s="516"/>
      <c r="X29" s="261"/>
      <c r="Y29" s="516"/>
      <c r="Z29" s="261"/>
      <c r="AA29" s="2086"/>
      <c r="AB29" s="2086"/>
      <c r="AC29" s="1190">
        <v>0</v>
      </c>
      <c r="AD29" s="318"/>
      <c r="AE29" s="1270"/>
      <c r="AF29" s="319">
        <f>ROUND(SUM(E29:AC29),1)</f>
        <v>0</v>
      </c>
      <c r="AG29" s="2092"/>
      <c r="AH29" s="262"/>
      <c r="AI29" s="318">
        <v>0</v>
      </c>
      <c r="AJ29" s="319"/>
      <c r="AK29" s="2089"/>
      <c r="AL29" s="319">
        <f t="shared" si="0"/>
        <v>0</v>
      </c>
      <c r="AM29" s="655"/>
      <c r="AN29" s="45">
        <f>ROUND(IF(AI29=0,0,AL29/ABS(AI29)),3)</f>
        <v>0</v>
      </c>
    </row>
    <row r="30" spans="1:40" ht="15.6">
      <c r="A30" s="223"/>
      <c r="B30" s="1784" t="s">
        <v>1222</v>
      </c>
      <c r="C30" s="223"/>
      <c r="D30" s="307"/>
      <c r="E30" s="2086">
        <v>0</v>
      </c>
      <c r="F30" s="2086">
        <v>0</v>
      </c>
      <c r="G30" s="2086"/>
      <c r="H30" s="2086"/>
      <c r="I30" s="2086"/>
      <c r="J30" s="2086"/>
      <c r="K30" s="2086"/>
      <c r="L30" s="2086"/>
      <c r="M30" s="2086"/>
      <c r="N30" s="2086"/>
      <c r="O30" s="2086"/>
      <c r="P30" s="2086"/>
      <c r="Q30" s="2086"/>
      <c r="R30" s="2086"/>
      <c r="S30" s="2086"/>
      <c r="T30" s="261"/>
      <c r="U30" s="2086"/>
      <c r="V30" s="261"/>
      <c r="W30" s="516"/>
      <c r="X30" s="261"/>
      <c r="Y30" s="2086"/>
      <c r="Z30" s="261"/>
      <c r="AA30" s="2086"/>
      <c r="AB30" s="2086"/>
      <c r="AC30" s="1190">
        <v>0</v>
      </c>
      <c r="AD30" s="318"/>
      <c r="AE30" s="1270"/>
      <c r="AF30" s="319">
        <f>ROUND(SUM(E30:AC30),1)</f>
        <v>0</v>
      </c>
      <c r="AG30" s="2801"/>
      <c r="AH30" s="262"/>
      <c r="AI30" s="318">
        <v>0</v>
      </c>
      <c r="AJ30" s="319"/>
      <c r="AK30" s="2089"/>
      <c r="AL30" s="319">
        <f t="shared" si="0"/>
        <v>0</v>
      </c>
      <c r="AM30" s="655"/>
      <c r="AN30" s="45">
        <f>ROUND(IF(AI30=0,0,AL30/ABS(AI30)),3)</f>
        <v>0</v>
      </c>
    </row>
    <row r="31" spans="1:40" ht="15.6">
      <c r="A31" s="223"/>
      <c r="B31" s="1784" t="s">
        <v>1223</v>
      </c>
      <c r="C31" s="223"/>
      <c r="D31" s="307"/>
      <c r="E31" s="2086">
        <v>0</v>
      </c>
      <c r="F31" s="318"/>
      <c r="G31" s="2086"/>
      <c r="H31" s="318"/>
      <c r="I31" s="2086"/>
      <c r="J31" s="318"/>
      <c r="K31" s="2086"/>
      <c r="L31" s="261"/>
      <c r="M31" s="2086"/>
      <c r="N31" s="261"/>
      <c r="O31" s="2086"/>
      <c r="P31" s="261"/>
      <c r="Q31" s="516"/>
      <c r="R31" s="261"/>
      <c r="S31" s="516"/>
      <c r="T31" s="261"/>
      <c r="U31" s="516"/>
      <c r="V31" s="261"/>
      <c r="W31" s="516"/>
      <c r="X31" s="261"/>
      <c r="Y31" s="516"/>
      <c r="Z31" s="261"/>
      <c r="AA31" s="2086"/>
      <c r="AB31" s="2086"/>
      <c r="AC31" s="1190">
        <v>0</v>
      </c>
      <c r="AD31" s="318"/>
      <c r="AE31" s="1270"/>
      <c r="AF31" s="319">
        <f>ROUND(SUM(E31:AC31),1)</f>
        <v>0</v>
      </c>
      <c r="AG31" s="2092"/>
      <c r="AH31" s="262"/>
      <c r="AI31" s="318">
        <v>0</v>
      </c>
      <c r="AJ31" s="319"/>
      <c r="AK31" s="2089"/>
      <c r="AL31" s="319">
        <f t="shared" si="0"/>
        <v>0</v>
      </c>
      <c r="AM31" s="655"/>
      <c r="AN31" s="45">
        <f>ROUND(IF(AI31=0,0,AL31/ABS(AI31)),3)</f>
        <v>0</v>
      </c>
    </row>
    <row r="32" spans="1:40" ht="15.6">
      <c r="A32" s="223"/>
      <c r="B32" s="1784" t="s">
        <v>1193</v>
      </c>
      <c r="C32" s="223"/>
      <c r="D32" s="307"/>
      <c r="E32" s="2086">
        <v>0</v>
      </c>
      <c r="F32" s="318"/>
      <c r="G32" s="2086"/>
      <c r="H32" s="318"/>
      <c r="I32" s="2086"/>
      <c r="J32" s="318"/>
      <c r="K32" s="2086"/>
      <c r="L32" s="261"/>
      <c r="M32" s="2086"/>
      <c r="N32" s="261"/>
      <c r="O32" s="2086"/>
      <c r="P32" s="261"/>
      <c r="Q32" s="516"/>
      <c r="R32" s="261"/>
      <c r="S32" s="516"/>
      <c r="T32" s="261"/>
      <c r="U32" s="516"/>
      <c r="V32" s="261"/>
      <c r="W32" s="516"/>
      <c r="X32" s="261"/>
      <c r="Y32" s="516"/>
      <c r="Z32" s="261"/>
      <c r="AA32" s="2086"/>
      <c r="AB32" s="2086"/>
      <c r="AC32" s="1190">
        <v>0</v>
      </c>
      <c r="AD32" s="318"/>
      <c r="AE32" s="1270"/>
      <c r="AF32" s="319">
        <f>ROUND(SUM(E32:AC32),1)</f>
        <v>0</v>
      </c>
      <c r="AG32" s="2092"/>
      <c r="AH32" s="262"/>
      <c r="AI32" s="318">
        <v>0</v>
      </c>
      <c r="AJ32" s="319"/>
      <c r="AK32" s="2089"/>
      <c r="AL32" s="319">
        <f t="shared" si="0"/>
        <v>0</v>
      </c>
      <c r="AM32" s="655"/>
      <c r="AN32" s="45">
        <f>ROUND(IF(AI32=0,0,AL32/ABS(AI32)),3)</f>
        <v>0</v>
      </c>
    </row>
    <row r="33" spans="1:41" ht="15.6">
      <c r="A33" s="223"/>
      <c r="B33" s="1784" t="s">
        <v>1194</v>
      </c>
      <c r="C33" s="223"/>
      <c r="D33" s="307"/>
      <c r="E33" s="2086">
        <v>0.1</v>
      </c>
      <c r="F33" s="318"/>
      <c r="G33" s="2086"/>
      <c r="H33" s="318"/>
      <c r="I33" s="2086"/>
      <c r="J33" s="318"/>
      <c r="K33" s="2086"/>
      <c r="L33" s="261"/>
      <c r="M33" s="2086"/>
      <c r="N33" s="261"/>
      <c r="O33" s="516"/>
      <c r="P33" s="261"/>
      <c r="Q33" s="516"/>
      <c r="R33" s="261"/>
      <c r="S33" s="516"/>
      <c r="T33" s="261"/>
      <c r="U33" s="516"/>
      <c r="V33" s="261"/>
      <c r="W33" s="516"/>
      <c r="X33" s="261"/>
      <c r="Y33" s="516"/>
      <c r="Z33" s="261"/>
      <c r="AA33" s="2086"/>
      <c r="AB33" s="2086"/>
      <c r="AC33" s="1190">
        <v>0</v>
      </c>
      <c r="AD33" s="318"/>
      <c r="AE33" s="1270"/>
      <c r="AF33" s="319">
        <f>ROUND(SUM(E33:AC33),1)</f>
        <v>0.1</v>
      </c>
      <c r="AG33" s="2092"/>
      <c r="AH33" s="262"/>
      <c r="AI33" s="318">
        <v>0.1</v>
      </c>
      <c r="AJ33" s="319"/>
      <c r="AK33" s="2089"/>
      <c r="AL33" s="319">
        <f t="shared" si="0"/>
        <v>0</v>
      </c>
      <c r="AM33" s="655"/>
      <c r="AN33" s="45">
        <f>ROUND(IF(AI33=0,0,AL33/ABS(AI33)),3)</f>
        <v>0</v>
      </c>
    </row>
    <row r="34" spans="1:41" ht="15.6">
      <c r="A34" s="223"/>
      <c r="B34" s="1784" t="s">
        <v>1306</v>
      </c>
      <c r="C34" s="223"/>
      <c r="D34" s="307"/>
      <c r="E34" s="2086"/>
      <c r="F34" s="318"/>
      <c r="G34" s="2086"/>
      <c r="H34" s="318"/>
      <c r="I34" s="2086"/>
      <c r="J34" s="318"/>
      <c r="K34" s="2086"/>
      <c r="L34" s="261"/>
      <c r="M34" s="2086"/>
      <c r="N34" s="261"/>
      <c r="O34" s="516"/>
      <c r="P34" s="261"/>
      <c r="Q34" s="516"/>
      <c r="R34" s="261"/>
      <c r="S34" s="516"/>
      <c r="T34" s="261"/>
      <c r="U34" s="516"/>
      <c r="V34" s="261"/>
      <c r="W34" s="516"/>
      <c r="X34" s="261"/>
      <c r="Y34" s="516"/>
      <c r="Z34" s="261"/>
      <c r="AA34" s="2086"/>
      <c r="AB34" s="2086"/>
      <c r="AC34" s="2086"/>
      <c r="AD34" s="318"/>
      <c r="AE34" s="1270"/>
      <c r="AF34" s="319"/>
      <c r="AG34" s="2092"/>
      <c r="AH34" s="262"/>
      <c r="AI34" s="318"/>
      <c r="AJ34" s="319"/>
      <c r="AK34" s="2089"/>
      <c r="AL34" s="1336" t="s">
        <v>16</v>
      </c>
      <c r="AM34" s="655"/>
      <c r="AN34" s="1816" t="s">
        <v>16</v>
      </c>
    </row>
    <row r="35" spans="1:41" ht="15.6">
      <c r="A35" s="223"/>
      <c r="B35" s="1784" t="s">
        <v>1224</v>
      </c>
      <c r="C35" s="223"/>
      <c r="D35" s="307"/>
      <c r="E35" s="2086">
        <v>0</v>
      </c>
      <c r="F35" s="318"/>
      <c r="G35" s="2086"/>
      <c r="H35" s="318"/>
      <c r="I35" s="2086"/>
      <c r="J35" s="318"/>
      <c r="K35" s="2086"/>
      <c r="L35" s="261"/>
      <c r="M35" s="2086"/>
      <c r="N35" s="261"/>
      <c r="O35" s="516"/>
      <c r="P35" s="261"/>
      <c r="Q35" s="516"/>
      <c r="R35" s="261"/>
      <c r="S35" s="516"/>
      <c r="T35" s="261"/>
      <c r="U35" s="516"/>
      <c r="V35" s="261"/>
      <c r="W35" s="516"/>
      <c r="X35" s="261"/>
      <c r="Y35" s="516"/>
      <c r="Z35" s="261"/>
      <c r="AA35" s="2086"/>
      <c r="AB35" s="2086"/>
      <c r="AC35" s="1190">
        <v>0</v>
      </c>
      <c r="AD35" s="318"/>
      <c r="AE35" s="1270"/>
      <c r="AF35" s="319">
        <f t="shared" ref="AF35:AF40" si="3">ROUND(SUM(E35:AC35),1)</f>
        <v>0</v>
      </c>
      <c r="AG35" s="2092"/>
      <c r="AH35" s="262"/>
      <c r="AI35" s="318">
        <v>0</v>
      </c>
      <c r="AJ35" s="319"/>
      <c r="AK35" s="2089"/>
      <c r="AL35" s="319">
        <f t="shared" si="0"/>
        <v>0</v>
      </c>
      <c r="AM35" s="655"/>
      <c r="AN35" s="45">
        <f>ROUND(IF(AI35=0,0,AL35/ABS(AI35)),3)</f>
        <v>0</v>
      </c>
    </row>
    <row r="36" spans="1:41" ht="15.6">
      <c r="A36" s="223"/>
      <c r="B36" s="1784" t="s">
        <v>1226</v>
      </c>
      <c r="C36" s="223"/>
      <c r="D36" s="307"/>
      <c r="E36" s="2086">
        <v>0</v>
      </c>
      <c r="F36" s="318"/>
      <c r="G36" s="2086"/>
      <c r="H36" s="318"/>
      <c r="I36" s="2086"/>
      <c r="J36" s="318"/>
      <c r="K36" s="2086"/>
      <c r="L36" s="261"/>
      <c r="M36" s="2086"/>
      <c r="N36" s="261"/>
      <c r="O36" s="516"/>
      <c r="P36" s="261"/>
      <c r="Q36" s="516"/>
      <c r="R36" s="261"/>
      <c r="S36" s="516"/>
      <c r="T36" s="261"/>
      <c r="U36" s="516"/>
      <c r="V36" s="261"/>
      <c r="W36" s="516"/>
      <c r="X36" s="261"/>
      <c r="Y36" s="516"/>
      <c r="Z36" s="261"/>
      <c r="AA36" s="2086"/>
      <c r="AB36" s="2086"/>
      <c r="AC36" s="1190">
        <v>0</v>
      </c>
      <c r="AD36" s="318"/>
      <c r="AE36" s="1270"/>
      <c r="AF36" s="319">
        <f t="shared" si="3"/>
        <v>0</v>
      </c>
      <c r="AG36" s="2092"/>
      <c r="AH36" s="262"/>
      <c r="AI36" s="318">
        <v>0</v>
      </c>
      <c r="AJ36" s="319"/>
      <c r="AK36" s="2089"/>
      <c r="AL36" s="319">
        <f t="shared" si="0"/>
        <v>0</v>
      </c>
      <c r="AM36" s="655"/>
      <c r="AN36" s="45">
        <f>ROUND(IF(AI36=0,0,AL36/ABS(AI36)),3)</f>
        <v>0</v>
      </c>
    </row>
    <row r="37" spans="1:41" ht="15.6">
      <c r="A37" s="223"/>
      <c r="B37" s="1784" t="s">
        <v>1227</v>
      </c>
      <c r="C37" s="223"/>
      <c r="D37" s="307"/>
      <c r="E37" s="2086">
        <v>0</v>
      </c>
      <c r="F37" s="318"/>
      <c r="G37" s="2086"/>
      <c r="H37" s="318"/>
      <c r="I37" s="2086"/>
      <c r="J37" s="318"/>
      <c r="K37" s="2086"/>
      <c r="L37" s="261"/>
      <c r="M37" s="2086"/>
      <c r="N37" s="261"/>
      <c r="O37" s="516"/>
      <c r="P37" s="261"/>
      <c r="Q37" s="516"/>
      <c r="R37" s="261"/>
      <c r="S37" s="516"/>
      <c r="T37" s="261"/>
      <c r="U37" s="516"/>
      <c r="V37" s="261"/>
      <c r="W37" s="516"/>
      <c r="X37" s="261"/>
      <c r="Y37" s="516"/>
      <c r="Z37" s="261"/>
      <c r="AA37" s="2086"/>
      <c r="AB37" s="2086"/>
      <c r="AC37" s="3008">
        <v>0</v>
      </c>
      <c r="AD37" s="318"/>
      <c r="AE37" s="1270"/>
      <c r="AF37" s="319">
        <f t="shared" si="3"/>
        <v>0</v>
      </c>
      <c r="AG37" s="3233"/>
      <c r="AH37" s="262"/>
      <c r="AI37" s="318">
        <v>0</v>
      </c>
      <c r="AJ37" s="319"/>
      <c r="AK37" s="2089"/>
      <c r="AL37" s="319">
        <f t="shared" si="0"/>
        <v>0</v>
      </c>
      <c r="AM37" s="655"/>
      <c r="AN37" s="45">
        <f>ROUND(IF(AI37=0,0,AL37/ABS(AI37)),3)</f>
        <v>0</v>
      </c>
    </row>
    <row r="38" spans="1:41" ht="15.6">
      <c r="A38" s="223"/>
      <c r="B38" s="1784" t="s">
        <v>1230</v>
      </c>
      <c r="C38" s="223"/>
      <c r="D38" s="307"/>
      <c r="E38" s="2086">
        <v>0</v>
      </c>
      <c r="F38" s="318"/>
      <c r="G38" s="2086"/>
      <c r="H38" s="318"/>
      <c r="I38" s="2086"/>
      <c r="J38" s="318"/>
      <c r="K38" s="2086"/>
      <c r="L38" s="261"/>
      <c r="M38" s="2086"/>
      <c r="N38" s="261"/>
      <c r="O38" s="516"/>
      <c r="P38" s="261"/>
      <c r="Q38" s="516"/>
      <c r="R38" s="261"/>
      <c r="S38" s="516"/>
      <c r="T38" s="261"/>
      <c r="U38" s="516"/>
      <c r="V38" s="261"/>
      <c r="W38" s="516"/>
      <c r="X38" s="261"/>
      <c r="Y38" s="516"/>
      <c r="Z38" s="261"/>
      <c r="AA38" s="2086"/>
      <c r="AB38" s="2086"/>
      <c r="AC38" s="1190">
        <v>0</v>
      </c>
      <c r="AD38" s="318"/>
      <c r="AE38" s="1270"/>
      <c r="AF38" s="319">
        <f t="shared" si="3"/>
        <v>0</v>
      </c>
      <c r="AG38" s="2092"/>
      <c r="AH38" s="262"/>
      <c r="AI38" s="318">
        <v>0</v>
      </c>
      <c r="AJ38" s="319"/>
      <c r="AK38" s="2089"/>
      <c r="AL38" s="319">
        <f t="shared" si="0"/>
        <v>0</v>
      </c>
      <c r="AM38" s="655"/>
      <c r="AN38" s="45">
        <f>ROUND(IF(AI38=0,0,AL38/ABS(AI38)),3)</f>
        <v>0</v>
      </c>
    </row>
    <row r="39" spans="1:41" ht="15.6">
      <c r="A39" s="223"/>
      <c r="B39" s="1784" t="s">
        <v>1232</v>
      </c>
      <c r="C39" s="223"/>
      <c r="D39" s="307"/>
      <c r="E39" s="2086">
        <v>0</v>
      </c>
      <c r="F39" s="318"/>
      <c r="G39" s="2086"/>
      <c r="H39" s="318"/>
      <c r="I39" s="2086"/>
      <c r="J39" s="318"/>
      <c r="K39" s="2086"/>
      <c r="L39" s="261"/>
      <c r="M39" s="2086"/>
      <c r="N39" s="261"/>
      <c r="O39" s="516"/>
      <c r="P39" s="261"/>
      <c r="Q39" s="516"/>
      <c r="R39" s="261"/>
      <c r="S39" s="516"/>
      <c r="T39" s="261"/>
      <c r="U39" s="516"/>
      <c r="V39" s="261"/>
      <c r="W39" s="516"/>
      <c r="X39" s="261"/>
      <c r="Y39" s="516"/>
      <c r="Z39" s="261"/>
      <c r="AA39" s="2086"/>
      <c r="AB39" s="2086"/>
      <c r="AC39" s="1190">
        <v>0</v>
      </c>
      <c r="AD39" s="318"/>
      <c r="AE39" s="1270"/>
      <c r="AF39" s="319">
        <f t="shared" si="3"/>
        <v>0</v>
      </c>
      <c r="AG39" s="2092"/>
      <c r="AH39" s="262"/>
      <c r="AI39" s="318">
        <v>0</v>
      </c>
      <c r="AJ39" s="319"/>
      <c r="AK39" s="2089"/>
      <c r="AL39" s="319">
        <f t="shared" si="0"/>
        <v>0</v>
      </c>
      <c r="AM39" s="655"/>
      <c r="AN39" s="45">
        <f>ROUND(IF(AI39=0,0,AL39/ABS(AI39)),3)</f>
        <v>0</v>
      </c>
    </row>
    <row r="40" spans="1:41" ht="15.6">
      <c r="A40" s="223"/>
      <c r="B40" s="1784" t="s">
        <v>1204</v>
      </c>
      <c r="C40" s="223"/>
      <c r="D40" s="307"/>
      <c r="E40" s="2086">
        <v>0.9</v>
      </c>
      <c r="F40" s="318"/>
      <c r="G40" s="2086"/>
      <c r="H40" s="318"/>
      <c r="I40" s="2086"/>
      <c r="J40" s="318"/>
      <c r="K40" s="2086"/>
      <c r="L40" s="261"/>
      <c r="M40" s="2086"/>
      <c r="N40" s="261"/>
      <c r="O40" s="516"/>
      <c r="P40" s="261"/>
      <c r="Q40" s="516"/>
      <c r="R40" s="261"/>
      <c r="S40" s="516"/>
      <c r="T40" s="261"/>
      <c r="U40" s="516"/>
      <c r="V40" s="261"/>
      <c r="W40" s="516"/>
      <c r="X40" s="261"/>
      <c r="Y40" s="516"/>
      <c r="Z40" s="261"/>
      <c r="AA40" s="2086"/>
      <c r="AB40" s="2086"/>
      <c r="AC40" s="1190">
        <v>0</v>
      </c>
      <c r="AD40" s="318"/>
      <c r="AE40" s="1270"/>
      <c r="AF40" s="319">
        <f t="shared" si="3"/>
        <v>0.9</v>
      </c>
      <c r="AG40" s="2092"/>
      <c r="AH40" s="262"/>
      <c r="AI40" s="318">
        <v>0.1</v>
      </c>
      <c r="AJ40" s="319"/>
      <c r="AK40" s="2089"/>
      <c r="AL40" s="319">
        <f t="shared" si="0"/>
        <v>0.8</v>
      </c>
      <c r="AM40" s="655"/>
      <c r="AN40" s="2741">
        <f>ROUND(IF(AI40=0,1,AL40/ABS(AI40)),3)</f>
        <v>8</v>
      </c>
    </row>
    <row r="41" spans="1:41" s="650" customFormat="1" ht="15.6" collapsed="1">
      <c r="A41" s="221"/>
      <c r="B41" s="588" t="s">
        <v>1242</v>
      </c>
      <c r="C41" s="221"/>
      <c r="D41" s="305"/>
      <c r="E41" s="1269">
        <f>ROUND(SUM(E18:E40),1)</f>
        <v>1</v>
      </c>
      <c r="F41" s="312"/>
      <c r="G41" s="1269">
        <f>ROUND(SUM(G18:G40),1)</f>
        <v>0</v>
      </c>
      <c r="H41" s="2111"/>
      <c r="I41" s="1269">
        <f>ROUND(SUM(I18:I40),1)</f>
        <v>0</v>
      </c>
      <c r="J41" s="312"/>
      <c r="K41" s="1269">
        <f>ROUND(SUM(K18:K40),1)</f>
        <v>0</v>
      </c>
      <c r="L41" s="1838"/>
      <c r="M41" s="1269">
        <f>ROUND(SUM(M18:M40),1)</f>
        <v>0</v>
      </c>
      <c r="N41" s="1838"/>
      <c r="O41" s="1269">
        <f>ROUND(SUM(O18:O40),1)</f>
        <v>0</v>
      </c>
      <c r="P41" s="1838"/>
      <c r="Q41" s="1269">
        <f>ROUND(SUM(Q18:Q40),1)</f>
        <v>0</v>
      </c>
      <c r="R41" s="1838"/>
      <c r="S41" s="1269">
        <f>ROUND(SUM(S18:S40),1)</f>
        <v>0</v>
      </c>
      <c r="T41" s="1838"/>
      <c r="U41" s="3009">
        <f>ROUND(SUM(U18:U40),1)</f>
        <v>0</v>
      </c>
      <c r="V41" s="1838"/>
      <c r="W41" s="1269">
        <f>ROUND(SUM(W18:W40),1)</f>
        <v>0</v>
      </c>
      <c r="X41" s="1838"/>
      <c r="Y41" s="1269">
        <f>ROUND(SUM(Y18:Y40),1)</f>
        <v>0</v>
      </c>
      <c r="Z41" s="1838"/>
      <c r="AA41" s="1269">
        <f>ROUND(SUM(AA18:AA40),1)</f>
        <v>0</v>
      </c>
      <c r="AB41" s="315"/>
      <c r="AC41" s="1269">
        <f>ROUND(SUM(AC18:AC40),1)</f>
        <v>0</v>
      </c>
      <c r="AD41" s="312"/>
      <c r="AE41" s="1271"/>
      <c r="AF41" s="1269">
        <f>ROUND(SUM(AF18:AF40),1)</f>
        <v>1</v>
      </c>
      <c r="AG41" s="2093"/>
      <c r="AH41" s="315"/>
      <c r="AI41" s="1269">
        <f>ROUND(SUM(AI18:AI40),1)</f>
        <v>0.2</v>
      </c>
      <c r="AJ41" s="2136"/>
      <c r="AK41" s="2089"/>
      <c r="AL41" s="1269">
        <f>ROUND(SUM(AL18:AL40),1)</f>
        <v>0.8</v>
      </c>
      <c r="AM41" s="2049"/>
      <c r="AN41" s="72">
        <f>ROUND(IF(AI41=0,0,AL41/ABS(AI41)),3)</f>
        <v>4</v>
      </c>
    </row>
    <row r="42" spans="1:41" s="679" customFormat="1" ht="15.6">
      <c r="A42" s="261"/>
      <c r="B42" s="2028"/>
      <c r="C42" s="261"/>
      <c r="D42" s="318"/>
      <c r="E42" s="2086"/>
      <c r="F42" s="318"/>
      <c r="G42" s="686"/>
      <c r="H42" s="318"/>
      <c r="I42" s="2086"/>
      <c r="J42" s="318"/>
      <c r="K42" s="686"/>
      <c r="L42" s="261"/>
      <c r="M42" s="516"/>
      <c r="N42" s="261"/>
      <c r="O42" s="515"/>
      <c r="P42" s="261"/>
      <c r="Q42" s="516"/>
      <c r="R42" s="261"/>
      <c r="S42" s="515"/>
      <c r="T42" s="261"/>
      <c r="U42" s="515"/>
      <c r="V42" s="261"/>
      <c r="W42" s="516"/>
      <c r="X42" s="261"/>
      <c r="Y42" s="516"/>
      <c r="Z42" s="261"/>
      <c r="AA42" s="2086"/>
      <c r="AB42" s="2086"/>
      <c r="AC42" s="2086"/>
      <c r="AD42" s="318"/>
      <c r="AE42" s="1270"/>
      <c r="AF42" s="319"/>
      <c r="AG42" s="2088"/>
      <c r="AH42" s="1270"/>
      <c r="AI42" s="2086"/>
      <c r="AJ42" s="319"/>
      <c r="AK42" s="2089"/>
      <c r="AL42" s="687"/>
      <c r="AM42" s="251"/>
      <c r="AN42" s="653"/>
      <c r="AO42" s="251"/>
    </row>
    <row r="43" spans="1:41" ht="15.6">
      <c r="A43" s="223"/>
      <c r="B43" s="223" t="s">
        <v>155</v>
      </c>
      <c r="C43" s="223"/>
      <c r="D43" s="307"/>
      <c r="E43" s="318">
        <v>126.2</v>
      </c>
      <c r="F43" s="318"/>
      <c r="G43" s="2086"/>
      <c r="H43" s="318"/>
      <c r="I43" s="2086"/>
      <c r="J43" s="318"/>
      <c r="K43" s="2086"/>
      <c r="L43" s="261"/>
      <c r="M43" s="516"/>
      <c r="N43" s="261"/>
      <c r="O43" s="515"/>
      <c r="P43" s="261"/>
      <c r="Q43" s="516"/>
      <c r="R43" s="261"/>
      <c r="S43" s="515"/>
      <c r="T43" s="261"/>
      <c r="U43" s="515"/>
      <c r="V43" s="261"/>
      <c r="W43" s="261"/>
      <c r="X43" s="261"/>
      <c r="Y43" s="516"/>
      <c r="Z43" s="261"/>
      <c r="AA43" s="318"/>
      <c r="AB43" s="318"/>
      <c r="AC43" s="318">
        <v>0</v>
      </c>
      <c r="AD43" s="318"/>
      <c r="AE43" s="1270"/>
      <c r="AF43" s="319">
        <f>ROUND(SUM(E43:AC43),1)</f>
        <v>126.2</v>
      </c>
      <c r="AG43" s="2088"/>
      <c r="AH43" s="1270"/>
      <c r="AI43" s="318">
        <v>101</v>
      </c>
      <c r="AJ43" s="319"/>
      <c r="AK43" s="2132"/>
      <c r="AL43" s="2155">
        <f>ROUND(AF43-AI43,1)</f>
        <v>25.2</v>
      </c>
      <c r="AM43" s="655"/>
      <c r="AN43" s="1801">
        <f>ROUND(IF(AI43=0,0,AL43/ABS(AI43)),3)</f>
        <v>0.25</v>
      </c>
    </row>
    <row r="44" spans="1:41" ht="15.6">
      <c r="A44" s="223"/>
      <c r="B44" s="223"/>
      <c r="C44" s="223"/>
      <c r="D44" s="307"/>
      <c r="E44" s="327"/>
      <c r="F44" s="318"/>
      <c r="G44" s="327"/>
      <c r="H44" s="318"/>
      <c r="I44" s="327"/>
      <c r="J44" s="318"/>
      <c r="K44" s="327"/>
      <c r="L44" s="261"/>
      <c r="M44" s="288"/>
      <c r="N44" s="261"/>
      <c r="O44" s="288"/>
      <c r="P44" s="261"/>
      <c r="Q44" s="288"/>
      <c r="R44" s="261"/>
      <c r="S44" s="288"/>
      <c r="T44" s="261"/>
      <c r="U44" s="288"/>
      <c r="V44" s="261"/>
      <c r="W44" s="288"/>
      <c r="X44" s="261"/>
      <c r="Y44" s="288"/>
      <c r="Z44" s="261"/>
      <c r="AA44" s="327"/>
      <c r="AB44" s="262"/>
      <c r="AC44" s="327"/>
      <c r="AD44" s="318"/>
      <c r="AE44" s="1270"/>
      <c r="AF44" s="327"/>
      <c r="AG44" s="2088"/>
      <c r="AH44" s="1270"/>
      <c r="AI44" s="327"/>
      <c r="AJ44" s="262"/>
      <c r="AK44" s="2132"/>
      <c r="AL44" s="687"/>
      <c r="AM44" s="645"/>
      <c r="AN44" s="653"/>
    </row>
    <row r="45" spans="1:41" ht="15.6">
      <c r="A45" s="223"/>
      <c r="B45" s="221" t="s">
        <v>203</v>
      </c>
      <c r="C45" s="223"/>
      <c r="D45" s="307"/>
      <c r="E45" s="312">
        <f>ROUND(SUM(E41+E43),1)</f>
        <v>127.2</v>
      </c>
      <c r="F45" s="312"/>
      <c r="G45" s="312">
        <f>ROUND(SUM(G41+G43),1)</f>
        <v>0</v>
      </c>
      <c r="H45" s="312"/>
      <c r="I45" s="312">
        <f>ROUND(SUM(I41+I43),1)</f>
        <v>0</v>
      </c>
      <c r="J45" s="312"/>
      <c r="K45" s="312">
        <f>ROUND(SUM(K41+K43),1)</f>
        <v>0</v>
      </c>
      <c r="L45" s="257"/>
      <c r="M45" s="1838">
        <f>ROUND(SUM(M41+M43),1)</f>
        <v>0</v>
      </c>
      <c r="N45" s="257"/>
      <c r="O45" s="1838">
        <f>ROUND(SUM(O41+O43),1)</f>
        <v>0</v>
      </c>
      <c r="P45" s="257"/>
      <c r="Q45" s="1838">
        <f>ROUND(SUM(Q41+Q43),1)</f>
        <v>0</v>
      </c>
      <c r="R45" s="257"/>
      <c r="S45" s="1838">
        <f>ROUND(SUM(S41+S43),1)</f>
        <v>0</v>
      </c>
      <c r="T45" s="257"/>
      <c r="U45" s="1838">
        <f>ROUND(SUM(U41+U43),1)</f>
        <v>0</v>
      </c>
      <c r="V45" s="257"/>
      <c r="W45" s="1838">
        <f>ROUND(SUM(W41+W43),1)</f>
        <v>0</v>
      </c>
      <c r="X45" s="257"/>
      <c r="Y45" s="1838">
        <f>ROUND(SUM(Y41+Y43),1)</f>
        <v>0</v>
      </c>
      <c r="Z45" s="257"/>
      <c r="AA45" s="312">
        <f>ROUND(SUM(AA41+AA43),1)</f>
        <v>0</v>
      </c>
      <c r="AB45" s="312"/>
      <c r="AC45" s="312">
        <f>ROUND(SUM(AC41+AC43),1)</f>
        <v>0</v>
      </c>
      <c r="AD45" s="312"/>
      <c r="AE45" s="1271"/>
      <c r="AF45" s="312">
        <f>ROUND(SUM(AF41+AF43),1)</f>
        <v>127.2</v>
      </c>
      <c r="AG45" s="2093"/>
      <c r="AH45" s="1271"/>
      <c r="AI45" s="312">
        <f>ROUND(SUM(AI41+AI43),1)</f>
        <v>101.2</v>
      </c>
      <c r="AJ45" s="2136"/>
      <c r="AK45" s="2132"/>
      <c r="AL45" s="2139">
        <f>ROUND(SUM(AL41+AL43),1)</f>
        <v>26</v>
      </c>
      <c r="AM45" s="368"/>
      <c r="AN45" s="554">
        <f>ROUND(SUM(AF45-AI45)/ABS(AI45),3)</f>
        <v>0.25700000000000001</v>
      </c>
      <c r="AO45" s="650"/>
    </row>
    <row r="46" spans="1:41" ht="15.6">
      <c r="A46" s="223"/>
      <c r="B46" s="223"/>
      <c r="C46" s="223"/>
      <c r="D46" s="307"/>
      <c r="E46" s="327"/>
      <c r="F46" s="318"/>
      <c r="G46" s="327"/>
      <c r="H46" s="318"/>
      <c r="I46" s="327"/>
      <c r="J46" s="318"/>
      <c r="K46" s="327"/>
      <c r="L46" s="261"/>
      <c r="M46" s="288"/>
      <c r="N46" s="261"/>
      <c r="O46" s="288"/>
      <c r="P46" s="261"/>
      <c r="Q46" s="288"/>
      <c r="R46" s="261"/>
      <c r="S46" s="288"/>
      <c r="T46" s="261"/>
      <c r="U46" s="288"/>
      <c r="V46" s="261"/>
      <c r="W46" s="288"/>
      <c r="X46" s="261"/>
      <c r="Y46" s="288"/>
      <c r="Z46" s="261"/>
      <c r="AA46" s="327"/>
      <c r="AB46" s="262"/>
      <c r="AC46" s="327"/>
      <c r="AD46" s="318"/>
      <c r="AE46" s="1270"/>
      <c r="AF46" s="327"/>
      <c r="AG46" s="2088"/>
      <c r="AH46" s="1270"/>
      <c r="AI46" s="327"/>
      <c r="AJ46" s="262"/>
      <c r="AK46" s="2132"/>
      <c r="AL46" s="687"/>
      <c r="AM46" s="645"/>
      <c r="AN46" s="653"/>
    </row>
    <row r="47" spans="1:41" ht="15.6">
      <c r="A47" s="223"/>
      <c r="B47" s="221" t="s">
        <v>24</v>
      </c>
      <c r="C47" s="223"/>
      <c r="D47" s="307"/>
      <c r="E47" s="318"/>
      <c r="F47" s="318"/>
      <c r="G47" s="318"/>
      <c r="H47" s="318"/>
      <c r="I47" s="318"/>
      <c r="J47" s="318"/>
      <c r="K47" s="318"/>
      <c r="L47" s="261"/>
      <c r="M47" s="261"/>
      <c r="N47" s="261"/>
      <c r="O47" s="261"/>
      <c r="P47" s="261"/>
      <c r="Q47" s="261"/>
      <c r="R47" s="261"/>
      <c r="S47" s="261"/>
      <c r="T47" s="261"/>
      <c r="U47" s="261"/>
      <c r="V47" s="261"/>
      <c r="W47" s="261"/>
      <c r="X47" s="261"/>
      <c r="Y47" s="261"/>
      <c r="Z47" s="261"/>
      <c r="AA47" s="318"/>
      <c r="AB47" s="318"/>
      <c r="AC47" s="318"/>
      <c r="AD47" s="318"/>
      <c r="AE47" s="1270"/>
      <c r="AF47" s="318"/>
      <c r="AG47" s="2088"/>
      <c r="AH47" s="1270"/>
      <c r="AI47" s="318"/>
      <c r="AJ47" s="318"/>
      <c r="AK47" s="2132"/>
      <c r="AL47" s="687"/>
      <c r="AM47" s="645"/>
      <c r="AN47" s="653"/>
    </row>
    <row r="48" spans="1:41" ht="15.6">
      <c r="A48" s="223"/>
      <c r="B48" s="223" t="s">
        <v>157</v>
      </c>
      <c r="C48" s="223"/>
      <c r="D48" s="307"/>
      <c r="E48" s="2086"/>
      <c r="F48" s="318"/>
      <c r="G48" s="318"/>
      <c r="H48" s="318"/>
      <c r="I48" s="318"/>
      <c r="J48" s="318"/>
      <c r="K48" s="318"/>
      <c r="L48" s="261"/>
      <c r="M48" s="261"/>
      <c r="N48" s="261"/>
      <c r="O48" s="261"/>
      <c r="P48" s="261"/>
      <c r="Q48" s="516"/>
      <c r="R48" s="261"/>
      <c r="S48" s="261"/>
      <c r="T48" s="261"/>
      <c r="U48" s="261"/>
      <c r="V48" s="261"/>
      <c r="W48" s="261"/>
      <c r="X48" s="261"/>
      <c r="Y48" s="261"/>
      <c r="Z48" s="261"/>
      <c r="AA48" s="318"/>
      <c r="AB48" s="318"/>
      <c r="AC48" s="318"/>
      <c r="AD48" s="318"/>
      <c r="AE48" s="1270"/>
      <c r="AF48" s="2086"/>
      <c r="AG48" s="2088"/>
      <c r="AH48" s="1270"/>
      <c r="AI48" s="318"/>
      <c r="AJ48" s="318"/>
      <c r="AK48" s="2132"/>
      <c r="AL48" s="687"/>
      <c r="AM48" s="655"/>
      <c r="AN48" s="653"/>
    </row>
    <row r="49" spans="1:43" ht="15.6">
      <c r="A49" s="223"/>
      <c r="B49" s="223" t="s">
        <v>26</v>
      </c>
      <c r="C49" s="223"/>
      <c r="D49" s="307"/>
      <c r="E49" s="686">
        <v>0</v>
      </c>
      <c r="F49" s="318"/>
      <c r="G49" s="686"/>
      <c r="H49" s="318"/>
      <c r="I49" s="686"/>
      <c r="J49" s="318"/>
      <c r="K49" s="686"/>
      <c r="L49" s="261"/>
      <c r="M49" s="686"/>
      <c r="N49" s="261"/>
      <c r="O49" s="372"/>
      <c r="P49" s="261"/>
      <c r="Q49" s="372"/>
      <c r="R49" s="261"/>
      <c r="S49" s="372"/>
      <c r="T49" s="261"/>
      <c r="U49" s="372"/>
      <c r="V49" s="261"/>
      <c r="W49" s="372"/>
      <c r="X49" s="261"/>
      <c r="Y49" s="372"/>
      <c r="Z49" s="261"/>
      <c r="AA49" s="686"/>
      <c r="AB49" s="686"/>
      <c r="AC49" s="1190">
        <v>0</v>
      </c>
      <c r="AD49" s="318"/>
      <c r="AE49" s="1270"/>
      <c r="AF49" s="319">
        <f>ROUND(SUM(E49:AC49),1)</f>
        <v>0</v>
      </c>
      <c r="AG49" s="2088"/>
      <c r="AH49" s="1270"/>
      <c r="AI49" s="686">
        <v>0</v>
      </c>
      <c r="AJ49" s="319"/>
      <c r="AK49" s="2089"/>
      <c r="AL49" s="2156">
        <f>ROUND(AF49-AI49,1)</f>
        <v>0</v>
      </c>
      <c r="AM49" s="655"/>
      <c r="AN49" s="45">
        <f>ROUND(IF(AI49=0,0,AL49/ABS(AI49)),3)</f>
        <v>0</v>
      </c>
    </row>
    <row r="50" spans="1:43" ht="15.6">
      <c r="A50" s="223"/>
      <c r="B50" s="223" t="s">
        <v>27</v>
      </c>
      <c r="C50" s="223"/>
      <c r="D50" s="307"/>
      <c r="E50" s="2151">
        <v>0</v>
      </c>
      <c r="F50" s="318"/>
      <c r="G50" s="686"/>
      <c r="H50" s="318"/>
      <c r="I50" s="2086"/>
      <c r="J50" s="318"/>
      <c r="K50" s="686"/>
      <c r="L50" s="261"/>
      <c r="M50" s="686"/>
      <c r="N50" s="261"/>
      <c r="O50" s="515"/>
      <c r="P50" s="261"/>
      <c r="Q50" s="515"/>
      <c r="R50" s="261"/>
      <c r="S50" s="515"/>
      <c r="T50" s="261"/>
      <c r="U50" s="515"/>
      <c r="V50" s="261"/>
      <c r="W50" s="372"/>
      <c r="X50" s="261"/>
      <c r="Y50" s="372"/>
      <c r="Z50" s="261"/>
      <c r="AA50" s="686"/>
      <c r="AB50" s="686"/>
      <c r="AC50" s="1190">
        <v>0</v>
      </c>
      <c r="AD50" s="318"/>
      <c r="AE50" s="1270"/>
      <c r="AF50" s="319">
        <f>ROUND(SUM(E50:AC50),1)</f>
        <v>0</v>
      </c>
      <c r="AG50" s="2088"/>
      <c r="AH50" s="1270"/>
      <c r="AI50" s="2151">
        <v>0</v>
      </c>
      <c r="AJ50" s="319"/>
      <c r="AK50" s="2089"/>
      <c r="AL50" s="2156">
        <f>ROUND(AF50-AI50,1)</f>
        <v>0</v>
      </c>
      <c r="AM50" s="655"/>
      <c r="AN50" s="2799">
        <f>ROUND(IF(AI50=0,0,AL50/ABS(AI50)),3)</f>
        <v>0</v>
      </c>
    </row>
    <row r="51" spans="1:43" ht="15.6">
      <c r="A51" s="223"/>
      <c r="B51" s="223" t="s">
        <v>28</v>
      </c>
      <c r="C51" s="223"/>
      <c r="D51" s="307"/>
      <c r="E51" s="686">
        <v>0</v>
      </c>
      <c r="F51" s="318"/>
      <c r="G51" s="686"/>
      <c r="H51" s="318"/>
      <c r="I51" s="686"/>
      <c r="J51" s="318"/>
      <c r="K51" s="686"/>
      <c r="L51" s="261"/>
      <c r="M51" s="686"/>
      <c r="N51" s="261"/>
      <c r="O51" s="372"/>
      <c r="P51" s="261"/>
      <c r="Q51" s="372"/>
      <c r="R51" s="261"/>
      <c r="S51" s="372"/>
      <c r="T51" s="261"/>
      <c r="U51" s="372"/>
      <c r="V51" s="261"/>
      <c r="W51" s="372"/>
      <c r="X51" s="261"/>
      <c r="Y51" s="372"/>
      <c r="Z51" s="261"/>
      <c r="AA51" s="318"/>
      <c r="AB51" s="318"/>
      <c r="AC51" s="1190">
        <v>0</v>
      </c>
      <c r="AD51" s="318"/>
      <c r="AE51" s="1270"/>
      <c r="AF51" s="319">
        <f>ROUND(SUM(E51:AC51),1)</f>
        <v>0</v>
      </c>
      <c r="AG51" s="2088"/>
      <c r="AH51" s="1270"/>
      <c r="AI51" s="686">
        <v>0</v>
      </c>
      <c r="AJ51" s="319"/>
      <c r="AK51" s="2089"/>
      <c r="AL51" s="2156">
        <f>ROUND(AF51-AI51,1)</f>
        <v>0</v>
      </c>
      <c r="AM51" s="645"/>
      <c r="AN51" s="45">
        <f>ROUND(IF(AI51=0,0,AL51/ABS(AI51)),3)</f>
        <v>0</v>
      </c>
    </row>
    <row r="52" spans="1:43" ht="15.6">
      <c r="A52" s="223"/>
      <c r="B52" s="223" t="s">
        <v>29</v>
      </c>
      <c r="C52" s="223"/>
      <c r="D52" s="307"/>
      <c r="E52" s="686"/>
      <c r="F52" s="318"/>
      <c r="G52" s="686"/>
      <c r="H52" s="318"/>
      <c r="I52" s="686"/>
      <c r="J52" s="318"/>
      <c r="K52" s="686"/>
      <c r="L52" s="261"/>
      <c r="M52" s="686"/>
      <c r="N52" s="261"/>
      <c r="O52" s="372"/>
      <c r="P52" s="261"/>
      <c r="Q52" s="372"/>
      <c r="R52" s="261"/>
      <c r="S52" s="372"/>
      <c r="T52" s="261"/>
      <c r="U52" s="372"/>
      <c r="V52" s="261"/>
      <c r="W52" s="372"/>
      <c r="X52" s="261"/>
      <c r="Y52" s="372"/>
      <c r="Z52" s="261"/>
      <c r="AA52" s="686"/>
      <c r="AB52" s="686"/>
      <c r="AC52" s="686"/>
      <c r="AD52" s="318"/>
      <c r="AE52" s="1270"/>
      <c r="AF52" s="319"/>
      <c r="AG52" s="2088"/>
      <c r="AH52" s="1270"/>
      <c r="AI52" s="686"/>
      <c r="AJ52" s="318"/>
      <c r="AK52" s="2132"/>
      <c r="AL52" s="2157" t="s">
        <v>16</v>
      </c>
      <c r="AM52" s="655"/>
      <c r="AN52" s="1163" t="s">
        <v>16</v>
      </c>
    </row>
    <row r="53" spans="1:43" ht="15.6">
      <c r="A53" s="223"/>
      <c r="B53" s="223" t="s">
        <v>30</v>
      </c>
      <c r="C53" s="221"/>
      <c r="D53" s="307"/>
      <c r="E53" s="686">
        <v>0</v>
      </c>
      <c r="F53" s="318"/>
      <c r="G53" s="686"/>
      <c r="H53" s="318"/>
      <c r="I53" s="686"/>
      <c r="J53" s="318"/>
      <c r="K53" s="686"/>
      <c r="L53" s="261"/>
      <c r="M53" s="686"/>
      <c r="N53" s="261"/>
      <c r="O53" s="372"/>
      <c r="P53" s="261"/>
      <c r="Q53" s="372"/>
      <c r="R53" s="261"/>
      <c r="S53" s="372"/>
      <c r="T53" s="261"/>
      <c r="U53" s="372"/>
      <c r="V53" s="261"/>
      <c r="W53" s="372"/>
      <c r="X53" s="261"/>
      <c r="Y53" s="372"/>
      <c r="Z53" s="261"/>
      <c r="AA53" s="318"/>
      <c r="AB53" s="318"/>
      <c r="AC53" s="1190">
        <v>0</v>
      </c>
      <c r="AD53" s="318"/>
      <c r="AE53" s="1270"/>
      <c r="AF53" s="319">
        <f t="shared" ref="AF53:AF58" si="4">ROUND(SUM(E53:AC53),1)</f>
        <v>0</v>
      </c>
      <c r="AG53" s="2088"/>
      <c r="AH53" s="1270"/>
      <c r="AI53" s="686">
        <v>0</v>
      </c>
      <c r="AJ53" s="318"/>
      <c r="AK53" s="2132"/>
      <c r="AL53" s="2156">
        <f t="shared" ref="AL53:AL58" si="5">ROUND(AF53-AI53,1)</f>
        <v>0</v>
      </c>
      <c r="AM53" s="645"/>
      <c r="AN53" s="45">
        <f>ROUND(IF(AI53=0,0,AL53/ABS(AI53)),3)</f>
        <v>0</v>
      </c>
      <c r="AO53" s="645"/>
    </row>
    <row r="54" spans="1:43" ht="15.6">
      <c r="A54" s="223"/>
      <c r="B54" s="223" t="s">
        <v>31</v>
      </c>
      <c r="C54" s="223"/>
      <c r="D54" s="307"/>
      <c r="E54" s="686">
        <v>0</v>
      </c>
      <c r="F54" s="318"/>
      <c r="G54" s="686"/>
      <c r="H54" s="318"/>
      <c r="I54" s="686"/>
      <c r="J54" s="318"/>
      <c r="K54" s="686"/>
      <c r="L54" s="261"/>
      <c r="M54" s="686"/>
      <c r="N54" s="261"/>
      <c r="O54" s="515"/>
      <c r="P54" s="261"/>
      <c r="Q54" s="515"/>
      <c r="R54" s="261"/>
      <c r="S54" s="515"/>
      <c r="T54" s="261"/>
      <c r="U54" s="515"/>
      <c r="V54" s="261"/>
      <c r="W54" s="372"/>
      <c r="X54" s="261"/>
      <c r="Y54" s="372"/>
      <c r="Z54" s="261"/>
      <c r="AA54" s="686"/>
      <c r="AB54" s="686"/>
      <c r="AC54" s="1190">
        <v>0</v>
      </c>
      <c r="AD54" s="318"/>
      <c r="AE54" s="1270"/>
      <c r="AF54" s="319">
        <f t="shared" si="4"/>
        <v>0</v>
      </c>
      <c r="AG54" s="2088"/>
      <c r="AH54" s="1270"/>
      <c r="AI54" s="2151">
        <v>0</v>
      </c>
      <c r="AJ54" s="319"/>
      <c r="AK54" s="2089"/>
      <c r="AL54" s="2156">
        <f t="shared" si="5"/>
        <v>0</v>
      </c>
      <c r="AM54" s="655"/>
      <c r="AN54" s="45">
        <f>ROUND(IF(AI54=0,0,AL54/ABS(AI54)),3)</f>
        <v>0</v>
      </c>
    </row>
    <row r="55" spans="1:43" ht="15.6">
      <c r="A55" s="223"/>
      <c r="B55" s="223" t="s">
        <v>32</v>
      </c>
      <c r="C55" s="223"/>
      <c r="D55" s="307"/>
      <c r="E55" s="686">
        <v>0</v>
      </c>
      <c r="F55" s="318"/>
      <c r="G55" s="686"/>
      <c r="H55" s="318"/>
      <c r="I55" s="686"/>
      <c r="J55" s="318"/>
      <c r="K55" s="686"/>
      <c r="L55" s="261"/>
      <c r="M55" s="686"/>
      <c r="N55" s="261"/>
      <c r="O55" s="372"/>
      <c r="P55" s="261"/>
      <c r="Q55" s="372"/>
      <c r="R55" s="261"/>
      <c r="S55" s="372"/>
      <c r="T55" s="261"/>
      <c r="U55" s="372"/>
      <c r="V55" s="261"/>
      <c r="W55" s="372"/>
      <c r="X55" s="261"/>
      <c r="Y55" s="372"/>
      <c r="Z55" s="261"/>
      <c r="AA55" s="318"/>
      <c r="AB55" s="318"/>
      <c r="AC55" s="1190">
        <v>0</v>
      </c>
      <c r="AD55" s="318"/>
      <c r="AE55" s="1270"/>
      <c r="AF55" s="319">
        <f t="shared" si="4"/>
        <v>0</v>
      </c>
      <c r="AG55" s="2088"/>
      <c r="AH55" s="1270"/>
      <c r="AI55" s="686">
        <v>0</v>
      </c>
      <c r="AJ55" s="319"/>
      <c r="AK55" s="2089"/>
      <c r="AL55" s="2156">
        <f t="shared" si="5"/>
        <v>0</v>
      </c>
      <c r="AM55" s="645"/>
      <c r="AN55" s="45">
        <f>ROUND(IF(AI55=0,0,AL55/ABS(AI55)),3)</f>
        <v>0</v>
      </c>
    </row>
    <row r="56" spans="1:43" ht="15.6">
      <c r="A56" s="223"/>
      <c r="B56" s="223" t="s">
        <v>33</v>
      </c>
      <c r="C56" s="223"/>
      <c r="D56" s="307"/>
      <c r="E56" s="686">
        <v>0</v>
      </c>
      <c r="F56" s="318"/>
      <c r="G56" s="686"/>
      <c r="H56" s="318"/>
      <c r="I56" s="686"/>
      <c r="J56" s="318"/>
      <c r="K56" s="686"/>
      <c r="L56" s="261"/>
      <c r="M56" s="686"/>
      <c r="N56" s="261"/>
      <c r="O56" s="372"/>
      <c r="P56" s="261"/>
      <c r="Q56" s="372"/>
      <c r="R56" s="261"/>
      <c r="S56" s="372"/>
      <c r="T56" s="261"/>
      <c r="U56" s="372"/>
      <c r="V56" s="261"/>
      <c r="W56" s="372"/>
      <c r="X56" s="261"/>
      <c r="Y56" s="372"/>
      <c r="Z56" s="261"/>
      <c r="AA56" s="686"/>
      <c r="AB56" s="686"/>
      <c r="AC56" s="1190">
        <v>0</v>
      </c>
      <c r="AD56" s="318"/>
      <c r="AE56" s="1270"/>
      <c r="AF56" s="319">
        <f t="shared" si="4"/>
        <v>0</v>
      </c>
      <c r="AG56" s="2088"/>
      <c r="AH56" s="1270"/>
      <c r="AI56" s="686">
        <v>0</v>
      </c>
      <c r="AJ56" s="318"/>
      <c r="AK56" s="2132"/>
      <c r="AL56" s="2156">
        <f t="shared" si="5"/>
        <v>0</v>
      </c>
      <c r="AM56" s="655"/>
      <c r="AN56" s="45">
        <f>ROUND(IF(AI56=0,0,AL56/ABS(AI56)),3)</f>
        <v>0</v>
      </c>
    </row>
    <row r="57" spans="1:43" ht="15.6">
      <c r="A57" s="223"/>
      <c r="B57" s="223" t="s">
        <v>34</v>
      </c>
      <c r="C57" s="221"/>
      <c r="D57" s="307"/>
      <c r="E57" s="686">
        <v>0</v>
      </c>
      <c r="F57" s="318"/>
      <c r="G57" s="686"/>
      <c r="H57" s="318"/>
      <c r="I57" s="686"/>
      <c r="J57" s="318"/>
      <c r="K57" s="686"/>
      <c r="L57" s="261"/>
      <c r="M57" s="686"/>
      <c r="N57" s="261"/>
      <c r="O57" s="372"/>
      <c r="P57" s="261"/>
      <c r="Q57" s="372"/>
      <c r="R57" s="261"/>
      <c r="S57" s="372"/>
      <c r="T57" s="261"/>
      <c r="U57" s="372"/>
      <c r="V57" s="261"/>
      <c r="W57" s="372"/>
      <c r="X57" s="261"/>
      <c r="Y57" s="372"/>
      <c r="Z57" s="261"/>
      <c r="AA57" s="318"/>
      <c r="AB57" s="318"/>
      <c r="AC57" s="1190">
        <v>0</v>
      </c>
      <c r="AD57" s="318"/>
      <c r="AE57" s="1270"/>
      <c r="AF57" s="319">
        <f t="shared" si="4"/>
        <v>0</v>
      </c>
      <c r="AG57" s="2088"/>
      <c r="AH57" s="1270"/>
      <c r="AI57" s="686">
        <v>0</v>
      </c>
      <c r="AJ57" s="318"/>
      <c r="AK57" s="2132"/>
      <c r="AL57" s="2156">
        <f t="shared" si="5"/>
        <v>0</v>
      </c>
      <c r="AM57" s="645"/>
      <c r="AN57" s="45">
        <f>ROUND(IF(AI57=0,0,AL57/ABS(AI57)),3)</f>
        <v>0</v>
      </c>
      <c r="AO57" s="645"/>
    </row>
    <row r="58" spans="1:43" ht="15.6">
      <c r="A58" s="223"/>
      <c r="B58" s="223" t="s">
        <v>35</v>
      </c>
      <c r="C58" s="223"/>
      <c r="D58" s="307"/>
      <c r="E58" s="2151">
        <v>22</v>
      </c>
      <c r="F58" s="318"/>
      <c r="G58" s="2086"/>
      <c r="H58" s="318"/>
      <c r="I58" s="2086"/>
      <c r="J58" s="318"/>
      <c r="K58" s="1263"/>
      <c r="L58" s="261"/>
      <c r="M58" s="1263"/>
      <c r="N58" s="261"/>
      <c r="O58" s="515"/>
      <c r="P58" s="261"/>
      <c r="Q58" s="515"/>
      <c r="R58" s="261"/>
      <c r="S58" s="515"/>
      <c r="T58" s="261"/>
      <c r="U58" s="515"/>
      <c r="V58" s="261"/>
      <c r="W58" s="372"/>
      <c r="X58" s="261"/>
      <c r="Y58" s="372"/>
      <c r="Z58" s="261"/>
      <c r="AA58" s="686"/>
      <c r="AB58" s="686"/>
      <c r="AC58" s="1190">
        <v>0</v>
      </c>
      <c r="AD58" s="318"/>
      <c r="AE58" s="1270"/>
      <c r="AF58" s="319">
        <f t="shared" si="4"/>
        <v>22</v>
      </c>
      <c r="AG58" s="2088"/>
      <c r="AH58" s="1270"/>
      <c r="AI58" s="1813">
        <v>26.6</v>
      </c>
      <c r="AJ58" s="262"/>
      <c r="AK58" s="2132"/>
      <c r="AL58" s="2156">
        <f t="shared" si="5"/>
        <v>-4.5999999999999996</v>
      </c>
      <c r="AM58" s="645"/>
      <c r="AN58" s="1457">
        <f>ROUND((AF58-AI58)/ABS(AI58),3)</f>
        <v>-0.17299999999999999</v>
      </c>
    </row>
    <row r="59" spans="1:43" ht="15.6">
      <c r="A59" s="223"/>
      <c r="B59" s="221" t="s">
        <v>204</v>
      </c>
      <c r="C59" s="223"/>
      <c r="D59" s="307"/>
      <c r="E59" s="2114">
        <f>ROUND(SUM(E49:E58),1)</f>
        <v>22</v>
      </c>
      <c r="F59" s="312"/>
      <c r="G59" s="2114">
        <f>ROUND(SUM(G49:G58),1)</f>
        <v>0</v>
      </c>
      <c r="H59" s="312"/>
      <c r="I59" s="2114">
        <f>ROUND(SUM(I49:I58),1)</f>
        <v>0</v>
      </c>
      <c r="J59" s="312"/>
      <c r="K59" s="2114">
        <f>ROUND(SUM(K49:K58),1)</f>
        <v>0</v>
      </c>
      <c r="L59" s="257"/>
      <c r="M59" s="544">
        <f>ROUND(SUM(M49:M58),1)</f>
        <v>0</v>
      </c>
      <c r="N59" s="257"/>
      <c r="O59" s="544">
        <f>ROUND(SUM(O49:O58),1)</f>
        <v>0</v>
      </c>
      <c r="P59" s="257"/>
      <c r="Q59" s="544">
        <f>ROUND(SUM(Q49:Q58),1)</f>
        <v>0</v>
      </c>
      <c r="R59" s="257"/>
      <c r="S59" s="544">
        <f>ROUND(SUM(S49:S58),1)</f>
        <v>0</v>
      </c>
      <c r="T59" s="257"/>
      <c r="U59" s="544">
        <f>ROUND(SUM(U49:U58),1)</f>
        <v>0</v>
      </c>
      <c r="V59" s="257"/>
      <c r="W59" s="544">
        <f>ROUND(SUM(W49:W58),1)</f>
        <v>0</v>
      </c>
      <c r="X59" s="257"/>
      <c r="Y59" s="544">
        <f>ROUND(SUM(Y49:Y58),1)</f>
        <v>0</v>
      </c>
      <c r="Z59" s="257"/>
      <c r="AA59" s="2114">
        <f>ROUND(SUM(AA49:AA58),1)</f>
        <v>0</v>
      </c>
      <c r="AB59" s="315"/>
      <c r="AC59" s="2114">
        <f>ROUND(SUM(AC49:AC58),1)</f>
        <v>0</v>
      </c>
      <c r="AD59" s="312"/>
      <c r="AE59" s="1271"/>
      <c r="AF59" s="2114">
        <f>ROUND(SUM(AF49:AF58),1)</f>
        <v>22</v>
      </c>
      <c r="AG59" s="2093"/>
      <c r="AH59" s="1271"/>
      <c r="AI59" s="2114">
        <f>ROUND(SUM(AI49:AI58),1)</f>
        <v>26.6</v>
      </c>
      <c r="AJ59" s="315"/>
      <c r="AK59" s="2132"/>
      <c r="AL59" s="2114">
        <f>ROUND(SUM(AL49:AL58),1)</f>
        <v>-4.5999999999999996</v>
      </c>
      <c r="AM59" s="663"/>
      <c r="AN59" s="664">
        <f>ROUND(SUM(AF59-AI59)/ABS(AI59),3)</f>
        <v>-0.17299999999999999</v>
      </c>
      <c r="AO59" s="663"/>
      <c r="AP59" s="650"/>
      <c r="AQ59" s="650"/>
    </row>
    <row r="60" spans="1:43" ht="15.6">
      <c r="A60" s="223"/>
      <c r="B60" s="223" t="s">
        <v>205</v>
      </c>
      <c r="C60" s="223"/>
      <c r="D60" s="307"/>
      <c r="E60" s="318"/>
      <c r="F60" s="318"/>
      <c r="G60" s="318"/>
      <c r="H60" s="318"/>
      <c r="I60" s="318"/>
      <c r="J60" s="318"/>
      <c r="K60" s="318"/>
      <c r="L60" s="261"/>
      <c r="M60" s="261"/>
      <c r="N60" s="261"/>
      <c r="O60" s="261"/>
      <c r="P60" s="261"/>
      <c r="Q60" s="261"/>
      <c r="R60" s="261"/>
      <c r="S60" s="261"/>
      <c r="T60" s="261"/>
      <c r="U60" s="261"/>
      <c r="V60" s="261"/>
      <c r="W60" s="261"/>
      <c r="X60" s="261"/>
      <c r="Y60" s="261"/>
      <c r="Z60" s="261"/>
      <c r="AA60" s="318"/>
      <c r="AB60" s="318"/>
      <c r="AC60" s="318"/>
      <c r="AD60" s="318"/>
      <c r="AE60" s="1270"/>
      <c r="AF60" s="328"/>
      <c r="AG60" s="2088"/>
      <c r="AH60" s="1270"/>
      <c r="AI60" s="318"/>
      <c r="AJ60" s="318"/>
      <c r="AK60" s="2132"/>
      <c r="AL60" s="687"/>
      <c r="AM60" s="645"/>
      <c r="AN60" s="653"/>
    </row>
    <row r="61" spans="1:43" ht="15.6">
      <c r="A61" s="223"/>
      <c r="B61" s="223" t="s">
        <v>206</v>
      </c>
      <c r="C61" s="223"/>
      <c r="D61" s="307"/>
      <c r="E61" s="686">
        <v>0</v>
      </c>
      <c r="F61" s="318"/>
      <c r="G61" s="686"/>
      <c r="H61" s="318"/>
      <c r="I61" s="686"/>
      <c r="J61" s="318"/>
      <c r="K61" s="686"/>
      <c r="L61" s="261"/>
      <c r="M61" s="372"/>
      <c r="N61" s="261"/>
      <c r="O61" s="372"/>
      <c r="P61" s="261"/>
      <c r="Q61" s="372"/>
      <c r="R61" s="261"/>
      <c r="S61" s="372"/>
      <c r="T61" s="261"/>
      <c r="U61" s="372"/>
      <c r="V61" s="261"/>
      <c r="W61" s="372"/>
      <c r="X61" s="261"/>
      <c r="Y61" s="372"/>
      <c r="Z61" s="261"/>
      <c r="AA61" s="686"/>
      <c r="AB61" s="686"/>
      <c r="AC61" s="1190">
        <v>0</v>
      </c>
      <c r="AD61" s="318"/>
      <c r="AE61" s="1270"/>
      <c r="AF61" s="319">
        <f>ROUND(SUM(E61:AC61),1)</f>
        <v>0</v>
      </c>
      <c r="AG61" s="2088"/>
      <c r="AH61" s="1270"/>
      <c r="AI61" s="686">
        <v>0</v>
      </c>
      <c r="AJ61" s="328"/>
      <c r="AK61" s="2140"/>
      <c r="AL61" s="2156">
        <f>ROUND(AF61-AI61,1)</f>
        <v>0</v>
      </c>
      <c r="AM61" s="645"/>
      <c r="AN61" s="45">
        <f>ROUND(IF(AI61=0,0,AL61/ABS(AI61)),3)</f>
        <v>0</v>
      </c>
      <c r="AO61" s="369"/>
    </row>
    <row r="62" spans="1:43" ht="15.6">
      <c r="A62" s="223"/>
      <c r="B62" s="223" t="s">
        <v>207</v>
      </c>
      <c r="C62" s="223"/>
      <c r="D62" s="307"/>
      <c r="E62" s="686">
        <v>0</v>
      </c>
      <c r="F62" s="318"/>
      <c r="G62" s="686"/>
      <c r="H62" s="318"/>
      <c r="I62" s="686"/>
      <c r="J62" s="318"/>
      <c r="K62" s="686"/>
      <c r="L62" s="261"/>
      <c r="M62" s="372"/>
      <c r="N62" s="261"/>
      <c r="O62" s="372"/>
      <c r="P62" s="261"/>
      <c r="Q62" s="372"/>
      <c r="R62" s="261"/>
      <c r="S62" s="372"/>
      <c r="T62" s="261"/>
      <c r="U62" s="372"/>
      <c r="V62" s="261"/>
      <c r="W62" s="372"/>
      <c r="X62" s="261"/>
      <c r="Y62" s="372"/>
      <c r="Z62" s="261"/>
      <c r="AA62" s="686"/>
      <c r="AB62" s="686"/>
      <c r="AC62" s="1190">
        <v>0</v>
      </c>
      <c r="AD62" s="318"/>
      <c r="AE62" s="1270"/>
      <c r="AF62" s="319">
        <f>ROUND(SUM(E62:AC62),1)</f>
        <v>0</v>
      </c>
      <c r="AG62" s="2088"/>
      <c r="AH62" s="1270"/>
      <c r="AI62" s="686">
        <v>0</v>
      </c>
      <c r="AJ62" s="328"/>
      <c r="AK62" s="2140"/>
      <c r="AL62" s="2156">
        <f>ROUND(AF62-AI62,1)</f>
        <v>0</v>
      </c>
      <c r="AM62" s="645"/>
      <c r="AN62" s="45">
        <f>ROUND(IF(AI62=0,0,AL62/ABS(AI62)),3)</f>
        <v>0</v>
      </c>
    </row>
    <row r="63" spans="1:43" ht="15.6">
      <c r="A63" s="223"/>
      <c r="B63" s="223" t="s">
        <v>208</v>
      </c>
      <c r="C63" s="223"/>
      <c r="D63" s="307"/>
      <c r="E63" s="686">
        <v>0</v>
      </c>
      <c r="F63" s="318"/>
      <c r="G63" s="686"/>
      <c r="H63" s="318"/>
      <c r="I63" s="686"/>
      <c r="J63" s="318"/>
      <c r="K63" s="686"/>
      <c r="L63" s="261"/>
      <c r="M63" s="372"/>
      <c r="N63" s="261"/>
      <c r="O63" s="372"/>
      <c r="P63" s="261"/>
      <c r="Q63" s="372"/>
      <c r="R63" s="261"/>
      <c r="S63" s="372"/>
      <c r="T63" s="261"/>
      <c r="U63" s="372"/>
      <c r="V63" s="261"/>
      <c r="W63" s="372"/>
      <c r="X63" s="261"/>
      <c r="Y63" s="372"/>
      <c r="Z63" s="666"/>
      <c r="AA63" s="686"/>
      <c r="AB63" s="686"/>
      <c r="AC63" s="1190">
        <v>0</v>
      </c>
      <c r="AD63" s="2141"/>
      <c r="AE63" s="2142"/>
      <c r="AF63" s="319">
        <f>ROUND(SUM(E63:AC63),1)</f>
        <v>0</v>
      </c>
      <c r="AG63" s="2088"/>
      <c r="AH63" s="1270"/>
      <c r="AI63" s="686">
        <v>0</v>
      </c>
      <c r="AJ63" s="328"/>
      <c r="AK63" s="2140"/>
      <c r="AL63" s="2156">
        <f>ROUND(AF63-AI63,1)</f>
        <v>0</v>
      </c>
      <c r="AM63" s="645"/>
      <c r="AN63" s="45">
        <f>ROUND(IF(AI63=0,0,AL63/ABS(AI63)),3)</f>
        <v>0</v>
      </c>
    </row>
    <row r="64" spans="1:43" ht="15.6">
      <c r="A64" s="223"/>
      <c r="B64" s="247" t="s">
        <v>220</v>
      </c>
      <c r="C64" s="223"/>
      <c r="D64" s="307"/>
      <c r="E64" s="319">
        <v>55.9</v>
      </c>
      <c r="F64" s="318"/>
      <c r="G64" s="2113"/>
      <c r="H64" s="318"/>
      <c r="I64" s="2113"/>
      <c r="J64" s="318"/>
      <c r="K64" s="2113"/>
      <c r="L64" s="261"/>
      <c r="M64" s="280"/>
      <c r="N64" s="261"/>
      <c r="O64" s="280"/>
      <c r="P64" s="261"/>
      <c r="Q64" s="488"/>
      <c r="R64" s="261"/>
      <c r="S64" s="488"/>
      <c r="T64" s="261"/>
      <c r="U64" s="488"/>
      <c r="V64" s="261"/>
      <c r="W64" s="488"/>
      <c r="X64" s="261"/>
      <c r="Y64" s="372"/>
      <c r="Z64" s="261"/>
      <c r="AA64" s="525"/>
      <c r="AB64" s="262"/>
      <c r="AC64" s="1190">
        <v>0</v>
      </c>
      <c r="AD64" s="318"/>
      <c r="AE64" s="1270"/>
      <c r="AF64" s="319">
        <f>ROUND(SUM(E64:AC64),1)</f>
        <v>55.9</v>
      </c>
      <c r="AG64" s="2088"/>
      <c r="AH64" s="1270"/>
      <c r="AI64" s="1814">
        <v>76.599999999999994</v>
      </c>
      <c r="AJ64" s="267"/>
      <c r="AK64" s="2089"/>
      <c r="AL64" s="2158">
        <f>ROUND(AF64-AI64,1)</f>
        <v>-20.7</v>
      </c>
      <c r="AM64" s="645"/>
      <c r="AN64" s="1801">
        <f>ROUND(IF(AI64=0,0,AL64/ABS(AI64)),3)</f>
        <v>-0.27</v>
      </c>
    </row>
    <row r="65" spans="1:41" ht="15.6">
      <c r="A65" s="223"/>
      <c r="B65" s="223"/>
      <c r="C65" s="223"/>
      <c r="D65" s="307"/>
      <c r="E65" s="327"/>
      <c r="F65" s="318"/>
      <c r="G65" s="327"/>
      <c r="H65" s="318"/>
      <c r="I65" s="327"/>
      <c r="J65" s="318"/>
      <c r="K65" s="327"/>
      <c r="L65" s="261"/>
      <c r="M65" s="288"/>
      <c r="N65" s="261"/>
      <c r="O65" s="288"/>
      <c r="P65" s="261"/>
      <c r="Q65" s="288"/>
      <c r="R65" s="261"/>
      <c r="S65" s="288"/>
      <c r="T65" s="261"/>
      <c r="U65" s="288"/>
      <c r="V65" s="261"/>
      <c r="W65" s="288"/>
      <c r="X65" s="261"/>
      <c r="Y65" s="288"/>
      <c r="Z65" s="261"/>
      <c r="AA65" s="327"/>
      <c r="AB65" s="262"/>
      <c r="AC65" s="327"/>
      <c r="AD65" s="318"/>
      <c r="AE65" s="1270"/>
      <c r="AF65" s="327"/>
      <c r="AG65" s="2088"/>
      <c r="AH65" s="1270"/>
      <c r="AI65" s="687"/>
      <c r="AJ65" s="687"/>
      <c r="AK65" s="2144"/>
      <c r="AL65" s="687"/>
      <c r="AM65" s="645"/>
      <c r="AN65" s="653"/>
    </row>
    <row r="66" spans="1:41" ht="15.6">
      <c r="A66" s="223"/>
      <c r="B66" s="221" t="s">
        <v>209</v>
      </c>
      <c r="C66" s="223"/>
      <c r="D66" s="307"/>
      <c r="E66" s="312">
        <f>ROUND(SUM(E59:E64),1)</f>
        <v>77.900000000000006</v>
      </c>
      <c r="F66" s="312"/>
      <c r="G66" s="312">
        <f>ROUND(SUM(G59:G64),1)</f>
        <v>0</v>
      </c>
      <c r="H66" s="312"/>
      <c r="I66" s="312">
        <f>ROUND(SUM(I59:I64),1)</f>
        <v>0</v>
      </c>
      <c r="J66" s="312"/>
      <c r="K66" s="312">
        <f>ROUND(SUM(K59:K64),1)</f>
        <v>0</v>
      </c>
      <c r="L66" s="257"/>
      <c r="M66" s="257">
        <f>ROUND(SUM(M59:M64),1)</f>
        <v>0</v>
      </c>
      <c r="N66" s="257"/>
      <c r="O66" s="257">
        <f>ROUND(SUM(O59:O64),1)</f>
        <v>0</v>
      </c>
      <c r="P66" s="257"/>
      <c r="Q66" s="257">
        <f>ROUND(SUM(Q59:Q64),1)</f>
        <v>0</v>
      </c>
      <c r="R66" s="257"/>
      <c r="S66" s="257">
        <f>ROUND(SUM(S59:S64),1)</f>
        <v>0</v>
      </c>
      <c r="T66" s="257"/>
      <c r="U66" s="1838">
        <f>ROUND(SUM(U59:U64),1)</f>
        <v>0</v>
      </c>
      <c r="V66" s="257"/>
      <c r="W66" s="257">
        <f>ROUND(SUM(W59:W64),1)</f>
        <v>0</v>
      </c>
      <c r="X66" s="257"/>
      <c r="Y66" s="257">
        <f>ROUND(SUM(Y59:Y64),1)</f>
        <v>0</v>
      </c>
      <c r="Z66" s="257"/>
      <c r="AA66" s="312">
        <f>ROUND(SUM(AA59:AA64),1)</f>
        <v>0</v>
      </c>
      <c r="AB66" s="312"/>
      <c r="AC66" s="312">
        <f>ROUND(SUM(AC59:AC64),1)</f>
        <v>0</v>
      </c>
      <c r="AD66" s="312"/>
      <c r="AE66" s="1271"/>
      <c r="AF66" s="312">
        <f>ROUND(SUM(AF59:AF64),1)</f>
        <v>77.900000000000006</v>
      </c>
      <c r="AG66" s="2093"/>
      <c r="AH66" s="1271"/>
      <c r="AI66" s="312">
        <f>SUM(AI59:AI64)</f>
        <v>103.19999999999999</v>
      </c>
      <c r="AJ66" s="315"/>
      <c r="AK66" s="2132"/>
      <c r="AL66" s="313">
        <f>ROUND(AF66-AI66,1)</f>
        <v>-25.3</v>
      </c>
      <c r="AM66" s="663"/>
      <c r="AN66" s="554">
        <f>ROUND(SUM(AF66-AI66)/ABS(AI66),3)</f>
        <v>-0.245</v>
      </c>
    </row>
    <row r="67" spans="1:41" ht="15.6">
      <c r="A67" s="223"/>
      <c r="B67" s="223"/>
      <c r="C67" s="223"/>
      <c r="D67" s="307"/>
      <c r="E67" s="327"/>
      <c r="F67" s="318"/>
      <c r="G67" s="327"/>
      <c r="H67" s="318"/>
      <c r="I67" s="327"/>
      <c r="J67" s="318"/>
      <c r="K67" s="327"/>
      <c r="L67" s="261"/>
      <c r="M67" s="288"/>
      <c r="N67" s="261"/>
      <c r="O67" s="288"/>
      <c r="P67" s="261"/>
      <c r="Q67" s="288"/>
      <c r="R67" s="261"/>
      <c r="S67" s="288"/>
      <c r="T67" s="261"/>
      <c r="U67" s="288"/>
      <c r="V67" s="261"/>
      <c r="W67" s="288"/>
      <c r="X67" s="261"/>
      <c r="Y67" s="288"/>
      <c r="Z67" s="261"/>
      <c r="AA67" s="327"/>
      <c r="AB67" s="262"/>
      <c r="AC67" s="327"/>
      <c r="AD67" s="318"/>
      <c r="AE67" s="1270"/>
      <c r="AF67" s="327"/>
      <c r="AG67" s="2088"/>
      <c r="AH67" s="1270"/>
      <c r="AI67" s="327"/>
      <c r="AJ67" s="262"/>
      <c r="AK67" s="2132"/>
      <c r="AL67" s="687"/>
      <c r="AM67" s="645"/>
      <c r="AN67" s="653"/>
    </row>
    <row r="68" spans="1:41" ht="15.6">
      <c r="A68" s="223"/>
      <c r="B68" s="221" t="s">
        <v>210</v>
      </c>
      <c r="C68" s="223"/>
      <c r="D68" s="307"/>
      <c r="E68" s="318"/>
      <c r="F68" s="318"/>
      <c r="G68" s="318"/>
      <c r="H68" s="318"/>
      <c r="I68" s="318"/>
      <c r="J68" s="318"/>
      <c r="K68" s="318"/>
      <c r="L68" s="261"/>
      <c r="M68" s="261"/>
      <c r="N68" s="261"/>
      <c r="O68" s="261"/>
      <c r="P68" s="261"/>
      <c r="Q68" s="261"/>
      <c r="R68" s="261"/>
      <c r="S68" s="261"/>
      <c r="T68" s="261"/>
      <c r="U68" s="261"/>
      <c r="V68" s="261"/>
      <c r="W68" s="261"/>
      <c r="X68" s="261"/>
      <c r="Y68" s="261"/>
      <c r="Z68" s="261"/>
      <c r="AA68" s="318"/>
      <c r="AB68" s="318"/>
      <c r="AC68" s="318"/>
      <c r="AD68" s="318"/>
      <c r="AE68" s="1270"/>
      <c r="AF68" s="687"/>
      <c r="AG68" s="2088"/>
      <c r="AH68" s="262"/>
      <c r="AI68" s="687"/>
      <c r="AJ68" s="687"/>
      <c r="AK68" s="2144"/>
      <c r="AL68" s="687"/>
      <c r="AM68" s="645"/>
      <c r="AN68" s="653"/>
    </row>
    <row r="69" spans="1:41" ht="15.6">
      <c r="A69" s="223"/>
      <c r="B69" s="221" t="s">
        <v>211</v>
      </c>
      <c r="C69" s="223"/>
      <c r="D69" s="307"/>
      <c r="E69" s="312">
        <f>ROUND(E45-E66,1)</f>
        <v>49.3</v>
      </c>
      <c r="F69" s="312"/>
      <c r="G69" s="312">
        <f>ROUND(G45-G66,1)</f>
        <v>0</v>
      </c>
      <c r="H69" s="312"/>
      <c r="I69" s="312">
        <f>ROUND(I45-I66,1)</f>
        <v>0</v>
      </c>
      <c r="J69" s="312"/>
      <c r="K69" s="312">
        <f>ROUND(K45-K66,1)</f>
        <v>0</v>
      </c>
      <c r="L69" s="257"/>
      <c r="M69" s="257">
        <f>ROUND(M45-M66,1)</f>
        <v>0</v>
      </c>
      <c r="N69" s="257"/>
      <c r="O69" s="257">
        <f>ROUND(O45-O66,1)</f>
        <v>0</v>
      </c>
      <c r="P69" s="257"/>
      <c r="Q69" s="257">
        <f>ROUND(Q45-Q66,1)</f>
        <v>0</v>
      </c>
      <c r="R69" s="257"/>
      <c r="S69" s="257">
        <f>ROUND(S45-S66,1)</f>
        <v>0</v>
      </c>
      <c r="T69" s="257"/>
      <c r="U69" s="1838">
        <f>ROUND(U45-U66,1)</f>
        <v>0</v>
      </c>
      <c r="V69" s="257"/>
      <c r="W69" s="257">
        <f>ROUND(W45-W66,1)</f>
        <v>0</v>
      </c>
      <c r="X69" s="257"/>
      <c r="Y69" s="257">
        <f>ROUND(Y45-Y66,1)</f>
        <v>0</v>
      </c>
      <c r="Z69" s="257"/>
      <c r="AA69" s="312">
        <f>ROUND(AA45-AA66,1)</f>
        <v>0</v>
      </c>
      <c r="AB69" s="312"/>
      <c r="AC69" s="312">
        <f>ROUND(AC45-AC66,1)</f>
        <v>0</v>
      </c>
      <c r="AD69" s="312"/>
      <c r="AE69" s="1271"/>
      <c r="AF69" s="312">
        <f>ROUND(AF45-AF66,1)</f>
        <v>49.3</v>
      </c>
      <c r="AG69" s="2093"/>
      <c r="AH69" s="1271"/>
      <c r="AI69" s="312">
        <f>ROUND(SUM(AI45-AI66),1)</f>
        <v>-2</v>
      </c>
      <c r="AJ69" s="315"/>
      <c r="AK69" s="2132"/>
      <c r="AL69" s="313">
        <f>ROUND(AF69-AI69,1)</f>
        <v>51.3</v>
      </c>
      <c r="AM69" s="663"/>
      <c r="AN69" s="2777">
        <f>ROUND(SUM(AF69-AI69)/ABS(AI69),3)</f>
        <v>25.65</v>
      </c>
    </row>
    <row r="70" spans="1:41" ht="15.6">
      <c r="A70" s="223"/>
      <c r="B70" s="223"/>
      <c r="C70" s="223"/>
      <c r="D70" s="307"/>
      <c r="E70" s="327"/>
      <c r="F70" s="318"/>
      <c r="G70" s="327"/>
      <c r="H70" s="318"/>
      <c r="I70" s="327"/>
      <c r="J70" s="318"/>
      <c r="K70" s="327"/>
      <c r="L70" s="261"/>
      <c r="M70" s="288"/>
      <c r="N70" s="261"/>
      <c r="O70" s="288"/>
      <c r="P70" s="261"/>
      <c r="Q70" s="288"/>
      <c r="R70" s="261"/>
      <c r="S70" s="288"/>
      <c r="T70" s="261"/>
      <c r="U70" s="288"/>
      <c r="V70" s="261"/>
      <c r="W70" s="288"/>
      <c r="X70" s="261"/>
      <c r="Y70" s="288"/>
      <c r="Z70" s="261"/>
      <c r="AA70" s="327"/>
      <c r="AB70" s="262"/>
      <c r="AC70" s="327"/>
      <c r="AD70" s="318"/>
      <c r="AE70" s="1270"/>
      <c r="AF70" s="327"/>
      <c r="AG70" s="2088"/>
      <c r="AH70" s="1270"/>
      <c r="AI70" s="327"/>
      <c r="AJ70" s="262"/>
      <c r="AK70" s="2132"/>
      <c r="AL70" s="687"/>
      <c r="AM70" s="645"/>
      <c r="AN70" s="653"/>
    </row>
    <row r="71" spans="1:41" ht="15.6">
      <c r="A71" s="223"/>
      <c r="B71" s="221" t="s">
        <v>212</v>
      </c>
      <c r="C71" s="223"/>
      <c r="D71" s="307"/>
      <c r="E71" s="318"/>
      <c r="F71" s="318"/>
      <c r="G71" s="318"/>
      <c r="H71" s="318"/>
      <c r="I71" s="318"/>
      <c r="J71" s="318"/>
      <c r="K71" s="318"/>
      <c r="L71" s="261"/>
      <c r="M71" s="261"/>
      <c r="N71" s="261"/>
      <c r="O71" s="261"/>
      <c r="P71" s="261"/>
      <c r="Q71" s="261"/>
      <c r="R71" s="261"/>
      <c r="S71" s="261"/>
      <c r="T71" s="261"/>
      <c r="U71" s="261"/>
      <c r="V71" s="261"/>
      <c r="W71" s="261" t="s">
        <v>16</v>
      </c>
      <c r="X71" s="261"/>
      <c r="Y71" s="261"/>
      <c r="Z71" s="261"/>
      <c r="AA71" s="318"/>
      <c r="AB71" s="318"/>
      <c r="AC71" s="318"/>
      <c r="AD71" s="318"/>
      <c r="AE71" s="1270"/>
      <c r="AF71" s="318"/>
      <c r="AG71" s="2088"/>
      <c r="AH71" s="1270"/>
      <c r="AI71" s="328"/>
      <c r="AJ71" s="328"/>
      <c r="AK71" s="2140"/>
      <c r="AL71" s="687"/>
      <c r="AM71" s="645"/>
      <c r="AN71" s="653"/>
    </row>
    <row r="72" spans="1:41" ht="15.6">
      <c r="A72" s="223"/>
      <c r="B72" s="247" t="s">
        <v>221</v>
      </c>
      <c r="C72" s="223"/>
      <c r="D72" s="307"/>
      <c r="E72" s="686">
        <v>0</v>
      </c>
      <c r="F72" s="318"/>
      <c r="G72" s="686"/>
      <c r="H72" s="318"/>
      <c r="I72" s="686"/>
      <c r="J72" s="318"/>
      <c r="K72" s="686"/>
      <c r="L72" s="261"/>
      <c r="M72" s="372"/>
      <c r="N72" s="261"/>
      <c r="O72" s="372"/>
      <c r="P72" s="261"/>
      <c r="Q72" s="372"/>
      <c r="R72" s="261"/>
      <c r="S72" s="372"/>
      <c r="T72" s="261"/>
      <c r="U72" s="372"/>
      <c r="V72" s="261"/>
      <c r="W72" s="372"/>
      <c r="X72" s="261"/>
      <c r="Y72" s="372"/>
      <c r="Z72" s="261"/>
      <c r="AA72" s="686"/>
      <c r="AB72" s="686"/>
      <c r="AC72" s="1190">
        <v>0</v>
      </c>
      <c r="AD72" s="318"/>
      <c r="AE72" s="1270"/>
      <c r="AF72" s="319">
        <f>ROUND(SUM(E72:AC72),1)</f>
        <v>0</v>
      </c>
      <c r="AG72" s="2088"/>
      <c r="AH72" s="1270"/>
      <c r="AI72" s="686">
        <v>0</v>
      </c>
      <c r="AJ72" s="319"/>
      <c r="AK72" s="2089"/>
      <c r="AL72" s="2156">
        <v>0</v>
      </c>
      <c r="AM72" s="645"/>
      <c r="AN72" s="45">
        <f>ROUND(IF(AI72=0,0,AL72/ABS(AI72)),3)</f>
        <v>0</v>
      </c>
      <c r="AO72" s="645"/>
    </row>
    <row r="73" spans="1:41" ht="15.6">
      <c r="A73" s="223"/>
      <c r="B73" s="247" t="s">
        <v>222</v>
      </c>
      <c r="C73" s="223"/>
      <c r="D73" s="307"/>
      <c r="E73" s="686">
        <v>0</v>
      </c>
      <c r="F73" s="318"/>
      <c r="G73" s="686"/>
      <c r="H73" s="318"/>
      <c r="I73" s="686"/>
      <c r="J73" s="318"/>
      <c r="K73" s="686"/>
      <c r="L73" s="261"/>
      <c r="M73" s="372"/>
      <c r="N73" s="261"/>
      <c r="O73" s="372"/>
      <c r="P73" s="261"/>
      <c r="Q73" s="372"/>
      <c r="R73" s="261"/>
      <c r="S73" s="372"/>
      <c r="T73" s="261"/>
      <c r="U73" s="372"/>
      <c r="V73" s="261"/>
      <c r="W73" s="372"/>
      <c r="X73" s="261"/>
      <c r="Y73" s="372"/>
      <c r="Z73" s="261"/>
      <c r="AA73" s="318"/>
      <c r="AB73" s="318"/>
      <c r="AC73" s="318">
        <v>0</v>
      </c>
      <c r="AD73" s="318"/>
      <c r="AE73" s="1270"/>
      <c r="AF73" s="319">
        <f>ROUND(SUM(E73:AC73),1)</f>
        <v>0</v>
      </c>
      <c r="AG73" s="2088"/>
      <c r="AH73" s="1270"/>
      <c r="AI73" s="2564">
        <v>-2</v>
      </c>
      <c r="AJ73" s="262"/>
      <c r="AK73" s="2132"/>
      <c r="AL73" s="2158">
        <f>ROUND(AF73-AI73,1)</f>
        <v>2</v>
      </c>
      <c r="AM73" s="645"/>
      <c r="AN73" s="2741">
        <f>ROUND(IF(AI73=0,1,AL73/ABS(AI73)),3)</f>
        <v>1</v>
      </c>
    </row>
    <row r="74" spans="1:41" ht="15.6">
      <c r="A74" s="223"/>
      <c r="B74" s="223"/>
      <c r="C74" s="223"/>
      <c r="D74" s="307"/>
      <c r="E74" s="327"/>
      <c r="F74" s="318"/>
      <c r="G74" s="327"/>
      <c r="H74" s="318"/>
      <c r="I74" s="327"/>
      <c r="J74" s="318"/>
      <c r="K74" s="327"/>
      <c r="L74" s="261"/>
      <c r="M74" s="288"/>
      <c r="N74" s="261"/>
      <c r="O74" s="288"/>
      <c r="P74" s="261"/>
      <c r="Q74" s="288"/>
      <c r="R74" s="261"/>
      <c r="S74" s="288"/>
      <c r="T74" s="261"/>
      <c r="U74" s="288"/>
      <c r="V74" s="261"/>
      <c r="W74" s="419"/>
      <c r="X74" s="261"/>
      <c r="Y74" s="288"/>
      <c r="Z74" s="261"/>
      <c r="AA74" s="327"/>
      <c r="AB74" s="262"/>
      <c r="AC74" s="327"/>
      <c r="AD74" s="318"/>
      <c r="AE74" s="1270"/>
      <c r="AF74" s="327"/>
      <c r="AG74" s="2088"/>
      <c r="AH74" s="1270"/>
      <c r="AI74" s="687"/>
      <c r="AJ74" s="687"/>
      <c r="AK74" s="2144"/>
      <c r="AL74" s="2159"/>
      <c r="AM74" s="688"/>
      <c r="AN74" s="2778"/>
      <c r="AO74" s="645"/>
    </row>
    <row r="75" spans="1:41" ht="15.6">
      <c r="A75" s="223"/>
      <c r="B75" s="221" t="s">
        <v>215</v>
      </c>
      <c r="C75" s="223"/>
      <c r="D75" s="307"/>
      <c r="E75" s="2152">
        <f>ROUND(SUM(E72:E74),1)</f>
        <v>0</v>
      </c>
      <c r="F75" s="318"/>
      <c r="G75" s="2152">
        <f>ROUND(SUM(G72:G74),1)</f>
        <v>0</v>
      </c>
      <c r="H75" s="318"/>
      <c r="I75" s="2152">
        <f>ROUND(SUM(I72:I74),1)</f>
        <v>0</v>
      </c>
      <c r="J75" s="318"/>
      <c r="K75" s="2152">
        <f>ROUND(SUM(K72:K74),1)</f>
        <v>0</v>
      </c>
      <c r="L75" s="261"/>
      <c r="M75" s="543">
        <f>ROUND(SUM(M72:M74),1)</f>
        <v>0</v>
      </c>
      <c r="N75" s="261"/>
      <c r="O75" s="543">
        <f>ROUND(SUM(O72:O74),1)</f>
        <v>0</v>
      </c>
      <c r="P75" s="261"/>
      <c r="Q75" s="543">
        <f>ROUND(SUM(Q72:Q74),1)</f>
        <v>0</v>
      </c>
      <c r="R75" s="266"/>
      <c r="S75" s="543">
        <f>ROUND(SUM(S72:S74),1)</f>
        <v>0</v>
      </c>
      <c r="T75" s="261"/>
      <c r="U75" s="543">
        <f>ROUND(SUM(U72:U74),1)</f>
        <v>0</v>
      </c>
      <c r="V75" s="261"/>
      <c r="W75" s="543">
        <f>ROUND(SUM(W72:W74),1)</f>
        <v>0</v>
      </c>
      <c r="X75" s="261"/>
      <c r="Y75" s="543">
        <f>ROUND(SUM(Y72:Y74),1)</f>
        <v>0</v>
      </c>
      <c r="Z75" s="274"/>
      <c r="AA75" s="2152">
        <f>ROUND(SUM(AA72:AA74),1)</f>
        <v>0</v>
      </c>
      <c r="AB75" s="2152"/>
      <c r="AC75" s="2152">
        <f>ROUND(SUM(AC72:AC74),1)</f>
        <v>0</v>
      </c>
      <c r="AD75" s="318"/>
      <c r="AE75" s="1270"/>
      <c r="AF75" s="2152">
        <f>ROUND(SUM(AF72:AF74),1)</f>
        <v>0</v>
      </c>
      <c r="AG75" s="2088"/>
      <c r="AH75" s="1270"/>
      <c r="AI75" s="2152">
        <f>ROUND(SUM(AI72:AI74),1)</f>
        <v>-2</v>
      </c>
      <c r="AJ75" s="262"/>
      <c r="AK75" s="2132"/>
      <c r="AL75" s="2152">
        <f>ROUND(SUM(AL72:AL74),1)</f>
        <v>2</v>
      </c>
      <c r="AM75" s="688"/>
      <c r="AN75" s="2731">
        <f>ROUND(IF(AI75=0,1,AL75/ABS(AI75)),3)</f>
        <v>1</v>
      </c>
    </row>
    <row r="76" spans="1:41" ht="15.6">
      <c r="A76" s="223"/>
      <c r="B76" s="223"/>
      <c r="C76" s="223"/>
      <c r="D76" s="307"/>
      <c r="E76" s="327"/>
      <c r="F76" s="318"/>
      <c r="G76" s="327"/>
      <c r="H76" s="318"/>
      <c r="I76" s="327"/>
      <c r="J76" s="318"/>
      <c r="K76" s="327"/>
      <c r="L76" s="261"/>
      <c r="M76" s="288"/>
      <c r="N76" s="261"/>
      <c r="O76" s="288"/>
      <c r="P76" s="261"/>
      <c r="Q76" s="288"/>
      <c r="R76" s="261"/>
      <c r="S76" s="288"/>
      <c r="T76" s="261"/>
      <c r="U76" s="288"/>
      <c r="V76" s="261"/>
      <c r="W76" s="288"/>
      <c r="X76" s="261"/>
      <c r="Y76" s="288"/>
      <c r="Z76" s="261"/>
      <c r="AA76" s="327"/>
      <c r="AB76" s="262"/>
      <c r="AC76" s="327"/>
      <c r="AD76" s="318"/>
      <c r="AE76" s="1270"/>
      <c r="AF76" s="327"/>
      <c r="AG76" s="2088"/>
      <c r="AH76" s="1270"/>
      <c r="AI76" s="327"/>
      <c r="AJ76" s="262"/>
      <c r="AK76" s="2132"/>
      <c r="AL76" s="327"/>
      <c r="AM76" s="645"/>
      <c r="AN76" s="2779"/>
    </row>
    <row r="77" spans="1:41" ht="15.6">
      <c r="A77" s="223"/>
      <c r="B77" s="221" t="s">
        <v>216</v>
      </c>
      <c r="C77" s="223"/>
      <c r="D77" s="307"/>
      <c r="E77" s="318" t="s">
        <v>16</v>
      </c>
      <c r="F77" s="318" t="s">
        <v>16</v>
      </c>
      <c r="G77" s="318" t="s">
        <v>16</v>
      </c>
      <c r="H77" s="318"/>
      <c r="I77" s="318" t="s">
        <v>16</v>
      </c>
      <c r="J77" s="318"/>
      <c r="K77" s="318" t="s">
        <v>16</v>
      </c>
      <c r="L77" s="261"/>
      <c r="M77" s="261" t="s">
        <v>16</v>
      </c>
      <c r="N77" s="261"/>
      <c r="O77" s="261" t="s">
        <v>16</v>
      </c>
      <c r="P77" s="261"/>
      <c r="Q77" s="261" t="s">
        <v>16</v>
      </c>
      <c r="R77" s="261"/>
      <c r="S77" s="261" t="s">
        <v>16</v>
      </c>
      <c r="T77" s="261"/>
      <c r="U77" s="261" t="s">
        <v>16</v>
      </c>
      <c r="V77" s="261"/>
      <c r="W77" s="261" t="s">
        <v>16</v>
      </c>
      <c r="X77" s="261"/>
      <c r="Y77" s="261" t="s">
        <v>16</v>
      </c>
      <c r="Z77" s="261"/>
      <c r="AA77" s="318" t="s">
        <v>16</v>
      </c>
      <c r="AB77" s="318"/>
      <c r="AC77" s="318" t="s">
        <v>16</v>
      </c>
      <c r="AD77" s="318"/>
      <c r="AE77" s="1270"/>
      <c r="AF77" s="318"/>
      <c r="AG77" s="2088"/>
      <c r="AH77" s="1270"/>
      <c r="AI77" s="318"/>
      <c r="AJ77" s="318"/>
      <c r="AK77" s="2132"/>
      <c r="AL77" s="687"/>
      <c r="AM77" s="645"/>
      <c r="AN77" s="653"/>
    </row>
    <row r="78" spans="1:41" ht="15.6">
      <c r="A78" s="223"/>
      <c r="B78" s="221" t="s">
        <v>217</v>
      </c>
      <c r="C78" s="223"/>
      <c r="D78" s="307"/>
      <c r="E78" s="318"/>
      <c r="F78" s="318"/>
      <c r="G78" s="318" t="s">
        <v>16</v>
      </c>
      <c r="H78" s="318"/>
      <c r="I78" s="318" t="s">
        <v>16</v>
      </c>
      <c r="J78" s="318"/>
      <c r="K78" s="318" t="s">
        <v>16</v>
      </c>
      <c r="L78" s="261"/>
      <c r="M78" s="261" t="s">
        <v>16</v>
      </c>
      <c r="N78" s="261"/>
      <c r="O78" s="261" t="s">
        <v>16</v>
      </c>
      <c r="P78" s="261"/>
      <c r="Q78" s="261" t="s">
        <v>16</v>
      </c>
      <c r="R78" s="261"/>
      <c r="S78" s="261" t="s">
        <v>16</v>
      </c>
      <c r="T78" s="261"/>
      <c r="U78" s="261" t="s">
        <v>16</v>
      </c>
      <c r="V78" s="261"/>
      <c r="W78" s="261" t="s">
        <v>16</v>
      </c>
      <c r="X78" s="261"/>
      <c r="Y78" s="261" t="s">
        <v>16</v>
      </c>
      <c r="Z78" s="261"/>
      <c r="AA78" s="318" t="s">
        <v>16</v>
      </c>
      <c r="AB78" s="318"/>
      <c r="AC78" s="318" t="s">
        <v>16</v>
      </c>
      <c r="AD78" s="318"/>
      <c r="AE78" s="1270"/>
      <c r="AF78" s="318"/>
      <c r="AG78" s="2088"/>
      <c r="AH78" s="1270"/>
      <c r="AI78" s="318"/>
      <c r="AJ78" s="318"/>
      <c r="AK78" s="2132"/>
      <c r="AL78" s="687"/>
      <c r="AM78" s="645"/>
      <c r="AN78" s="653"/>
    </row>
    <row r="79" spans="1:41" ht="16.2" thickBot="1">
      <c r="A79" s="223"/>
      <c r="B79" s="221" t="s">
        <v>174</v>
      </c>
      <c r="C79" s="223"/>
      <c r="D79" s="307"/>
      <c r="E79" s="490">
        <f>ROUND(E69+E75,1)</f>
        <v>49.3</v>
      </c>
      <c r="F79" s="318"/>
      <c r="G79" s="490">
        <f>ROUND(G69+G75,1)</f>
        <v>0</v>
      </c>
      <c r="H79" s="318"/>
      <c r="I79" s="490">
        <f>ROUND(I69+I75,1)</f>
        <v>0</v>
      </c>
      <c r="J79" s="318"/>
      <c r="K79" s="490">
        <f>ROUND(K69+K75,1)</f>
        <v>0</v>
      </c>
      <c r="L79" s="261"/>
      <c r="M79" s="490">
        <f>ROUND(M69+M75,1)</f>
        <v>0</v>
      </c>
      <c r="N79" s="261"/>
      <c r="O79" s="490">
        <f>ROUND(O69+O75,1)</f>
        <v>0</v>
      </c>
      <c r="P79" s="261"/>
      <c r="Q79" s="490">
        <f>ROUND(Q69+Q75,1)</f>
        <v>0</v>
      </c>
      <c r="R79" s="261"/>
      <c r="S79" s="490">
        <f>ROUND(S69+S75,1)</f>
        <v>0</v>
      </c>
      <c r="T79" s="261"/>
      <c r="U79" s="490">
        <f>ROUND(U69+U75,1)</f>
        <v>0</v>
      </c>
      <c r="V79" s="261"/>
      <c r="W79" s="490">
        <f>ROUND(W69+W75,1)</f>
        <v>0</v>
      </c>
      <c r="X79" s="261"/>
      <c r="Y79" s="490">
        <f>ROUND(Y69+Y75,1)</f>
        <v>0</v>
      </c>
      <c r="Z79" s="261"/>
      <c r="AA79" s="490">
        <f>ROUND(AA69+AA75,1)</f>
        <v>0</v>
      </c>
      <c r="AB79" s="340"/>
      <c r="AC79" s="490">
        <f>ROUND(AC69+AC75,1)</f>
        <v>0</v>
      </c>
      <c r="AD79" s="318"/>
      <c r="AE79" s="1270"/>
      <c r="AF79" s="490">
        <f>ROUND(AF69+AF75,1)</f>
        <v>49.3</v>
      </c>
      <c r="AG79" s="2641"/>
      <c r="AH79" s="2642"/>
      <c r="AI79" s="490">
        <f>ROUND(AI69+AI75,1)</f>
        <v>-4</v>
      </c>
      <c r="AJ79" s="2643"/>
      <c r="AK79" s="2644"/>
      <c r="AL79" s="490">
        <f>ROUND(AF79-AI79,1)</f>
        <v>53.3</v>
      </c>
      <c r="AM79" s="663"/>
      <c r="AN79" s="2777">
        <f>ROUND(SUM(AF79-AI79)/ABS(AI79),3)</f>
        <v>13.324999999999999</v>
      </c>
      <c r="AO79" s="1809"/>
    </row>
    <row r="80" spans="1:41" ht="16.2" thickTop="1">
      <c r="A80" s="223"/>
      <c r="B80" s="223"/>
      <c r="C80" s="223"/>
      <c r="D80" s="307"/>
      <c r="E80" s="317"/>
      <c r="F80" s="317"/>
      <c r="G80" s="317"/>
      <c r="H80" s="317"/>
      <c r="I80" s="317"/>
      <c r="J80" s="317"/>
      <c r="K80" s="317"/>
      <c r="L80" s="253"/>
      <c r="M80" s="253"/>
      <c r="N80" s="253"/>
      <c r="O80" s="253"/>
      <c r="P80" s="253"/>
      <c r="Q80" s="253"/>
      <c r="R80" s="253"/>
      <c r="S80" s="253"/>
      <c r="T80" s="253"/>
      <c r="U80" s="253"/>
      <c r="V80" s="253"/>
      <c r="W80" s="253"/>
      <c r="X80" s="253"/>
      <c r="Y80" s="253"/>
      <c r="Z80" s="253"/>
      <c r="AA80" s="317"/>
      <c r="AB80" s="317"/>
      <c r="AC80" s="317"/>
      <c r="AD80" s="317"/>
      <c r="AE80" s="317"/>
      <c r="AF80" s="317"/>
      <c r="AG80" s="317"/>
      <c r="AH80" s="317"/>
      <c r="AI80" s="317"/>
      <c r="AJ80" s="317"/>
      <c r="AK80" s="2160"/>
      <c r="AL80" s="2129"/>
      <c r="AM80" s="645"/>
      <c r="AN80" s="3141"/>
    </row>
    <row r="81" spans="1:40">
      <c r="A81" s="223"/>
      <c r="B81" s="2800" t="s">
        <v>1377</v>
      </c>
      <c r="C81" s="223"/>
      <c r="D81" s="307"/>
      <c r="E81" s="309"/>
      <c r="F81" s="307"/>
      <c r="G81" s="309"/>
      <c r="H81" s="307"/>
      <c r="I81" s="309"/>
      <c r="J81" s="307"/>
      <c r="K81" s="309"/>
      <c r="L81" s="223"/>
      <c r="M81" s="228"/>
      <c r="N81" s="223"/>
      <c r="O81" s="228"/>
      <c r="P81" s="223"/>
      <c r="Q81" s="228"/>
      <c r="R81" s="223"/>
      <c r="S81" s="532" t="s">
        <v>16</v>
      </c>
      <c r="T81" s="223"/>
      <c r="U81" s="532" t="s">
        <v>16</v>
      </c>
      <c r="V81" s="223"/>
      <c r="W81" s="228"/>
      <c r="X81" s="223"/>
      <c r="Y81" s="228"/>
      <c r="Z81" s="223"/>
      <c r="AA81" s="309"/>
      <c r="AB81" s="309"/>
      <c r="AC81" s="309"/>
      <c r="AD81" s="307"/>
      <c r="AE81" s="307"/>
      <c r="AF81" s="309"/>
      <c r="AG81" s="307"/>
      <c r="AH81" s="307"/>
      <c r="AI81" s="309"/>
      <c r="AJ81" s="309"/>
      <c r="AK81" s="309"/>
      <c r="AL81" s="2129"/>
      <c r="AM81" s="645"/>
      <c r="AN81" s="653"/>
    </row>
    <row r="82" spans="1:40">
      <c r="B82" s="223"/>
      <c r="Y82" s="677" t="s">
        <v>16</v>
      </c>
      <c r="AK82" s="2129"/>
      <c r="AL82" s="2103" t="s">
        <v>16</v>
      </c>
      <c r="AM82" s="645"/>
      <c r="AN82" s="689"/>
    </row>
  </sheetData>
  <customSheetViews>
    <customSheetView guid="{8EE6466D-211E-4E05-9F84-CC0A1C6F79F4}" scale="60" showGridLines="0" fitToPage="1">
      <selection activeCell="P28" sqref="P28"/>
      <rowBreaks count="1" manualBreakCount="1">
        <brk id="43" min="1" max="37" man="1"/>
      </rowBreaks>
      <pageMargins left="0.3" right="0.25" top="0.51" bottom="0.25" header="0" footer="0.25"/>
      <pageSetup scale="39" orientation="landscape" r:id="rId1"/>
      <headerFooter scaleWithDoc="0" alignWithMargins="0">
        <oddFooter>&amp;C&amp;8 33</oddFooter>
      </headerFooter>
    </customSheetView>
  </customSheetViews>
  <mergeCells count="1">
    <mergeCell ref="AF10:AN10"/>
  </mergeCells>
  <pageMargins left="0.3" right="0.25" top="0.51" bottom="0.25" header="0" footer="0.25"/>
  <pageSetup scale="39" firstPageNumber="33" orientation="landscape" useFirstPageNumber="1" r:id="rId2"/>
  <headerFooter scaleWithDoc="0" alignWithMargins="0">
    <oddFooter>&amp;C&amp;8&amp;P</oddFooter>
  </headerFooter>
  <ignoredErrors>
    <ignoredError sqref="AN20:AN39 AN41 AN43 AN61:AN64 AN72 AN50:AN57 AN49" unlockedFormula="1"/>
    <ignoredError sqref="AN40" formula="1"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T61"/>
  <sheetViews>
    <sheetView zoomScale="70" zoomScaleNormal="70" workbookViewId="0"/>
  </sheetViews>
  <sheetFormatPr defaultColWidth="8.90625" defaultRowHeight="16.5" customHeight="1"/>
  <cols>
    <col min="1" max="1" width="45.08984375" style="302" customWidth="1"/>
    <col min="2" max="2" width="1.6328125" style="302" customWidth="1"/>
    <col min="3" max="3" width="9.90625" style="302" customWidth="1"/>
    <col min="4" max="4" width="1.6328125" style="302" customWidth="1"/>
    <col min="5" max="5" width="8.90625" style="302" customWidth="1"/>
    <col min="6" max="6" width="1.6328125" style="302" customWidth="1"/>
    <col min="7" max="7" width="8.90625" style="302" customWidth="1"/>
    <col min="8" max="8" width="1.6328125" style="302" customWidth="1"/>
    <col min="9" max="9" width="8.90625" style="302" customWidth="1"/>
    <col min="10" max="10" width="1.54296875" style="302" customWidth="1"/>
    <col min="11" max="11" width="9.453125" style="302" customWidth="1"/>
    <col min="12" max="12" width="1.54296875" style="302" customWidth="1"/>
    <col min="13" max="13" width="13.36328125" style="302" customWidth="1"/>
    <col min="14" max="14" width="1.6328125" style="302" customWidth="1"/>
    <col min="15" max="15" width="11.81640625" style="302" customWidth="1"/>
    <col min="16" max="16" width="1.6328125" style="302" customWidth="1"/>
    <col min="17" max="17" width="11.81640625" style="302" customWidth="1"/>
    <col min="18" max="18" width="1.6328125" style="302" customWidth="1"/>
    <col min="19" max="19" width="12.453125" style="302" customWidth="1"/>
    <col min="20" max="20" width="1.6328125" style="302" customWidth="1"/>
    <col min="21" max="21" width="10.54296875" style="302" customWidth="1"/>
    <col min="22" max="22" width="1.6328125" style="302" customWidth="1"/>
    <col min="23" max="23" width="10.90625" style="302" customWidth="1"/>
    <col min="24" max="24" width="1.6328125" style="302" customWidth="1"/>
    <col min="25" max="25" width="9.36328125" style="302" customWidth="1"/>
    <col min="26" max="27" width="1.6328125" style="302" customWidth="1"/>
    <col min="28" max="28" width="11.54296875" style="302" customWidth="1"/>
    <col min="29" max="30" width="1.6328125" style="302" customWidth="1"/>
    <col min="31" max="31" width="12.453125" style="302" customWidth="1"/>
    <col min="32" max="32" width="1.81640625" style="738" customWidth="1"/>
    <col min="33" max="33" width="2.453125" style="2210" customWidth="1"/>
    <col min="34" max="34" width="10.36328125" style="2211" bestFit="1" customWidth="1"/>
    <col min="35" max="35" width="1.6328125" style="2211" customWidth="1"/>
    <col min="36" max="36" width="14.1796875" style="2210" bestFit="1" customWidth="1"/>
    <col min="37" max="16384" width="8.90625" style="302"/>
  </cols>
  <sheetData>
    <row r="1" spans="1:254" ht="16.5" customHeight="1">
      <c r="A1" s="1172" t="s">
        <v>1103</v>
      </c>
    </row>
    <row r="2" spans="1:254" ht="16.5" customHeight="1">
      <c r="A2" s="429"/>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row>
    <row r="3" spans="1:254" ht="20.25" customHeight="1">
      <c r="A3" s="426" t="s">
        <v>0</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223"/>
      <c r="AJ3" s="2261" t="s">
        <v>1237</v>
      </c>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7"/>
      <c r="GR3" s="427"/>
      <c r="GS3" s="427"/>
      <c r="GT3" s="427"/>
      <c r="GU3" s="427"/>
      <c r="GV3" s="427"/>
      <c r="GW3" s="427"/>
      <c r="GX3" s="427"/>
      <c r="GY3" s="427"/>
      <c r="GZ3" s="427"/>
      <c r="HA3" s="427"/>
      <c r="HB3" s="427"/>
      <c r="HC3" s="427"/>
      <c r="HD3" s="427"/>
      <c r="HE3" s="427"/>
      <c r="HF3" s="427"/>
      <c r="HG3" s="427"/>
      <c r="HH3" s="427"/>
      <c r="HI3" s="427"/>
      <c r="HJ3" s="427"/>
      <c r="HK3" s="427"/>
      <c r="HL3" s="427"/>
      <c r="HM3" s="427"/>
      <c r="HN3" s="427"/>
      <c r="HO3" s="427"/>
      <c r="HP3" s="427"/>
      <c r="HQ3" s="427"/>
      <c r="HR3" s="427"/>
      <c r="HS3" s="427"/>
      <c r="HT3" s="427"/>
      <c r="HU3" s="427"/>
      <c r="HV3" s="427"/>
      <c r="HW3" s="427"/>
      <c r="HX3" s="427"/>
      <c r="HY3" s="427"/>
      <c r="HZ3" s="427"/>
      <c r="IA3" s="427"/>
      <c r="IB3" s="427"/>
      <c r="IC3" s="427"/>
      <c r="ID3" s="427"/>
      <c r="IE3" s="427"/>
      <c r="IF3" s="427"/>
      <c r="IG3" s="427"/>
      <c r="IH3" s="427"/>
      <c r="II3" s="427"/>
      <c r="IJ3" s="427"/>
      <c r="IK3" s="427"/>
      <c r="IL3" s="427"/>
      <c r="IM3" s="427"/>
      <c r="IN3" s="427"/>
      <c r="IO3" s="427"/>
      <c r="IP3" s="427"/>
      <c r="IQ3" s="427"/>
      <c r="IR3" s="427"/>
      <c r="IS3" s="427"/>
      <c r="IT3" s="427"/>
    </row>
    <row r="4" spans="1:254" ht="20.25" customHeight="1">
      <c r="A4" s="426" t="s">
        <v>223</v>
      </c>
      <c r="B4" s="425"/>
      <c r="C4" s="425"/>
      <c r="D4" s="425"/>
      <c r="E4" s="425"/>
      <c r="F4" s="425"/>
      <c r="G4" s="425"/>
      <c r="H4" s="425"/>
      <c r="I4" s="425" t="s">
        <v>16</v>
      </c>
      <c r="J4" s="425"/>
      <c r="K4" s="425"/>
      <c r="L4" s="425"/>
      <c r="M4" s="425"/>
      <c r="N4" s="425"/>
      <c r="O4" s="425"/>
      <c r="P4" s="425"/>
      <c r="Q4" s="425"/>
      <c r="R4" s="425"/>
      <c r="S4" s="425"/>
      <c r="T4" s="425"/>
      <c r="U4" s="425"/>
      <c r="V4" s="425"/>
      <c r="W4" s="425"/>
      <c r="X4" s="425"/>
      <c r="Y4" s="425" t="s">
        <v>16</v>
      </c>
      <c r="Z4" s="425"/>
      <c r="AA4" s="425"/>
      <c r="AB4" s="425"/>
      <c r="AC4" s="425"/>
      <c r="AD4" s="425"/>
      <c r="AE4" s="425"/>
      <c r="AF4" s="223"/>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c r="EV4" s="427"/>
      <c r="EW4" s="427"/>
      <c r="EX4" s="427"/>
      <c r="EY4" s="427"/>
      <c r="EZ4" s="427"/>
      <c r="FA4" s="427"/>
      <c r="FB4" s="427"/>
      <c r="FC4" s="427"/>
      <c r="FD4" s="427"/>
      <c r="FE4" s="427"/>
      <c r="FF4" s="427"/>
      <c r="FG4" s="427"/>
      <c r="FH4" s="427"/>
      <c r="FI4" s="427"/>
      <c r="FJ4" s="427"/>
      <c r="FK4" s="427"/>
      <c r="FL4" s="427"/>
      <c r="FM4" s="427"/>
      <c r="FN4" s="427"/>
      <c r="FO4" s="427"/>
      <c r="FP4" s="427"/>
      <c r="FQ4" s="427"/>
      <c r="FR4" s="427"/>
      <c r="FS4" s="427"/>
      <c r="FT4" s="427"/>
      <c r="FU4" s="427"/>
      <c r="FV4" s="427"/>
      <c r="FW4" s="427"/>
      <c r="FX4" s="427"/>
      <c r="FY4" s="427"/>
      <c r="FZ4" s="427"/>
      <c r="GA4" s="427"/>
      <c r="GB4" s="427"/>
      <c r="GC4" s="427"/>
      <c r="GD4" s="427"/>
      <c r="GE4" s="427"/>
      <c r="GF4" s="427"/>
      <c r="GG4" s="427"/>
      <c r="GH4" s="427"/>
      <c r="GI4" s="427"/>
      <c r="GJ4" s="427"/>
      <c r="GK4" s="427"/>
      <c r="GL4" s="427"/>
      <c r="GM4" s="427"/>
      <c r="GN4" s="427"/>
      <c r="GO4" s="427"/>
      <c r="GP4" s="427"/>
      <c r="GQ4" s="427"/>
      <c r="GR4" s="427"/>
      <c r="GS4" s="427"/>
      <c r="GT4" s="427"/>
      <c r="GU4" s="427"/>
      <c r="GV4" s="427"/>
      <c r="GW4" s="427"/>
      <c r="GX4" s="427"/>
      <c r="GY4" s="427"/>
      <c r="GZ4" s="427"/>
      <c r="HA4" s="427"/>
      <c r="HB4" s="427"/>
      <c r="HC4" s="427"/>
      <c r="HD4" s="427"/>
      <c r="HE4" s="427"/>
      <c r="HF4" s="427"/>
      <c r="HG4" s="427"/>
      <c r="HH4" s="427"/>
      <c r="HI4" s="427"/>
      <c r="HJ4" s="427"/>
      <c r="HK4" s="427"/>
      <c r="HL4" s="427"/>
      <c r="HM4" s="427"/>
      <c r="HN4" s="427"/>
      <c r="HO4" s="427"/>
      <c r="HP4" s="427"/>
      <c r="HQ4" s="427"/>
      <c r="HR4" s="427"/>
      <c r="HS4" s="427"/>
      <c r="HT4" s="427"/>
      <c r="HU4" s="427"/>
      <c r="HV4" s="427"/>
      <c r="HW4" s="427"/>
      <c r="HX4" s="427"/>
      <c r="HY4" s="427"/>
      <c r="HZ4" s="427"/>
      <c r="IA4" s="427"/>
      <c r="IB4" s="427"/>
      <c r="IC4" s="427"/>
      <c r="ID4" s="427"/>
      <c r="IE4" s="427"/>
      <c r="IF4" s="427"/>
      <c r="IG4" s="427"/>
      <c r="IH4" s="427"/>
      <c r="II4" s="427"/>
      <c r="IJ4" s="427"/>
      <c r="IK4" s="427"/>
      <c r="IL4" s="427"/>
      <c r="IM4" s="427"/>
      <c r="IN4" s="427"/>
      <c r="IO4" s="427"/>
      <c r="IP4" s="427"/>
      <c r="IQ4" s="427"/>
      <c r="IR4" s="427"/>
      <c r="IS4" s="427"/>
      <c r="IT4" s="427"/>
    </row>
    <row r="5" spans="1:254" ht="20.25" customHeight="1">
      <c r="A5" s="428" t="s">
        <v>128</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F5" s="1693"/>
      <c r="AK5" s="426"/>
      <c r="AL5" s="426"/>
      <c r="AM5" s="426"/>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c r="BW5" s="427"/>
      <c r="BX5" s="427"/>
      <c r="BY5" s="427"/>
      <c r="BZ5" s="427"/>
      <c r="CA5" s="427"/>
      <c r="CB5" s="427"/>
      <c r="CC5" s="427"/>
      <c r="CD5" s="427"/>
      <c r="CE5" s="427"/>
      <c r="CF5" s="427"/>
      <c r="CG5" s="427"/>
      <c r="CH5" s="427"/>
      <c r="CI5" s="427"/>
      <c r="CJ5" s="427"/>
      <c r="CK5" s="427"/>
      <c r="CL5" s="427"/>
      <c r="CM5" s="427"/>
      <c r="CN5" s="427"/>
      <c r="CO5" s="427"/>
      <c r="CP5" s="427"/>
      <c r="CQ5" s="427"/>
      <c r="CR5" s="427"/>
      <c r="CS5" s="427"/>
      <c r="CT5" s="427"/>
      <c r="CU5" s="427"/>
      <c r="CV5" s="427"/>
      <c r="CW5" s="427"/>
      <c r="CX5" s="427"/>
      <c r="CY5" s="427"/>
      <c r="CZ5" s="427"/>
      <c r="DA5" s="427"/>
      <c r="DB5" s="427"/>
      <c r="DC5" s="427"/>
      <c r="DD5" s="427"/>
      <c r="DE5" s="427"/>
      <c r="DF5" s="427"/>
      <c r="DG5" s="427"/>
      <c r="DH5" s="427"/>
      <c r="DI5" s="427"/>
      <c r="DJ5" s="427"/>
      <c r="DK5" s="427"/>
      <c r="DL5" s="427"/>
      <c r="DM5" s="427"/>
      <c r="DN5" s="427"/>
      <c r="DO5" s="427"/>
      <c r="DP5" s="427"/>
      <c r="DQ5" s="427"/>
      <c r="DR5" s="427"/>
      <c r="DS5" s="427"/>
      <c r="DT5" s="427"/>
      <c r="DU5" s="427"/>
      <c r="DV5" s="427"/>
      <c r="DW5" s="427"/>
      <c r="DX5" s="427"/>
      <c r="DY5" s="427"/>
      <c r="DZ5" s="427"/>
      <c r="EA5" s="427"/>
      <c r="EB5" s="427"/>
      <c r="EC5" s="427"/>
      <c r="ED5" s="427"/>
      <c r="EE5" s="427"/>
      <c r="EF5" s="427"/>
      <c r="EG5" s="427"/>
      <c r="EH5" s="427"/>
      <c r="EI5" s="427"/>
      <c r="EJ5" s="427"/>
      <c r="EK5" s="427"/>
      <c r="EL5" s="427"/>
      <c r="EM5" s="427"/>
      <c r="EN5" s="427"/>
      <c r="EO5" s="427"/>
      <c r="EP5" s="427"/>
      <c r="EQ5" s="427"/>
      <c r="ER5" s="427"/>
      <c r="ES5" s="427"/>
      <c r="ET5" s="427"/>
      <c r="EU5" s="427"/>
      <c r="EV5" s="427"/>
      <c r="EW5" s="427"/>
      <c r="EX5" s="427"/>
      <c r="EY5" s="427"/>
      <c r="EZ5" s="427"/>
      <c r="FA5" s="427"/>
      <c r="FB5" s="427"/>
      <c r="FC5" s="427"/>
      <c r="FD5" s="427"/>
      <c r="FE5" s="427"/>
      <c r="FF5" s="427"/>
      <c r="FG5" s="427"/>
      <c r="FH5" s="427"/>
      <c r="FI5" s="427"/>
      <c r="FJ5" s="427"/>
      <c r="FK5" s="427"/>
      <c r="FL5" s="427"/>
      <c r="FM5" s="427"/>
      <c r="FN5" s="427"/>
      <c r="FO5" s="427"/>
      <c r="FP5" s="427"/>
      <c r="FQ5" s="427"/>
      <c r="FR5" s="427"/>
      <c r="FS5" s="427"/>
      <c r="FT5" s="427"/>
      <c r="FU5" s="427"/>
      <c r="FV5" s="427"/>
      <c r="FW5" s="427"/>
      <c r="FX5" s="427"/>
      <c r="FY5" s="427"/>
      <c r="FZ5" s="427"/>
      <c r="GA5" s="427"/>
      <c r="GB5" s="427"/>
      <c r="GC5" s="427"/>
      <c r="GD5" s="427"/>
      <c r="GE5" s="427"/>
      <c r="GF5" s="427"/>
      <c r="GG5" s="427"/>
      <c r="GH5" s="427"/>
      <c r="GI5" s="427"/>
      <c r="GJ5" s="427"/>
      <c r="GK5" s="427"/>
      <c r="GL5" s="427"/>
      <c r="GM5" s="427"/>
      <c r="GN5" s="427"/>
      <c r="GO5" s="427"/>
      <c r="GP5" s="427"/>
      <c r="GQ5" s="427"/>
      <c r="GR5" s="427"/>
      <c r="GS5" s="427"/>
      <c r="GT5" s="427"/>
      <c r="GU5" s="427"/>
      <c r="GV5" s="427"/>
      <c r="GW5" s="427"/>
      <c r="GX5" s="427"/>
      <c r="GY5" s="427"/>
      <c r="GZ5" s="427"/>
      <c r="HA5" s="427"/>
      <c r="HB5" s="427"/>
      <c r="HC5" s="427"/>
      <c r="HD5" s="427"/>
      <c r="HE5" s="427"/>
      <c r="HF5" s="427"/>
      <c r="HG5" s="427"/>
      <c r="HH5" s="427"/>
      <c r="HI5" s="427"/>
      <c r="HJ5" s="427"/>
      <c r="HK5" s="427"/>
      <c r="HL5" s="427"/>
      <c r="HM5" s="427"/>
      <c r="HN5" s="427"/>
      <c r="HO5" s="427"/>
      <c r="HP5" s="427"/>
      <c r="HQ5" s="427"/>
      <c r="HR5" s="427"/>
      <c r="HS5" s="427"/>
      <c r="HT5" s="427"/>
      <c r="HU5" s="427"/>
      <c r="HV5" s="427"/>
      <c r="HW5" s="427"/>
      <c r="HX5" s="427"/>
      <c r="HY5" s="427"/>
      <c r="HZ5" s="427"/>
      <c r="IA5" s="427"/>
      <c r="IB5" s="427"/>
      <c r="IC5" s="427"/>
      <c r="ID5" s="427"/>
      <c r="IE5" s="427"/>
      <c r="IF5" s="427"/>
      <c r="IG5" s="427"/>
      <c r="IH5" s="427"/>
      <c r="II5" s="427"/>
      <c r="IJ5" s="427"/>
      <c r="IK5" s="427"/>
      <c r="IL5" s="427"/>
      <c r="IM5" s="427"/>
      <c r="IN5" s="427"/>
      <c r="IO5" s="427"/>
      <c r="IP5" s="427"/>
      <c r="IQ5" s="427"/>
      <c r="IR5" s="427"/>
      <c r="IS5" s="427"/>
      <c r="IT5" s="427"/>
    </row>
    <row r="6" spans="1:254" ht="20.25" customHeight="1">
      <c r="A6" s="428" t="s">
        <v>1459</v>
      </c>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223"/>
      <c r="AK6" s="427"/>
      <c r="AL6" s="427"/>
      <c r="AM6" s="427"/>
      <c r="AN6" s="427"/>
      <c r="AO6" s="427"/>
      <c r="AP6" s="427"/>
      <c r="AQ6" s="427"/>
      <c r="AR6" s="427"/>
      <c r="AS6" s="427"/>
      <c r="AT6" s="427"/>
      <c r="AU6" s="427"/>
      <c r="AV6" s="427"/>
      <c r="AW6" s="427"/>
      <c r="AX6" s="427"/>
      <c r="AY6" s="427"/>
      <c r="AZ6" s="427"/>
      <c r="BA6" s="427"/>
      <c r="BB6" s="427"/>
      <c r="BC6" s="427"/>
      <c r="BD6" s="427"/>
      <c r="BE6" s="427"/>
      <c r="BF6" s="427"/>
      <c r="BG6" s="427"/>
      <c r="BH6" s="427"/>
      <c r="BI6" s="427"/>
      <c r="BJ6" s="427"/>
      <c r="BK6" s="427"/>
      <c r="BL6" s="427"/>
      <c r="BM6" s="427"/>
      <c r="BN6" s="427"/>
      <c r="BO6" s="427"/>
      <c r="BP6" s="427"/>
      <c r="BQ6" s="427"/>
      <c r="BR6" s="427"/>
      <c r="BS6" s="427"/>
      <c r="BT6" s="427"/>
      <c r="BU6" s="427"/>
      <c r="BV6" s="427"/>
      <c r="BW6" s="427"/>
      <c r="BX6" s="427"/>
      <c r="BY6" s="427"/>
      <c r="BZ6" s="427"/>
      <c r="CA6" s="427"/>
      <c r="CB6" s="427"/>
      <c r="CC6" s="427"/>
      <c r="CD6" s="427"/>
      <c r="CE6" s="427"/>
      <c r="CF6" s="427"/>
      <c r="CG6" s="427"/>
      <c r="CH6" s="427"/>
      <c r="CI6" s="427"/>
      <c r="CJ6" s="427"/>
      <c r="CK6" s="427"/>
      <c r="CL6" s="427"/>
      <c r="CM6" s="427"/>
      <c r="CN6" s="427"/>
      <c r="CO6" s="427"/>
      <c r="CP6" s="427"/>
      <c r="CQ6" s="427"/>
      <c r="CR6" s="427"/>
      <c r="CS6" s="427"/>
      <c r="CT6" s="427"/>
      <c r="CU6" s="427"/>
      <c r="CV6" s="427"/>
      <c r="CW6" s="427"/>
      <c r="CX6" s="427"/>
      <c r="CY6" s="427"/>
      <c r="CZ6" s="427"/>
      <c r="DA6" s="427"/>
      <c r="DB6" s="427"/>
      <c r="DC6" s="427"/>
      <c r="DD6" s="427"/>
      <c r="DE6" s="427"/>
      <c r="DF6" s="427"/>
      <c r="DG6" s="427"/>
      <c r="DH6" s="427"/>
      <c r="DI6" s="427"/>
      <c r="DJ6" s="427"/>
      <c r="DK6" s="427"/>
      <c r="DL6" s="427"/>
      <c r="DM6" s="427"/>
      <c r="DN6" s="427"/>
      <c r="DO6" s="427"/>
      <c r="DP6" s="427"/>
      <c r="DQ6" s="427"/>
      <c r="DR6" s="427"/>
      <c r="DS6" s="427"/>
      <c r="DT6" s="427"/>
      <c r="DU6" s="427"/>
      <c r="DV6" s="427"/>
      <c r="DW6" s="427"/>
      <c r="DX6" s="427"/>
      <c r="DY6" s="427"/>
      <c r="DZ6" s="427"/>
      <c r="EA6" s="427"/>
      <c r="EB6" s="427"/>
      <c r="EC6" s="427"/>
      <c r="ED6" s="427"/>
      <c r="EE6" s="427"/>
      <c r="EF6" s="427"/>
      <c r="EG6" s="427"/>
      <c r="EH6" s="427"/>
      <c r="EI6" s="427"/>
      <c r="EJ6" s="427"/>
      <c r="EK6" s="427"/>
      <c r="EL6" s="427"/>
      <c r="EM6" s="427"/>
      <c r="EN6" s="427"/>
      <c r="EO6" s="427"/>
      <c r="EP6" s="427"/>
      <c r="EQ6" s="427"/>
      <c r="ER6" s="427"/>
      <c r="ES6" s="427"/>
      <c r="ET6" s="427"/>
      <c r="EU6" s="427"/>
      <c r="EV6" s="427"/>
      <c r="EW6" s="427"/>
      <c r="EX6" s="427"/>
      <c r="EY6" s="427"/>
      <c r="EZ6" s="427"/>
      <c r="FA6" s="427"/>
      <c r="FB6" s="427"/>
      <c r="FC6" s="427"/>
      <c r="FD6" s="427"/>
      <c r="FE6" s="427"/>
      <c r="FF6" s="427"/>
      <c r="FG6" s="427"/>
      <c r="FH6" s="427"/>
      <c r="FI6" s="427"/>
      <c r="FJ6" s="427"/>
      <c r="FK6" s="427"/>
      <c r="FL6" s="427"/>
      <c r="FM6" s="427"/>
      <c r="FN6" s="427"/>
      <c r="FO6" s="427"/>
      <c r="FP6" s="427"/>
      <c r="FQ6" s="427"/>
      <c r="FR6" s="427"/>
      <c r="FS6" s="427"/>
      <c r="FT6" s="427"/>
      <c r="FU6" s="427"/>
      <c r="FV6" s="427"/>
      <c r="FW6" s="427"/>
      <c r="FX6" s="427"/>
      <c r="FY6" s="427"/>
      <c r="FZ6" s="427"/>
      <c r="GA6" s="427"/>
      <c r="GB6" s="427"/>
      <c r="GC6" s="427"/>
      <c r="GD6" s="427"/>
      <c r="GE6" s="427"/>
      <c r="GF6" s="427"/>
      <c r="GG6" s="427"/>
      <c r="GH6" s="427"/>
      <c r="GI6" s="427"/>
      <c r="GJ6" s="427"/>
      <c r="GK6" s="427"/>
      <c r="GL6" s="427"/>
      <c r="GM6" s="427"/>
      <c r="GN6" s="427"/>
      <c r="GO6" s="427"/>
      <c r="GP6" s="427"/>
      <c r="GQ6" s="427"/>
      <c r="GR6" s="427"/>
      <c r="GS6" s="427"/>
      <c r="GT6" s="427"/>
      <c r="GU6" s="427"/>
      <c r="GV6" s="427"/>
      <c r="GW6" s="427"/>
      <c r="GX6" s="427"/>
      <c r="GY6" s="427"/>
      <c r="GZ6" s="427"/>
      <c r="HA6" s="427"/>
      <c r="HB6" s="427"/>
      <c r="HC6" s="427"/>
      <c r="HD6" s="427"/>
      <c r="HE6" s="427"/>
      <c r="HF6" s="427"/>
      <c r="HG6" s="427"/>
      <c r="HH6" s="427"/>
      <c r="HI6" s="427"/>
      <c r="HJ6" s="427"/>
      <c r="HK6" s="427"/>
      <c r="HL6" s="427"/>
      <c r="HM6" s="427"/>
      <c r="HN6" s="427"/>
      <c r="HO6" s="427"/>
      <c r="HP6" s="427"/>
      <c r="HQ6" s="427"/>
      <c r="HR6" s="427"/>
      <c r="HS6" s="427"/>
      <c r="HT6" s="427"/>
      <c r="HU6" s="427"/>
      <c r="HV6" s="427"/>
      <c r="HW6" s="427"/>
      <c r="HX6" s="427"/>
      <c r="HY6" s="427"/>
      <c r="HZ6" s="427"/>
      <c r="IA6" s="427"/>
      <c r="IB6" s="427"/>
      <c r="IC6" s="427"/>
      <c r="ID6" s="427"/>
      <c r="IE6" s="427"/>
      <c r="IF6" s="427"/>
      <c r="IG6" s="427"/>
      <c r="IH6" s="427"/>
      <c r="II6" s="427"/>
      <c r="IJ6" s="427"/>
      <c r="IK6" s="427"/>
      <c r="IL6" s="427"/>
      <c r="IM6" s="427"/>
      <c r="IN6" s="427"/>
      <c r="IO6" s="427"/>
      <c r="IP6" s="427"/>
      <c r="IQ6" s="427"/>
      <c r="IR6" s="427"/>
      <c r="IS6" s="427"/>
      <c r="IT6" s="427"/>
    </row>
    <row r="7" spans="1:254" ht="20.25" customHeight="1">
      <c r="A7" s="426" t="s">
        <v>991</v>
      </c>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223"/>
      <c r="AK7" s="427"/>
      <c r="AL7" s="427"/>
      <c r="AM7" s="427"/>
      <c r="AN7" s="427"/>
      <c r="AO7" s="427"/>
      <c r="AP7" s="427"/>
      <c r="AQ7" s="427"/>
      <c r="AR7" s="427"/>
      <c r="AS7" s="427"/>
      <c r="AT7" s="427"/>
      <c r="AU7" s="427"/>
      <c r="AV7" s="427"/>
      <c r="AW7" s="427"/>
      <c r="AX7" s="427"/>
      <c r="AY7" s="427"/>
      <c r="AZ7" s="427"/>
      <c r="BA7" s="427"/>
      <c r="BB7" s="427"/>
      <c r="BC7" s="427"/>
      <c r="BD7" s="427"/>
      <c r="BE7" s="427"/>
      <c r="BF7" s="427"/>
      <c r="BG7" s="427"/>
      <c r="BH7" s="427"/>
      <c r="BI7" s="427"/>
      <c r="BJ7" s="427"/>
      <c r="BK7" s="427"/>
      <c r="BL7" s="427"/>
      <c r="BM7" s="427"/>
      <c r="BN7" s="427"/>
      <c r="BO7" s="427"/>
      <c r="BP7" s="427"/>
      <c r="BQ7" s="427"/>
      <c r="BR7" s="427"/>
      <c r="BS7" s="427"/>
      <c r="BT7" s="427"/>
      <c r="BU7" s="427"/>
      <c r="BV7" s="427"/>
      <c r="BW7" s="427"/>
      <c r="BX7" s="427"/>
      <c r="BY7" s="427"/>
      <c r="BZ7" s="427"/>
      <c r="CA7" s="427"/>
      <c r="CB7" s="427"/>
      <c r="CC7" s="427"/>
      <c r="CD7" s="427"/>
      <c r="CE7" s="427"/>
      <c r="CF7" s="427"/>
      <c r="CG7" s="427"/>
      <c r="CH7" s="427"/>
      <c r="CI7" s="427"/>
      <c r="CJ7" s="427"/>
      <c r="CK7" s="427"/>
      <c r="CL7" s="427"/>
      <c r="CM7" s="427"/>
      <c r="CN7" s="427"/>
      <c r="CO7" s="427"/>
      <c r="CP7" s="427"/>
      <c r="CQ7" s="427"/>
      <c r="CR7" s="427"/>
      <c r="CS7" s="427"/>
      <c r="CT7" s="427"/>
      <c r="CU7" s="427"/>
      <c r="CV7" s="427"/>
      <c r="CW7" s="427"/>
      <c r="CX7" s="427"/>
      <c r="CY7" s="427"/>
      <c r="CZ7" s="427"/>
      <c r="DA7" s="427"/>
      <c r="DB7" s="427"/>
      <c r="DC7" s="427"/>
      <c r="DD7" s="427"/>
      <c r="DE7" s="427"/>
      <c r="DF7" s="427"/>
      <c r="DG7" s="427"/>
      <c r="DH7" s="427"/>
      <c r="DI7" s="427"/>
      <c r="DJ7" s="427"/>
      <c r="DK7" s="427"/>
      <c r="DL7" s="427"/>
      <c r="DM7" s="427"/>
      <c r="DN7" s="427"/>
      <c r="DO7" s="427"/>
      <c r="DP7" s="427"/>
      <c r="DQ7" s="427"/>
      <c r="DR7" s="427"/>
      <c r="DS7" s="427"/>
      <c r="DT7" s="427"/>
      <c r="DU7" s="427"/>
      <c r="DV7" s="427"/>
      <c r="DW7" s="427"/>
      <c r="DX7" s="427"/>
      <c r="DY7" s="427"/>
      <c r="DZ7" s="427"/>
      <c r="EA7" s="427"/>
      <c r="EB7" s="427"/>
      <c r="EC7" s="427"/>
      <c r="ED7" s="427"/>
      <c r="EE7" s="427"/>
      <c r="EF7" s="427"/>
      <c r="EG7" s="427"/>
      <c r="EH7" s="427"/>
      <c r="EI7" s="427"/>
      <c r="EJ7" s="427"/>
      <c r="EK7" s="427"/>
      <c r="EL7" s="427"/>
      <c r="EM7" s="427"/>
      <c r="EN7" s="427"/>
      <c r="EO7" s="427"/>
      <c r="EP7" s="427"/>
      <c r="EQ7" s="427"/>
      <c r="ER7" s="427"/>
      <c r="ES7" s="427"/>
      <c r="ET7" s="427"/>
      <c r="EU7" s="427"/>
      <c r="EV7" s="427"/>
      <c r="EW7" s="427"/>
      <c r="EX7" s="427"/>
      <c r="EY7" s="427"/>
      <c r="EZ7" s="427"/>
      <c r="FA7" s="427"/>
      <c r="FB7" s="427"/>
      <c r="FC7" s="427"/>
      <c r="FD7" s="427"/>
      <c r="FE7" s="427"/>
      <c r="FF7" s="427"/>
      <c r="FG7" s="427"/>
      <c r="FH7" s="427"/>
      <c r="FI7" s="427"/>
      <c r="FJ7" s="427"/>
      <c r="FK7" s="427"/>
      <c r="FL7" s="427"/>
      <c r="FM7" s="427"/>
      <c r="FN7" s="427"/>
      <c r="FO7" s="427"/>
      <c r="FP7" s="427"/>
      <c r="FQ7" s="427"/>
      <c r="FR7" s="427"/>
      <c r="FS7" s="427"/>
      <c r="FT7" s="427"/>
      <c r="FU7" s="427"/>
      <c r="FV7" s="427"/>
      <c r="FW7" s="427"/>
      <c r="FX7" s="427"/>
      <c r="FY7" s="427"/>
      <c r="FZ7" s="427"/>
      <c r="GA7" s="427"/>
      <c r="GB7" s="427"/>
      <c r="GC7" s="427"/>
      <c r="GD7" s="427"/>
      <c r="GE7" s="427"/>
      <c r="GF7" s="427"/>
      <c r="GG7" s="427"/>
      <c r="GH7" s="427"/>
      <c r="GI7" s="427"/>
      <c r="GJ7" s="427"/>
      <c r="GK7" s="427"/>
      <c r="GL7" s="427"/>
      <c r="GM7" s="427"/>
      <c r="GN7" s="427"/>
      <c r="GO7" s="427"/>
      <c r="GP7" s="427"/>
      <c r="GQ7" s="427"/>
      <c r="GR7" s="427"/>
      <c r="GS7" s="427"/>
      <c r="GT7" s="427"/>
      <c r="GU7" s="427"/>
      <c r="GV7" s="427"/>
      <c r="GW7" s="427"/>
      <c r="GX7" s="427"/>
      <c r="GY7" s="427"/>
      <c r="GZ7" s="427"/>
      <c r="HA7" s="427"/>
      <c r="HB7" s="427"/>
      <c r="HC7" s="427"/>
      <c r="HD7" s="427"/>
      <c r="HE7" s="427"/>
      <c r="HF7" s="427"/>
      <c r="HG7" s="427"/>
      <c r="HH7" s="427"/>
      <c r="HI7" s="427"/>
      <c r="HJ7" s="427"/>
      <c r="HK7" s="427"/>
      <c r="HL7" s="427"/>
      <c r="HM7" s="427"/>
      <c r="HN7" s="427"/>
      <c r="HO7" s="427"/>
      <c r="HP7" s="427"/>
      <c r="HQ7" s="427"/>
      <c r="HR7" s="427"/>
      <c r="HS7" s="427"/>
      <c r="HT7" s="427"/>
      <c r="HU7" s="427"/>
      <c r="HV7" s="427"/>
      <c r="HW7" s="427"/>
      <c r="HX7" s="427"/>
      <c r="HY7" s="427"/>
      <c r="HZ7" s="427"/>
      <c r="IA7" s="427"/>
      <c r="IB7" s="427"/>
      <c r="IC7" s="427"/>
      <c r="ID7" s="427"/>
      <c r="IE7" s="427"/>
      <c r="IF7" s="427"/>
      <c r="IG7" s="427"/>
      <c r="IH7" s="427"/>
      <c r="II7" s="427"/>
      <c r="IJ7" s="427"/>
      <c r="IK7" s="427"/>
      <c r="IL7" s="427"/>
      <c r="IM7" s="427"/>
      <c r="IN7" s="427"/>
      <c r="IO7" s="427"/>
      <c r="IP7" s="427"/>
      <c r="IQ7" s="427"/>
      <c r="IR7" s="427"/>
      <c r="IS7" s="427"/>
      <c r="IT7" s="427"/>
    </row>
    <row r="8" spans="1:254" ht="16.5" customHeight="1">
      <c r="A8" s="429"/>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223"/>
    </row>
    <row r="9" spans="1:254" ht="16.5" customHeight="1">
      <c r="A9" s="429"/>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10"/>
      <c r="AG9" s="2212"/>
    </row>
    <row r="10" spans="1:254" ht="16.5" customHeight="1">
      <c r="A10" s="429"/>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302"/>
      <c r="AG10" s="2213"/>
    </row>
    <row r="11" spans="1:254" ht="16.5" customHeight="1">
      <c r="A11" s="429"/>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C11" s="429"/>
      <c r="AD11" s="429"/>
      <c r="AE11" s="429"/>
      <c r="AF11" s="1941"/>
      <c r="AG11" s="2200"/>
      <c r="AH11" s="2212"/>
      <c r="AI11" s="2212"/>
      <c r="AJ11" s="2212"/>
    </row>
    <row r="12" spans="1:254" ht="16.5" customHeight="1">
      <c r="A12" s="425"/>
      <c r="B12" s="425"/>
      <c r="C12" s="434"/>
      <c r="D12" s="434"/>
      <c r="E12" s="434"/>
      <c r="F12" s="434"/>
      <c r="G12" s="434"/>
      <c r="H12" s="434"/>
      <c r="I12" s="434"/>
      <c r="J12" s="434"/>
      <c r="K12" s="434"/>
      <c r="L12" s="434"/>
      <c r="M12" s="434"/>
      <c r="N12" s="434"/>
      <c r="O12" s="434"/>
      <c r="P12" s="434"/>
      <c r="Q12" s="434"/>
      <c r="R12" s="434"/>
      <c r="S12" s="434"/>
      <c r="T12" s="434"/>
      <c r="U12" s="434"/>
      <c r="V12" s="434"/>
      <c r="W12" s="434"/>
      <c r="X12" s="434"/>
      <c r="Y12" s="1513"/>
      <c r="Z12" s="1513"/>
      <c r="AA12" s="434"/>
      <c r="AB12" s="3413" t="s">
        <v>1465</v>
      </c>
      <c r="AC12" s="3413"/>
      <c r="AD12" s="3413"/>
      <c r="AE12" s="3413"/>
      <c r="AF12" s="3413"/>
      <c r="AG12" s="3413"/>
      <c r="AH12" s="3413"/>
      <c r="AI12" s="3413"/>
      <c r="AJ12" s="3413"/>
    </row>
    <row r="13" spans="1:254" ht="16.5" customHeight="1">
      <c r="A13" s="425"/>
      <c r="B13" s="425"/>
      <c r="C13" s="1811">
        <v>2016</v>
      </c>
      <c r="D13" s="434"/>
      <c r="E13" s="434"/>
      <c r="F13" s="434"/>
      <c r="G13" s="434"/>
      <c r="H13" s="434"/>
      <c r="I13" s="434"/>
      <c r="J13" s="434"/>
      <c r="K13" s="434"/>
      <c r="L13" s="434"/>
      <c r="M13" s="434"/>
      <c r="N13" s="434"/>
      <c r="O13" s="434"/>
      <c r="P13" s="434"/>
      <c r="Q13" s="434"/>
      <c r="R13" s="434"/>
      <c r="S13" s="434"/>
      <c r="T13" s="434"/>
      <c r="U13" s="1811">
        <v>2017</v>
      </c>
      <c r="V13" s="434"/>
      <c r="W13" s="434"/>
      <c r="X13" s="434"/>
      <c r="Y13" s="434"/>
      <c r="Z13" s="434"/>
      <c r="AA13" s="434"/>
      <c r="AB13" s="977"/>
      <c r="AC13" s="1959"/>
      <c r="AD13" s="1959"/>
      <c r="AE13" s="1959"/>
      <c r="AF13" s="1942"/>
      <c r="AG13" s="2201"/>
      <c r="AH13" s="2214" t="s">
        <v>8</v>
      </c>
      <c r="AI13" s="2214"/>
      <c r="AJ13" s="2215" t="s">
        <v>9</v>
      </c>
    </row>
    <row r="14" spans="1:254" ht="16.5" customHeight="1">
      <c r="A14" s="425"/>
      <c r="B14" s="425"/>
      <c r="C14" s="1514" t="s">
        <v>129</v>
      </c>
      <c r="D14" s="434"/>
      <c r="E14" s="1514" t="s">
        <v>130</v>
      </c>
      <c r="F14" s="434"/>
      <c r="G14" s="1514" t="s">
        <v>131</v>
      </c>
      <c r="H14" s="434"/>
      <c r="I14" s="1514" t="s">
        <v>132</v>
      </c>
      <c r="J14" s="434"/>
      <c r="K14" s="1514" t="s">
        <v>133</v>
      </c>
      <c r="L14" s="434"/>
      <c r="M14" s="1514" t="s">
        <v>134</v>
      </c>
      <c r="N14" s="434"/>
      <c r="O14" s="1514" t="s">
        <v>135</v>
      </c>
      <c r="P14" s="434"/>
      <c r="Q14" s="1514" t="s">
        <v>136</v>
      </c>
      <c r="R14" s="434"/>
      <c r="S14" s="1514" t="s">
        <v>137</v>
      </c>
      <c r="T14" s="434"/>
      <c r="U14" s="1514" t="s">
        <v>138</v>
      </c>
      <c r="V14" s="434"/>
      <c r="W14" s="1514" t="s">
        <v>139</v>
      </c>
      <c r="X14" s="434"/>
      <c r="Y14" s="1514" t="s">
        <v>140</v>
      </c>
      <c r="Z14" s="434"/>
      <c r="AA14" s="434"/>
      <c r="AB14" s="1811">
        <v>2016</v>
      </c>
      <c r="AC14" s="434" t="s">
        <v>16</v>
      </c>
      <c r="AD14" s="434"/>
      <c r="AE14" s="1811">
        <v>2015</v>
      </c>
      <c r="AF14" s="719"/>
      <c r="AG14" s="2202"/>
      <c r="AH14" s="2216" t="s">
        <v>13</v>
      </c>
      <c r="AI14" s="2217"/>
      <c r="AJ14" s="2216" t="s">
        <v>14</v>
      </c>
    </row>
    <row r="15" spans="1:254" ht="4.5" customHeight="1">
      <c r="A15" s="425"/>
      <c r="B15" s="425"/>
      <c r="C15" s="430"/>
      <c r="D15" s="425"/>
      <c r="E15" s="430"/>
      <c r="F15" s="425"/>
      <c r="G15" s="430"/>
      <c r="H15" s="425"/>
      <c r="I15" s="430"/>
      <c r="J15" s="425"/>
      <c r="K15" s="430"/>
      <c r="L15" s="425"/>
      <c r="M15" s="430"/>
      <c r="N15" s="425"/>
      <c r="O15" s="430" t="s">
        <v>16</v>
      </c>
      <c r="P15" s="425"/>
      <c r="Q15" s="430"/>
      <c r="R15" s="425"/>
      <c r="S15" s="430"/>
      <c r="T15" s="425"/>
      <c r="U15" s="430" t="s">
        <v>16</v>
      </c>
      <c r="V15" s="425"/>
      <c r="W15" s="430"/>
      <c r="X15" s="425"/>
      <c r="Y15" s="430"/>
      <c r="Z15" s="425"/>
      <c r="AA15" s="425"/>
      <c r="AB15" s="430"/>
      <c r="AC15" s="425"/>
      <c r="AD15" s="425"/>
      <c r="AE15" s="430"/>
      <c r="AF15" s="719"/>
      <c r="AG15" s="2202"/>
    </row>
    <row r="16" spans="1:254" ht="16.5" customHeight="1">
      <c r="A16" s="431" t="s">
        <v>141</v>
      </c>
      <c r="B16" s="425"/>
      <c r="C16" s="432">
        <v>66.099999999999994</v>
      </c>
      <c r="D16" s="432"/>
      <c r="E16" s="432"/>
      <c r="F16" s="690"/>
      <c r="G16" s="432"/>
      <c r="H16" s="690"/>
      <c r="I16" s="432"/>
      <c r="J16" s="690"/>
      <c r="K16" s="432"/>
      <c r="L16" s="690"/>
      <c r="M16" s="432"/>
      <c r="N16" s="690"/>
      <c r="O16" s="432"/>
      <c r="P16" s="690"/>
      <c r="Q16" s="432"/>
      <c r="R16" s="690"/>
      <c r="S16" s="690"/>
      <c r="T16" s="690"/>
      <c r="U16" s="432"/>
      <c r="V16" s="690"/>
      <c r="W16" s="432"/>
      <c r="X16" s="690"/>
      <c r="Y16" s="432"/>
      <c r="Z16" s="432"/>
      <c r="AA16" s="433"/>
      <c r="AB16" s="432">
        <f>C16</f>
        <v>66.099999999999994</v>
      </c>
      <c r="AC16" s="432"/>
      <c r="AD16" s="433"/>
      <c r="AE16" s="432">
        <v>50.6</v>
      </c>
      <c r="AF16" s="1731"/>
      <c r="AG16" s="2203"/>
      <c r="AH16" s="2218">
        <f>ROUND(SUM(AB16-AE16),1)</f>
        <v>15.5</v>
      </c>
      <c r="AJ16" s="2219">
        <f>ROUND(IF(AH16=0,0,AH16/(AE16)),3)</f>
        <v>0.30599999999999999</v>
      </c>
    </row>
    <row r="17" spans="1:38" ht="16.5" customHeight="1">
      <c r="A17" s="425"/>
      <c r="B17" s="425"/>
      <c r="C17" s="425" t="s">
        <v>16</v>
      </c>
      <c r="D17" s="425"/>
      <c r="E17" s="435"/>
      <c r="F17" s="435"/>
      <c r="G17" s="435"/>
      <c r="H17" s="435"/>
      <c r="I17" s="435"/>
      <c r="J17" s="435"/>
      <c r="K17" s="435"/>
      <c r="L17" s="435"/>
      <c r="M17" s="435"/>
      <c r="N17" s="435"/>
      <c r="O17" s="435"/>
      <c r="P17" s="435"/>
      <c r="Q17" s="435"/>
      <c r="R17" s="435"/>
      <c r="S17" s="435"/>
      <c r="T17" s="435"/>
      <c r="U17" s="435"/>
      <c r="V17" s="435"/>
      <c r="W17" s="435"/>
      <c r="X17" s="435"/>
      <c r="Y17" s="435"/>
      <c r="Z17" s="425"/>
      <c r="AA17" s="436"/>
      <c r="AB17" s="425" t="s">
        <v>16</v>
      </c>
      <c r="AC17" s="425"/>
      <c r="AD17" s="436"/>
      <c r="AE17" s="425" t="s">
        <v>16</v>
      </c>
      <c r="AF17" s="1733"/>
      <c r="AG17" s="2203"/>
      <c r="AH17" s="2220"/>
      <c r="AJ17" s="2211"/>
    </row>
    <row r="18" spans="1:38" ht="16.5" customHeight="1">
      <c r="A18" s="434" t="s">
        <v>15</v>
      </c>
      <c r="B18" s="425"/>
      <c r="C18" s="425"/>
      <c r="D18" s="425"/>
      <c r="E18" s="435"/>
      <c r="F18" s="435"/>
      <c r="G18" s="435"/>
      <c r="H18" s="435"/>
      <c r="I18" s="435"/>
      <c r="J18" s="435"/>
      <c r="K18" s="435"/>
      <c r="L18" s="435"/>
      <c r="M18" s="435"/>
      <c r="N18" s="435"/>
      <c r="O18" s="435"/>
      <c r="P18" s="435"/>
      <c r="Q18" s="435"/>
      <c r="R18" s="435"/>
      <c r="S18" s="435"/>
      <c r="T18" s="435"/>
      <c r="U18" s="435"/>
      <c r="V18" s="435"/>
      <c r="W18" s="435"/>
      <c r="X18" s="435"/>
      <c r="Y18" s="435"/>
      <c r="Z18" s="425"/>
      <c r="AA18" s="436"/>
      <c r="AB18" s="425"/>
      <c r="AC18" s="425"/>
      <c r="AD18" s="436"/>
      <c r="AE18" s="425"/>
      <c r="AF18" s="448"/>
      <c r="AG18" s="2203"/>
      <c r="AH18" s="2220"/>
      <c r="AJ18" s="2211"/>
    </row>
    <row r="19" spans="1:38" ht="18.75" customHeight="1">
      <c r="A19" s="425" t="s">
        <v>185</v>
      </c>
      <c r="B19" s="425"/>
      <c r="C19" s="437">
        <v>4.0999999999999996</v>
      </c>
      <c r="D19" s="437"/>
      <c r="E19" s="442"/>
      <c r="F19" s="451"/>
      <c r="G19" s="442"/>
      <c r="H19" s="451"/>
      <c r="I19" s="442"/>
      <c r="J19" s="451"/>
      <c r="K19" s="692"/>
      <c r="L19" s="451"/>
      <c r="M19" s="3149"/>
      <c r="N19" s="451"/>
      <c r="O19" s="442"/>
      <c r="P19" s="451"/>
      <c r="Q19" s="441"/>
      <c r="R19" s="451"/>
      <c r="S19" s="442"/>
      <c r="T19" s="451"/>
      <c r="U19" s="442"/>
      <c r="V19" s="451"/>
      <c r="W19" s="441"/>
      <c r="X19" s="451"/>
      <c r="Y19" s="441"/>
      <c r="Z19" s="437"/>
      <c r="AA19" s="438"/>
      <c r="AB19" s="3151">
        <f>ROUND(SUM(C19:Y19),1)</f>
        <v>4.0999999999999996</v>
      </c>
      <c r="AC19" s="437"/>
      <c r="AD19" s="438"/>
      <c r="AE19" s="693">
        <v>4.5999999999999996</v>
      </c>
      <c r="AF19" s="441"/>
      <c r="AG19" s="2203"/>
      <c r="AH19" s="2221">
        <f>ROUND(AB19-AE19,1)</f>
        <v>-0.5</v>
      </c>
      <c r="AI19" s="2222"/>
      <c r="AJ19" s="3377">
        <f>ROUND(IF(AE19=0,0,AH19/ABS(AE19)),3)</f>
        <v>-0.109</v>
      </c>
    </row>
    <row r="20" spans="1:38" ht="17.25" customHeight="1">
      <c r="A20" s="431" t="s">
        <v>224</v>
      </c>
      <c r="B20" s="425"/>
      <c r="C20" s="437">
        <v>1.4</v>
      </c>
      <c r="D20" s="437"/>
      <c r="E20" s="442"/>
      <c r="F20" s="451"/>
      <c r="G20" s="442"/>
      <c r="H20" s="451"/>
      <c r="I20" s="442"/>
      <c r="J20" s="451"/>
      <c r="K20" s="442"/>
      <c r="L20" s="694"/>
      <c r="M20" s="442"/>
      <c r="N20" s="451"/>
      <c r="O20" s="442"/>
      <c r="P20" s="451"/>
      <c r="Q20" s="441"/>
      <c r="R20" s="451"/>
      <c r="S20" s="442"/>
      <c r="T20" s="451"/>
      <c r="U20" s="442"/>
      <c r="V20" s="451"/>
      <c r="W20" s="441"/>
      <c r="X20" s="451"/>
      <c r="Y20" s="441"/>
      <c r="Z20" s="437"/>
      <c r="AA20" s="438"/>
      <c r="AB20" s="3151">
        <f>ROUND(SUM(C20:Y20),1)</f>
        <v>1.4</v>
      </c>
      <c r="AC20" s="437"/>
      <c r="AD20" s="438"/>
      <c r="AE20" s="693">
        <v>2.5</v>
      </c>
      <c r="AF20" s="441"/>
      <c r="AG20" s="2203"/>
      <c r="AH20" s="2221">
        <f>ROUND(AB20-AE20,1)</f>
        <v>-1.1000000000000001</v>
      </c>
      <c r="AI20" s="2222"/>
      <c r="AJ20" s="3113">
        <f>ROUND(IF(AE20=0,0,AH20/ABS(AE20)),3)</f>
        <v>-0.44</v>
      </c>
    </row>
    <row r="21" spans="1:38" ht="17.25" customHeight="1">
      <c r="A21" s="453" t="s">
        <v>225</v>
      </c>
      <c r="B21" s="425"/>
      <c r="C21" s="695">
        <v>132</v>
      </c>
      <c r="D21" s="437"/>
      <c r="E21" s="695"/>
      <c r="F21" s="451"/>
      <c r="G21" s="3150"/>
      <c r="H21" s="451"/>
      <c r="I21" s="3173"/>
      <c r="J21" s="451"/>
      <c r="K21" s="692"/>
      <c r="L21" s="451"/>
      <c r="M21" s="692"/>
      <c r="N21" s="451"/>
      <c r="O21" s="692"/>
      <c r="P21" s="451"/>
      <c r="Q21" s="692"/>
      <c r="R21" s="451"/>
      <c r="S21" s="442"/>
      <c r="T21" s="451"/>
      <c r="U21" s="692"/>
      <c r="V21" s="451"/>
      <c r="W21" s="696"/>
      <c r="X21" s="451"/>
      <c r="Y21" s="441"/>
      <c r="Z21" s="437"/>
      <c r="AA21" s="438"/>
      <c r="AB21" s="3151">
        <f>ROUND(SUM(C21:Y21),1)</f>
        <v>132</v>
      </c>
      <c r="AC21" s="437"/>
      <c r="AD21" s="438"/>
      <c r="AE21" s="693">
        <v>222.9</v>
      </c>
      <c r="AF21" s="443"/>
      <c r="AG21" s="2204"/>
      <c r="AH21" s="2223">
        <f>ROUND(AB21-AE21,1)</f>
        <v>-90.9</v>
      </c>
      <c r="AI21" s="2222"/>
      <c r="AJ21" s="3378">
        <f>ROUND(IF(AE21=0,0,AH21/ABS(AE21)),3)</f>
        <v>-0.40799999999999997</v>
      </c>
    </row>
    <row r="22" spans="1:38" ht="16.5" customHeight="1">
      <c r="A22" s="425"/>
      <c r="B22" s="425"/>
      <c r="C22" s="697"/>
      <c r="D22" s="437"/>
      <c r="E22" s="698"/>
      <c r="F22" s="451"/>
      <c r="G22" s="698"/>
      <c r="H22" s="451"/>
      <c r="I22" s="698"/>
      <c r="J22" s="451"/>
      <c r="K22" s="698"/>
      <c r="L22" s="451"/>
      <c r="M22" s="698"/>
      <c r="N22" s="451"/>
      <c r="O22" s="698"/>
      <c r="P22" s="451"/>
      <c r="Q22" s="698"/>
      <c r="R22" s="451"/>
      <c r="S22" s="698"/>
      <c r="T22" s="451"/>
      <c r="U22" s="698"/>
      <c r="V22" s="451"/>
      <c r="W22" s="446"/>
      <c r="X22" s="451"/>
      <c r="Y22" s="698"/>
      <c r="Z22" s="437"/>
      <c r="AA22" s="438"/>
      <c r="AB22" s="3152"/>
      <c r="AC22" s="437"/>
      <c r="AD22" s="438"/>
      <c r="AE22" s="697"/>
      <c r="AF22" s="692"/>
      <c r="AG22" s="2204"/>
      <c r="AH22" s="2224"/>
      <c r="AJ22" s="2211"/>
    </row>
    <row r="23" spans="1:38" ht="16.5" customHeight="1">
      <c r="A23" s="434" t="s">
        <v>156</v>
      </c>
      <c r="B23" s="425"/>
      <c r="C23" s="452">
        <f>ROUND(SUM(C19:C22),1)</f>
        <v>137.5</v>
      </c>
      <c r="D23" s="439"/>
      <c r="E23" s="452">
        <f>ROUND(SUM(E19:E22),1)</f>
        <v>0</v>
      </c>
      <c r="F23" s="452"/>
      <c r="G23" s="452">
        <f>ROUND(SUM(G19:G22),1)</f>
        <v>0</v>
      </c>
      <c r="H23" s="452"/>
      <c r="I23" s="452">
        <f>ROUND(SUM(I19:I22),1)</f>
        <v>0</v>
      </c>
      <c r="J23" s="452"/>
      <c r="K23" s="452">
        <f>ROUND(SUM(K19:K22),1)</f>
        <v>0</v>
      </c>
      <c r="L23" s="452"/>
      <c r="M23" s="452">
        <f>ROUND(SUM(M19:M22),1)</f>
        <v>0</v>
      </c>
      <c r="N23" s="452"/>
      <c r="O23" s="452">
        <f>ROUND(SUM(O19:O22),1)</f>
        <v>0</v>
      </c>
      <c r="P23" s="452"/>
      <c r="Q23" s="452">
        <f>ROUND(SUM(Q19:Q22),1)</f>
        <v>0</v>
      </c>
      <c r="R23" s="452"/>
      <c r="S23" s="452">
        <f>ROUND(SUM(S19:S22),1)</f>
        <v>0</v>
      </c>
      <c r="T23" s="452"/>
      <c r="U23" s="452">
        <f>ROUND(SUM(U19:U22),1)</f>
        <v>0</v>
      </c>
      <c r="V23" s="452"/>
      <c r="W23" s="452">
        <f>ROUND(SUM(W19:W22),1)</f>
        <v>0</v>
      </c>
      <c r="X23" s="452"/>
      <c r="Y23" s="452">
        <f>ROUND(SUM(Y19:Y22),1)</f>
        <v>0</v>
      </c>
      <c r="Z23" s="439"/>
      <c r="AA23" s="440"/>
      <c r="AB23" s="3153">
        <f>ROUND(SUM(AB19:AB22),1)</f>
        <v>137.5</v>
      </c>
      <c r="AC23" s="699"/>
      <c r="AD23" s="439"/>
      <c r="AE23" s="452">
        <f>ROUND(SUM(AE19:AE22),1)</f>
        <v>230</v>
      </c>
      <c r="AF23" s="443"/>
      <c r="AG23" s="2204"/>
      <c r="AH23" s="2225">
        <f>ROUND(SUM(AH19:AH21),1)</f>
        <v>-92.5</v>
      </c>
      <c r="AI23" s="2226"/>
      <c r="AJ23" s="2227">
        <f>ROUND(IF(AH23=0,0,AH23/ABS(AE23)),3)</f>
        <v>-0.40200000000000002</v>
      </c>
      <c r="AK23" s="691"/>
      <c r="AL23" s="691"/>
    </row>
    <row r="24" spans="1:38" ht="16.5" customHeight="1">
      <c r="A24" s="425"/>
      <c r="B24" s="425"/>
      <c r="C24" s="697"/>
      <c r="D24" s="437"/>
      <c r="E24" s="698"/>
      <c r="F24" s="451"/>
      <c r="G24" s="698"/>
      <c r="H24" s="451"/>
      <c r="I24" s="698"/>
      <c r="J24" s="451"/>
      <c r="K24" s="698"/>
      <c r="L24" s="451"/>
      <c r="M24" s="698"/>
      <c r="N24" s="451"/>
      <c r="O24" s="698"/>
      <c r="P24" s="451"/>
      <c r="Q24" s="698"/>
      <c r="R24" s="451"/>
      <c r="S24" s="698"/>
      <c r="T24" s="451"/>
      <c r="U24" s="698"/>
      <c r="V24" s="451"/>
      <c r="W24" s="698"/>
      <c r="X24" s="451"/>
      <c r="Y24" s="698"/>
      <c r="Z24" s="437"/>
      <c r="AA24" s="438"/>
      <c r="AB24" s="3152"/>
      <c r="AC24" s="437"/>
      <c r="AD24" s="438"/>
      <c r="AE24" s="697"/>
      <c r="AF24" s="1753"/>
      <c r="AG24" s="2204"/>
      <c r="AH24" s="2224"/>
      <c r="AJ24" s="2211"/>
    </row>
    <row r="25" spans="1:38" ht="16.5" customHeight="1">
      <c r="A25" s="425"/>
      <c r="B25" s="425"/>
      <c r="C25" s="437"/>
      <c r="D25" s="437"/>
      <c r="E25" s="451"/>
      <c r="F25" s="451"/>
      <c r="G25" s="451"/>
      <c r="H25" s="451"/>
      <c r="I25" s="451"/>
      <c r="J25" s="451"/>
      <c r="K25" s="451"/>
      <c r="L25" s="451"/>
      <c r="M25" s="451"/>
      <c r="N25" s="451"/>
      <c r="O25" s="451"/>
      <c r="P25" s="451"/>
      <c r="Q25" s="451"/>
      <c r="R25" s="451"/>
      <c r="S25" s="451"/>
      <c r="T25" s="451"/>
      <c r="U25" s="451"/>
      <c r="V25" s="451"/>
      <c r="W25" s="451"/>
      <c r="X25" s="451"/>
      <c r="Y25" s="451"/>
      <c r="Z25" s="437"/>
      <c r="AA25" s="438"/>
      <c r="AB25" s="3151"/>
      <c r="AC25" s="437"/>
      <c r="AD25" s="438"/>
      <c r="AE25" s="437"/>
      <c r="AF25" s="1754"/>
      <c r="AG25" s="2204"/>
      <c r="AH25" s="2224"/>
      <c r="AJ25" s="2211"/>
    </row>
    <row r="26" spans="1:38" ht="16.5" customHeight="1">
      <c r="A26" s="425"/>
      <c r="B26" s="425"/>
      <c r="C26" s="437"/>
      <c r="D26" s="437"/>
      <c r="E26" s="451"/>
      <c r="F26" s="451"/>
      <c r="G26" s="451"/>
      <c r="H26" s="451"/>
      <c r="I26" s="451"/>
      <c r="J26" s="451"/>
      <c r="K26" s="451"/>
      <c r="L26" s="451"/>
      <c r="M26" s="451"/>
      <c r="N26" s="451"/>
      <c r="O26" s="451"/>
      <c r="P26" s="451"/>
      <c r="Q26" s="451"/>
      <c r="R26" s="451"/>
      <c r="S26" s="451"/>
      <c r="T26" s="451"/>
      <c r="U26" s="451"/>
      <c r="V26" s="451"/>
      <c r="W26" s="451"/>
      <c r="X26" s="451"/>
      <c r="Y26" s="451"/>
      <c r="Z26" s="437"/>
      <c r="AA26" s="438"/>
      <c r="AB26" s="3151"/>
      <c r="AC26" s="437"/>
      <c r="AD26" s="438"/>
      <c r="AE26" s="437"/>
      <c r="AF26" s="448"/>
      <c r="AG26" s="2203"/>
      <c r="AH26" s="2224"/>
      <c r="AJ26" s="2228"/>
    </row>
    <row r="27" spans="1:38" ht="16.5" customHeight="1">
      <c r="A27" s="434" t="s">
        <v>24</v>
      </c>
      <c r="B27" s="425"/>
      <c r="C27" s="437"/>
      <c r="D27" s="437"/>
      <c r="E27" s="451"/>
      <c r="F27" s="451"/>
      <c r="G27" s="451"/>
      <c r="H27" s="451"/>
      <c r="I27" s="451"/>
      <c r="J27" s="451"/>
      <c r="K27" s="451"/>
      <c r="L27" s="451"/>
      <c r="M27" s="451"/>
      <c r="N27" s="451"/>
      <c r="O27" s="451"/>
      <c r="P27" s="451"/>
      <c r="Q27" s="451"/>
      <c r="R27" s="451"/>
      <c r="S27" s="451"/>
      <c r="T27" s="451"/>
      <c r="U27" s="451"/>
      <c r="V27" s="451"/>
      <c r="W27" s="451"/>
      <c r="X27" s="451"/>
      <c r="Y27" s="451"/>
      <c r="Z27" s="437"/>
      <c r="AA27" s="438"/>
      <c r="AB27" s="3151"/>
      <c r="AC27" s="437"/>
      <c r="AD27" s="438"/>
      <c r="AE27" s="437"/>
      <c r="AF27" s="441"/>
      <c r="AG27" s="2203"/>
      <c r="AH27" s="2224"/>
      <c r="AI27" s="2229"/>
      <c r="AJ27" s="2228"/>
    </row>
    <row r="28" spans="1:38" ht="16.5" customHeight="1">
      <c r="A28" s="425" t="s">
        <v>158</v>
      </c>
      <c r="B28" s="425"/>
      <c r="C28" s="437"/>
      <c r="D28" s="437"/>
      <c r="E28" s="451"/>
      <c r="F28" s="451"/>
      <c r="G28" s="451"/>
      <c r="H28" s="451"/>
      <c r="I28" s="451"/>
      <c r="J28" s="451"/>
      <c r="K28" s="451"/>
      <c r="L28" s="451"/>
      <c r="M28" s="451"/>
      <c r="N28" s="451"/>
      <c r="O28" s="451"/>
      <c r="P28" s="451"/>
      <c r="Q28" s="451"/>
      <c r="R28" s="451"/>
      <c r="S28" s="451"/>
      <c r="T28" s="451"/>
      <c r="U28" s="451"/>
      <c r="V28" s="451"/>
      <c r="W28" s="451"/>
      <c r="X28" s="451"/>
      <c r="Y28" s="451"/>
      <c r="Z28" s="437"/>
      <c r="AA28" s="438"/>
      <c r="AB28" s="3151"/>
      <c r="AC28" s="437"/>
      <c r="AD28" s="438"/>
      <c r="AE28" s="437"/>
      <c r="AF28" s="1743"/>
      <c r="AG28" s="2204"/>
      <c r="AH28" s="2224"/>
      <c r="AJ28" s="2228"/>
    </row>
    <row r="29" spans="1:38" ht="16.5" customHeight="1">
      <c r="A29" s="425" t="s">
        <v>226</v>
      </c>
      <c r="B29" s="425"/>
      <c r="C29" s="437">
        <v>0.4</v>
      </c>
      <c r="D29" s="437"/>
      <c r="E29" s="442"/>
      <c r="F29" s="451"/>
      <c r="G29" s="3149"/>
      <c r="H29" s="451"/>
      <c r="I29" s="442"/>
      <c r="J29" s="451"/>
      <c r="K29" s="442"/>
      <c r="L29" s="451"/>
      <c r="M29" s="442"/>
      <c r="N29" s="451"/>
      <c r="O29" s="442"/>
      <c r="P29" s="451"/>
      <c r="Q29" s="441"/>
      <c r="R29" s="451"/>
      <c r="S29" s="442"/>
      <c r="T29" s="451"/>
      <c r="U29" s="442"/>
      <c r="V29" s="451"/>
      <c r="W29" s="442"/>
      <c r="X29" s="451"/>
      <c r="Y29" s="441"/>
      <c r="Z29" s="437"/>
      <c r="AA29" s="438"/>
      <c r="AB29" s="3151">
        <f>ROUND(SUM(C29:Y29),1)</f>
        <v>0.4</v>
      </c>
      <c r="AC29" s="437"/>
      <c r="AD29" s="438"/>
      <c r="AE29" s="437">
        <v>0.4</v>
      </c>
      <c r="AF29" s="448"/>
      <c r="AG29" s="2205"/>
      <c r="AH29" s="2224">
        <f>ROUND(SUM(AB29-AE29),1)</f>
        <v>0</v>
      </c>
      <c r="AJ29" s="2230">
        <f>ROUND(IF(AH29=0,0,AH29/ABS(AE29)),3)</f>
        <v>0</v>
      </c>
    </row>
    <row r="30" spans="1:38" ht="16.5" customHeight="1">
      <c r="A30" s="425" t="s">
        <v>186</v>
      </c>
      <c r="B30" s="425"/>
      <c r="C30" s="437">
        <v>2.4</v>
      </c>
      <c r="D30" s="437"/>
      <c r="E30" s="442"/>
      <c r="F30" s="451"/>
      <c r="G30" s="442"/>
      <c r="H30" s="451"/>
      <c r="I30" s="3149"/>
      <c r="J30" s="451"/>
      <c r="K30" s="442"/>
      <c r="L30" s="451"/>
      <c r="M30" s="442"/>
      <c r="N30" s="451"/>
      <c r="O30" s="442"/>
      <c r="P30" s="451"/>
      <c r="Q30" s="441"/>
      <c r="R30" s="451"/>
      <c r="S30" s="442"/>
      <c r="T30" s="451"/>
      <c r="U30" s="442"/>
      <c r="V30" s="451"/>
      <c r="W30" s="441"/>
      <c r="X30" s="451"/>
      <c r="Y30" s="441"/>
      <c r="Z30" s="437"/>
      <c r="AA30" s="438"/>
      <c r="AB30" s="3151">
        <f>ROUND(SUM(C30:Y30),1)</f>
        <v>2.4</v>
      </c>
      <c r="AC30" s="437"/>
      <c r="AD30" s="438"/>
      <c r="AE30" s="437">
        <v>2.5</v>
      </c>
      <c r="AF30" s="441"/>
      <c r="AG30" s="2205"/>
      <c r="AH30" s="2224">
        <f>ROUND(SUM(AB30-AE30),1)</f>
        <v>-0.1</v>
      </c>
      <c r="AJ30" s="2230">
        <f>ROUND(IF(AH30=0,0,AH30/ABS(AE30)),3)</f>
        <v>-0.04</v>
      </c>
    </row>
    <row r="31" spans="1:38" ht="16.5" customHeight="1">
      <c r="A31" s="425" t="s">
        <v>161</v>
      </c>
      <c r="B31" s="425"/>
      <c r="C31" s="443">
        <v>0.2</v>
      </c>
      <c r="D31" s="437"/>
      <c r="E31" s="443"/>
      <c r="F31" s="451"/>
      <c r="G31" s="442"/>
      <c r="H31" s="451"/>
      <c r="I31" s="443"/>
      <c r="J31" s="451"/>
      <c r="K31" s="443"/>
      <c r="L31" s="451"/>
      <c r="M31" s="441"/>
      <c r="N31" s="451"/>
      <c r="O31" s="441"/>
      <c r="P31" s="451"/>
      <c r="Q31" s="441"/>
      <c r="R31" s="451"/>
      <c r="S31" s="442"/>
      <c r="T31" s="451"/>
      <c r="U31" s="441"/>
      <c r="V31" s="451"/>
      <c r="W31" s="441"/>
      <c r="X31" s="451"/>
      <c r="Y31" s="443"/>
      <c r="Z31" s="437"/>
      <c r="AA31" s="438"/>
      <c r="AB31" s="3151">
        <f>ROUND(SUM(C31:Y31),1)</f>
        <v>0.2</v>
      </c>
      <c r="AC31" s="437"/>
      <c r="AD31" s="438"/>
      <c r="AE31" s="437">
        <v>0</v>
      </c>
      <c r="AF31" s="443"/>
      <c r="AG31" s="2206"/>
      <c r="AH31" s="2224">
        <f>ROUND(SUM(AB31-AE31),1)</f>
        <v>0.2</v>
      </c>
      <c r="AJ31" s="3154">
        <f>ROUND(IF(AE31=0,1,AH31/ABS(AE31)),3)</f>
        <v>1</v>
      </c>
    </row>
    <row r="32" spans="1:38" ht="16.5" customHeight="1">
      <c r="A32" s="453" t="s">
        <v>227</v>
      </c>
      <c r="B32" s="425"/>
      <c r="C32" s="3151">
        <v>177.6</v>
      </c>
      <c r="D32" s="437"/>
      <c r="E32" s="442"/>
      <c r="F32" s="451"/>
      <c r="G32" s="442"/>
      <c r="H32" s="451"/>
      <c r="I32" s="442"/>
      <c r="J32" s="451"/>
      <c r="K32" s="442"/>
      <c r="L32" s="451"/>
      <c r="M32" s="442"/>
      <c r="N32" s="451"/>
      <c r="O32" s="442"/>
      <c r="P32" s="451"/>
      <c r="Q32" s="441"/>
      <c r="R32" s="451"/>
      <c r="S32" s="442"/>
      <c r="T32" s="451"/>
      <c r="U32" s="442"/>
      <c r="V32" s="451"/>
      <c r="W32" s="447"/>
      <c r="X32" s="451"/>
      <c r="Y32" s="441"/>
      <c r="Z32" s="437"/>
      <c r="AA32" s="438"/>
      <c r="AB32" s="3151">
        <f>ROUND(SUM(C32:Y32),1)</f>
        <v>177.6</v>
      </c>
      <c r="AC32" s="437"/>
      <c r="AD32" s="438"/>
      <c r="AE32" s="693">
        <v>200.6</v>
      </c>
      <c r="AF32" s="443"/>
      <c r="AG32" s="2205"/>
      <c r="AH32" s="2231">
        <f>ROUND(SUM(AB32-AE32),1)</f>
        <v>-23</v>
      </c>
      <c r="AJ32" s="2232">
        <f>ROUND(IF(AH32=0,0,AH32/ABS(AE32)),3)</f>
        <v>-0.115</v>
      </c>
    </row>
    <row r="33" spans="1:37" ht="16.5" customHeight="1">
      <c r="A33" s="425"/>
      <c r="B33" s="425"/>
      <c r="C33" s="697"/>
      <c r="D33" s="437"/>
      <c r="E33" s="698"/>
      <c r="F33" s="451"/>
      <c r="G33" s="698"/>
      <c r="H33" s="451"/>
      <c r="I33" s="698"/>
      <c r="J33" s="451"/>
      <c r="K33" s="698"/>
      <c r="L33" s="451"/>
      <c r="M33" s="700"/>
      <c r="N33" s="451"/>
      <c r="O33" s="698"/>
      <c r="P33" s="451"/>
      <c r="Q33" s="698"/>
      <c r="R33" s="451"/>
      <c r="S33" s="698"/>
      <c r="T33" s="451"/>
      <c r="U33" s="698"/>
      <c r="V33" s="451"/>
      <c r="W33" s="446"/>
      <c r="X33" s="451"/>
      <c r="Y33" s="698"/>
      <c r="Z33" s="437"/>
      <c r="AA33" s="438"/>
      <c r="AB33" s="3152"/>
      <c r="AC33" s="437"/>
      <c r="AD33" s="438"/>
      <c r="AE33" s="697"/>
      <c r="AF33" s="1759"/>
      <c r="AG33" s="2206"/>
      <c r="AH33" s="2224"/>
      <c r="AI33" s="2233"/>
      <c r="AJ33" s="2228"/>
    </row>
    <row r="34" spans="1:37" ht="16.5" customHeight="1">
      <c r="A34" s="434" t="s">
        <v>162</v>
      </c>
      <c r="B34" s="425"/>
      <c r="C34" s="452">
        <f>ROUND(SUM(C29:C33),1)</f>
        <v>180.6</v>
      </c>
      <c r="D34" s="439"/>
      <c r="E34" s="452">
        <f>ROUND(SUM(E29:E33),1)</f>
        <v>0</v>
      </c>
      <c r="F34" s="452"/>
      <c r="G34" s="452">
        <f>ROUND(SUM(G29:G33),1)</f>
        <v>0</v>
      </c>
      <c r="H34" s="452"/>
      <c r="I34" s="452">
        <f>ROUND(SUM(I29:I33),1)</f>
        <v>0</v>
      </c>
      <c r="J34" s="452"/>
      <c r="K34" s="1796">
        <f>ROUND(SUM(K29:K33),1)</f>
        <v>0</v>
      </c>
      <c r="L34" s="701"/>
      <c r="M34" s="452">
        <f>ROUND(SUM(M29:M33),1)</f>
        <v>0</v>
      </c>
      <c r="N34" s="452"/>
      <c r="O34" s="452">
        <f>ROUND(SUM(O29:O33),1)</f>
        <v>0</v>
      </c>
      <c r="P34" s="452"/>
      <c r="Q34" s="452">
        <f>ROUND(SUM(Q29:Q33),1)</f>
        <v>0</v>
      </c>
      <c r="R34" s="452"/>
      <c r="S34" s="452">
        <f>ROUND(SUM(S29:S33),1)</f>
        <v>0</v>
      </c>
      <c r="T34" s="452"/>
      <c r="U34" s="452">
        <f>ROUND(SUM(U29:U33),1)</f>
        <v>0</v>
      </c>
      <c r="V34" s="452"/>
      <c r="W34" s="452">
        <f>ROUND(SUM(W29:W33),1)</f>
        <v>0</v>
      </c>
      <c r="X34" s="452"/>
      <c r="Y34" s="452">
        <f>ROUND(SUM(Y29:Y33),1)</f>
        <v>0</v>
      </c>
      <c r="Z34" s="439"/>
      <c r="AA34" s="440"/>
      <c r="AB34" s="3153">
        <f>ROUND(SUM(AB29:AB33),1)</f>
        <v>180.6</v>
      </c>
      <c r="AC34" s="699"/>
      <c r="AD34" s="439"/>
      <c r="AE34" s="452">
        <f>ROUND(SUM(AE29:AE33),1)</f>
        <v>203.5</v>
      </c>
      <c r="AF34" s="448"/>
      <c r="AG34" s="2203"/>
      <c r="AH34" s="2225">
        <f>ROUND(SUM(AH29:AH32),1)</f>
        <v>-22.9</v>
      </c>
      <c r="AI34" s="2226"/>
      <c r="AJ34" s="2227">
        <f>ROUND(IF(AH34=0,0,AH34/ABS(AE34)),3)</f>
        <v>-0.113</v>
      </c>
      <c r="AK34" s="691"/>
    </row>
    <row r="35" spans="1:37" ht="16.5" customHeight="1">
      <c r="A35" s="425"/>
      <c r="B35" s="425"/>
      <c r="C35" s="697"/>
      <c r="D35" s="437"/>
      <c r="E35" s="698"/>
      <c r="F35" s="451"/>
      <c r="G35" s="698"/>
      <c r="H35" s="451"/>
      <c r="I35" s="698"/>
      <c r="J35" s="451"/>
      <c r="K35" s="446"/>
      <c r="L35" s="451"/>
      <c r="M35" s="698"/>
      <c r="N35" s="451"/>
      <c r="O35" s="698"/>
      <c r="P35" s="451"/>
      <c r="Q35" s="698"/>
      <c r="R35" s="451"/>
      <c r="S35" s="698"/>
      <c r="T35" s="451"/>
      <c r="U35" s="698"/>
      <c r="V35" s="451"/>
      <c r="W35" s="698"/>
      <c r="X35" s="451"/>
      <c r="Y35" s="698"/>
      <c r="Z35" s="437"/>
      <c r="AA35" s="438"/>
      <c r="AB35" s="697"/>
      <c r="AC35" s="445"/>
      <c r="AD35" s="438"/>
      <c r="AE35" s="697"/>
      <c r="AF35" s="441"/>
      <c r="AG35" s="2203"/>
      <c r="AH35" s="2224"/>
      <c r="AJ35" s="2211"/>
    </row>
    <row r="36" spans="1:37" ht="16.5" customHeight="1">
      <c r="A36" s="425"/>
      <c r="B36" s="425"/>
      <c r="C36" s="437"/>
      <c r="D36" s="437"/>
      <c r="E36" s="451"/>
      <c r="F36" s="451"/>
      <c r="G36" s="451"/>
      <c r="H36" s="451"/>
      <c r="I36" s="451"/>
      <c r="J36" s="451"/>
      <c r="K36" s="451"/>
      <c r="L36" s="451"/>
      <c r="M36" s="451"/>
      <c r="N36" s="451"/>
      <c r="O36" s="451"/>
      <c r="P36" s="451"/>
      <c r="Q36" s="451"/>
      <c r="R36" s="451"/>
      <c r="S36" s="451"/>
      <c r="T36" s="451"/>
      <c r="U36" s="451"/>
      <c r="V36" s="451"/>
      <c r="W36" s="451"/>
      <c r="X36" s="451"/>
      <c r="Y36" s="451"/>
      <c r="Z36" s="437"/>
      <c r="AA36" s="438"/>
      <c r="AB36" s="437"/>
      <c r="AC36" s="445"/>
      <c r="AD36" s="438"/>
      <c r="AE36" s="437"/>
      <c r="AF36" s="733"/>
      <c r="AG36" s="2207"/>
      <c r="AH36" s="2224"/>
      <c r="AI36" s="2229"/>
      <c r="AJ36" s="2228"/>
    </row>
    <row r="37" spans="1:37" ht="16.5" customHeight="1">
      <c r="A37" s="425"/>
      <c r="B37" s="425"/>
      <c r="C37" s="437"/>
      <c r="D37" s="437"/>
      <c r="E37" s="451"/>
      <c r="F37" s="451"/>
      <c r="G37" s="451"/>
      <c r="H37" s="451"/>
      <c r="I37" s="451"/>
      <c r="J37" s="451"/>
      <c r="K37" s="451"/>
      <c r="L37" s="451"/>
      <c r="M37" s="451"/>
      <c r="N37" s="451"/>
      <c r="O37" s="451"/>
      <c r="P37" s="451"/>
      <c r="Q37" s="451"/>
      <c r="R37" s="451"/>
      <c r="S37" s="451"/>
      <c r="T37" s="451"/>
      <c r="U37" s="451"/>
      <c r="V37" s="451"/>
      <c r="W37" s="451"/>
      <c r="X37" s="451"/>
      <c r="Y37" s="451"/>
      <c r="Z37" s="437"/>
      <c r="AA37" s="438"/>
      <c r="AB37" s="437"/>
      <c r="AC37" s="445"/>
      <c r="AD37" s="438"/>
      <c r="AE37" s="437"/>
      <c r="AF37" s="1743"/>
      <c r="AG37" s="2208"/>
      <c r="AH37" s="2224"/>
      <c r="AI37" s="2229"/>
      <c r="AJ37" s="2228"/>
    </row>
    <row r="38" spans="1:37" ht="16.5" customHeight="1">
      <c r="A38" s="434" t="s">
        <v>163</v>
      </c>
      <c r="B38" s="425"/>
      <c r="C38" s="437"/>
      <c r="D38" s="437"/>
      <c r="E38" s="451"/>
      <c r="F38" s="451"/>
      <c r="G38" s="451"/>
      <c r="H38" s="451"/>
      <c r="I38" s="451"/>
      <c r="J38" s="451"/>
      <c r="K38" s="451"/>
      <c r="L38" s="451"/>
      <c r="M38" s="451"/>
      <c r="N38" s="451"/>
      <c r="O38" s="451"/>
      <c r="P38" s="451"/>
      <c r="Q38" s="451"/>
      <c r="R38" s="451"/>
      <c r="S38" s="451"/>
      <c r="T38" s="451"/>
      <c r="U38" s="451"/>
      <c r="V38" s="451"/>
      <c r="W38" s="451"/>
      <c r="X38" s="451"/>
      <c r="Y38" s="451"/>
      <c r="Z38" s="437"/>
      <c r="AA38" s="438"/>
      <c r="AB38" s="437"/>
      <c r="AC38" s="445"/>
      <c r="AD38" s="438"/>
      <c r="AE38" s="437"/>
      <c r="AF38" s="718"/>
      <c r="AG38" s="2209"/>
      <c r="AH38" s="2224"/>
      <c r="AI38" s="2229"/>
      <c r="AJ38" s="2228"/>
    </row>
    <row r="39" spans="1:37" ht="16.5" customHeight="1">
      <c r="A39" s="434" t="s">
        <v>46</v>
      </c>
      <c r="B39" s="425"/>
      <c r="C39" s="452">
        <f>ROUND(C23-C34,1)</f>
        <v>-43.1</v>
      </c>
      <c r="D39" s="439"/>
      <c r="E39" s="452">
        <f>ROUND(E23-E34,1)</f>
        <v>0</v>
      </c>
      <c r="F39" s="452"/>
      <c r="G39" s="452">
        <f>ROUND(G23-G34,1)</f>
        <v>0</v>
      </c>
      <c r="H39" s="452"/>
      <c r="I39" s="452">
        <f>ROUND(I23-I34,1)</f>
        <v>0</v>
      </c>
      <c r="J39" s="452"/>
      <c r="K39" s="452">
        <f>ROUND(K23-K34,1)</f>
        <v>0</v>
      </c>
      <c r="L39" s="452"/>
      <c r="M39" s="452">
        <f>ROUND(M23-M34,1)</f>
        <v>0</v>
      </c>
      <c r="N39" s="452"/>
      <c r="O39" s="452">
        <f>ROUND(O23-O34,1)</f>
        <v>0</v>
      </c>
      <c r="P39" s="452"/>
      <c r="Q39" s="452">
        <f>ROUND(Q23-Q34,1)</f>
        <v>0</v>
      </c>
      <c r="R39" s="452"/>
      <c r="S39" s="452">
        <f>ROUND(S23-S34,1)</f>
        <v>0</v>
      </c>
      <c r="T39" s="452"/>
      <c r="U39" s="452">
        <f>ROUND(U23-U34,1)</f>
        <v>0</v>
      </c>
      <c r="V39" s="452"/>
      <c r="W39" s="452">
        <f>ROUND(W23-W34,1)</f>
        <v>0</v>
      </c>
      <c r="X39" s="452"/>
      <c r="Y39" s="452">
        <f>ROUND(Y23-Y34,1)</f>
        <v>0</v>
      </c>
      <c r="Z39" s="439"/>
      <c r="AA39" s="440"/>
      <c r="AB39" s="452">
        <f>ROUND(AB23-AB34,1)</f>
        <v>-43.1</v>
      </c>
      <c r="AC39" s="699"/>
      <c r="AD39" s="439"/>
      <c r="AE39" s="452">
        <f>ROUND(AE23-AE34,1)</f>
        <v>26.5</v>
      </c>
      <c r="AF39" s="1750"/>
      <c r="AG39" s="2207"/>
      <c r="AH39" s="2225">
        <f>ROUND(SUM(AH23-AH34),1)</f>
        <v>-69.599999999999994</v>
      </c>
      <c r="AI39" s="2226"/>
      <c r="AJ39" s="2227">
        <f>ROUND(IF(AH39=0,0,AH39/ABS(AE39)),3)</f>
        <v>-2.6259999999999999</v>
      </c>
    </row>
    <row r="40" spans="1:37" ht="16.5" customHeight="1">
      <c r="A40" s="425"/>
      <c r="B40" s="425"/>
      <c r="C40" s="697"/>
      <c r="D40" s="437"/>
      <c r="E40" s="698"/>
      <c r="F40" s="451"/>
      <c r="G40" s="698"/>
      <c r="H40" s="451"/>
      <c r="I40" s="698"/>
      <c r="J40" s="451"/>
      <c r="K40" s="698"/>
      <c r="L40" s="451"/>
      <c r="M40" s="698"/>
      <c r="N40" s="451"/>
      <c r="O40" s="698"/>
      <c r="P40" s="451"/>
      <c r="Q40" s="698"/>
      <c r="R40" s="451"/>
      <c r="S40" s="698"/>
      <c r="T40" s="451"/>
      <c r="U40" s="698"/>
      <c r="V40" s="451"/>
      <c r="W40" s="698"/>
      <c r="X40" s="451"/>
      <c r="Y40" s="698"/>
      <c r="Z40" s="437"/>
      <c r="AA40" s="438"/>
      <c r="AB40" s="697"/>
      <c r="AC40" s="445"/>
      <c r="AD40" s="438"/>
      <c r="AE40" s="697"/>
      <c r="AF40" s="253"/>
      <c r="AG40" s="2207"/>
      <c r="AH40" s="2224"/>
      <c r="AJ40" s="2211"/>
    </row>
    <row r="41" spans="1:37" ht="16.5" customHeight="1">
      <c r="A41" s="425"/>
      <c r="B41" s="425"/>
      <c r="C41" s="437"/>
      <c r="D41" s="437"/>
      <c r="E41" s="451"/>
      <c r="F41" s="451"/>
      <c r="G41" s="451"/>
      <c r="H41" s="451"/>
      <c r="I41" s="451"/>
      <c r="J41" s="451"/>
      <c r="K41" s="451"/>
      <c r="L41" s="451"/>
      <c r="M41" s="451"/>
      <c r="N41" s="451"/>
      <c r="O41" s="451"/>
      <c r="P41" s="451"/>
      <c r="Q41" s="451"/>
      <c r="R41" s="451"/>
      <c r="S41" s="451"/>
      <c r="T41" s="451"/>
      <c r="U41" s="451"/>
      <c r="V41" s="451"/>
      <c r="W41" s="451"/>
      <c r="X41" s="451"/>
      <c r="Y41" s="451"/>
      <c r="Z41" s="437"/>
      <c r="AA41" s="438"/>
      <c r="AB41" s="437"/>
      <c r="AC41" s="437"/>
      <c r="AD41" s="438"/>
      <c r="AE41" s="437"/>
      <c r="AF41" s="367"/>
      <c r="AG41" s="2207"/>
      <c r="AH41" s="2224"/>
      <c r="AJ41" s="2211"/>
    </row>
    <row r="42" spans="1:37" ht="16.5" customHeight="1">
      <c r="A42" s="425"/>
      <c r="B42" s="425"/>
      <c r="C42" s="437"/>
      <c r="D42" s="437"/>
      <c r="E42" s="451"/>
      <c r="F42" s="451"/>
      <c r="G42" s="451"/>
      <c r="H42" s="451"/>
      <c r="I42" s="451"/>
      <c r="J42" s="451"/>
      <c r="K42" s="451"/>
      <c r="L42" s="451"/>
      <c r="M42" s="451"/>
      <c r="N42" s="451"/>
      <c r="O42" s="451"/>
      <c r="P42" s="451"/>
      <c r="Q42" s="451"/>
      <c r="R42" s="451"/>
      <c r="S42" s="451"/>
      <c r="T42" s="451"/>
      <c r="U42" s="451"/>
      <c r="V42" s="451"/>
      <c r="W42" s="451"/>
      <c r="X42" s="451"/>
      <c r="Y42" s="451"/>
      <c r="Z42" s="437"/>
      <c r="AA42" s="438"/>
      <c r="AB42" s="437"/>
      <c r="AC42" s="437"/>
      <c r="AD42" s="438"/>
      <c r="AE42" s="437"/>
      <c r="AG42" s="2204"/>
      <c r="AH42" s="2224"/>
      <c r="AJ42" s="2228"/>
    </row>
    <row r="43" spans="1:37" ht="16.5" customHeight="1">
      <c r="A43" s="434" t="s">
        <v>47</v>
      </c>
      <c r="B43" s="425"/>
      <c r="C43" s="437"/>
      <c r="D43" s="437"/>
      <c r="E43" s="451"/>
      <c r="F43" s="451"/>
      <c r="G43" s="451"/>
      <c r="H43" s="451"/>
      <c r="I43" s="451"/>
      <c r="J43" s="451"/>
      <c r="K43" s="702"/>
      <c r="L43" s="451"/>
      <c r="M43" s="451"/>
      <c r="N43" s="451"/>
      <c r="O43" s="451"/>
      <c r="P43" s="451"/>
      <c r="Q43" s="451"/>
      <c r="R43" s="451"/>
      <c r="S43" s="451"/>
      <c r="T43" s="451"/>
      <c r="U43" s="451"/>
      <c r="V43" s="451"/>
      <c r="W43" s="451"/>
      <c r="X43" s="451"/>
      <c r="Y43" s="451"/>
      <c r="Z43" s="437"/>
      <c r="AA43" s="438"/>
      <c r="AB43" s="437"/>
      <c r="AC43" s="437"/>
      <c r="AD43" s="438"/>
      <c r="AE43" s="437"/>
      <c r="AF43" s="367"/>
      <c r="AG43" s="2207"/>
      <c r="AH43" s="2234"/>
      <c r="AI43" s="2235"/>
      <c r="AJ43" s="2228"/>
    </row>
    <row r="44" spans="1:37" ht="16.5" customHeight="1">
      <c r="A44" s="425" t="s">
        <v>188</v>
      </c>
      <c r="B44" s="425"/>
      <c r="C44" s="449">
        <v>0</v>
      </c>
      <c r="D44" s="437"/>
      <c r="E44" s="449"/>
      <c r="F44" s="451"/>
      <c r="G44" s="449"/>
      <c r="H44" s="442"/>
      <c r="I44" s="449"/>
      <c r="J44" s="451"/>
      <c r="K44" s="449"/>
      <c r="L44" s="451"/>
      <c r="M44" s="449"/>
      <c r="N44" s="451"/>
      <c r="O44" s="449"/>
      <c r="P44" s="451"/>
      <c r="Q44" s="449"/>
      <c r="R44" s="451"/>
      <c r="S44" s="449"/>
      <c r="T44" s="451"/>
      <c r="U44" s="449"/>
      <c r="V44" s="451"/>
      <c r="W44" s="449"/>
      <c r="X44" s="451"/>
      <c r="Y44" s="449"/>
      <c r="Z44" s="437"/>
      <c r="AA44" s="438"/>
      <c r="AB44" s="437">
        <f>ROUND(SUM(C44:Y44),1)</f>
        <v>0</v>
      </c>
      <c r="AC44" s="437"/>
      <c r="AD44" s="438"/>
      <c r="AE44" s="450">
        <v>0</v>
      </c>
      <c r="AF44" s="367"/>
      <c r="AG44" s="2207"/>
      <c r="AH44" s="2224">
        <f>ROUND(SUM(AB44-AE44),1)</f>
        <v>0</v>
      </c>
      <c r="AJ44" s="2696">
        <f>ROUND(IF(AH44=0,0,AH44/ABS(AE44)),3)</f>
        <v>0</v>
      </c>
    </row>
    <row r="45" spans="1:37" ht="16.5" customHeight="1">
      <c r="A45" s="425" t="s">
        <v>189</v>
      </c>
      <c r="B45" s="425"/>
      <c r="C45" s="449">
        <v>0</v>
      </c>
      <c r="D45" s="437"/>
      <c r="E45" s="449"/>
      <c r="F45" s="451"/>
      <c r="G45" s="449"/>
      <c r="H45" s="442"/>
      <c r="I45" s="449"/>
      <c r="J45" s="451"/>
      <c r="K45" s="449"/>
      <c r="L45" s="451"/>
      <c r="M45" s="449"/>
      <c r="N45" s="451"/>
      <c r="O45" s="449"/>
      <c r="P45" s="451"/>
      <c r="Q45" s="449"/>
      <c r="R45" s="451"/>
      <c r="S45" s="449"/>
      <c r="T45" s="451"/>
      <c r="U45" s="449"/>
      <c r="V45" s="451"/>
      <c r="W45" s="449"/>
      <c r="X45" s="451"/>
      <c r="Y45" s="449"/>
      <c r="Z45" s="437"/>
      <c r="AA45" s="438"/>
      <c r="AB45" s="437">
        <f>ROUND(SUM(C45:Y45),1)</f>
        <v>0</v>
      </c>
      <c r="AC45" s="437"/>
      <c r="AD45" s="438"/>
      <c r="AE45" s="450">
        <v>0</v>
      </c>
      <c r="AF45" s="367"/>
      <c r="AG45" s="2207"/>
      <c r="AH45" s="2698">
        <f>-ROUND(SUM(AB45-AE45),1)</f>
        <v>0</v>
      </c>
      <c r="AJ45" s="2973">
        <f>ROUND(IF(AH45=0,0,AH45/ABS(AE45)),3)</f>
        <v>0</v>
      </c>
    </row>
    <row r="46" spans="1:37" ht="16.5" customHeight="1">
      <c r="A46" s="425"/>
      <c r="B46" s="425"/>
      <c r="C46" s="697"/>
      <c r="D46" s="437"/>
      <c r="E46" s="697"/>
      <c r="F46" s="451"/>
      <c r="G46" s="697"/>
      <c r="H46" s="451"/>
      <c r="I46" s="697"/>
      <c r="J46" s="451"/>
      <c r="K46" s="697"/>
      <c r="L46" s="451"/>
      <c r="M46" s="697"/>
      <c r="N46" s="451"/>
      <c r="O46" s="697"/>
      <c r="P46" s="451"/>
      <c r="Q46" s="697"/>
      <c r="R46" s="451"/>
      <c r="S46" s="697"/>
      <c r="T46" s="451"/>
      <c r="U46" s="698"/>
      <c r="V46" s="451"/>
      <c r="W46" s="698"/>
      <c r="X46" s="451"/>
      <c r="Y46" s="698"/>
      <c r="Z46" s="437"/>
      <c r="AA46" s="438"/>
      <c r="AB46" s="697"/>
      <c r="AC46" s="437"/>
      <c r="AD46" s="438"/>
      <c r="AE46" s="697"/>
      <c r="AF46" s="367"/>
      <c r="AG46" s="2207"/>
      <c r="AH46" s="2220"/>
      <c r="AJ46" s="2780"/>
    </row>
    <row r="47" spans="1:37" ht="16.5" customHeight="1">
      <c r="A47" s="434" t="s">
        <v>215</v>
      </c>
      <c r="B47" s="425"/>
      <c r="C47" s="703">
        <f>ROUND(SUM(C44:C46),1)</f>
        <v>0</v>
      </c>
      <c r="D47" s="439"/>
      <c r="E47" s="703">
        <f>ROUND(SUM(E44:E46),1)</f>
        <v>0</v>
      </c>
      <c r="F47" s="452"/>
      <c r="G47" s="703">
        <f>ROUND(SUM(G44:G46),1)</f>
        <v>0</v>
      </c>
      <c r="H47" s="452"/>
      <c r="I47" s="703">
        <f>ROUND(SUM(I44:I46),1)</f>
        <v>0</v>
      </c>
      <c r="J47" s="452"/>
      <c r="K47" s="703">
        <f>ROUND(SUM(K44:K46),1)</f>
        <v>0</v>
      </c>
      <c r="L47" s="452"/>
      <c r="M47" s="703">
        <f>ROUND(SUM(M44:M46),1)</f>
        <v>0</v>
      </c>
      <c r="N47" s="452"/>
      <c r="O47" s="703">
        <f>ROUND(SUM(O44:O46),1)</f>
        <v>0</v>
      </c>
      <c r="P47" s="452"/>
      <c r="Q47" s="703">
        <f>ROUND(SUM(Q44:Q46),1)</f>
        <v>0</v>
      </c>
      <c r="R47" s="452"/>
      <c r="S47" s="703">
        <f>ROUND(SUM(S44:S46),1)</f>
        <v>0</v>
      </c>
      <c r="T47" s="452"/>
      <c r="U47" s="703">
        <f>ROUND(SUM(U44:U46),1)</f>
        <v>0</v>
      </c>
      <c r="V47" s="452"/>
      <c r="W47" s="703">
        <f>ROUND(SUM(W44:W46),1)</f>
        <v>0</v>
      </c>
      <c r="X47" s="452"/>
      <c r="Y47" s="703">
        <f>ROUND(SUM(Y44:Y46),1)</f>
        <v>0</v>
      </c>
      <c r="Z47" s="439"/>
      <c r="AA47" s="440"/>
      <c r="AB47" s="2697">
        <f>ROUND(SUM(AB44+AB45),1)</f>
        <v>0</v>
      </c>
      <c r="AC47" s="699"/>
      <c r="AD47" s="439"/>
      <c r="AE47" s="2697">
        <f>ROUND(SUM(AE44+AE45),1)</f>
        <v>0</v>
      </c>
      <c r="AF47" s="223"/>
      <c r="AG47" s="2204"/>
      <c r="AH47" s="2225">
        <f>ROUND(SUM(AH44:AH45),1)</f>
        <v>0</v>
      </c>
      <c r="AI47" s="2236"/>
      <c r="AJ47" s="2227">
        <f>ROUND(IF(AH47=0,0,AH47/ABS(AE47)),3)</f>
        <v>0</v>
      </c>
    </row>
    <row r="48" spans="1:37" ht="16.5" customHeight="1">
      <c r="A48" s="425"/>
      <c r="B48" s="425"/>
      <c r="C48" s="697"/>
      <c r="D48" s="437"/>
      <c r="E48" s="698"/>
      <c r="F48" s="451"/>
      <c r="G48" s="698"/>
      <c r="H48" s="451"/>
      <c r="I48" s="698"/>
      <c r="J48" s="451"/>
      <c r="K48" s="698"/>
      <c r="L48" s="451"/>
      <c r="M48" s="698"/>
      <c r="N48" s="451"/>
      <c r="O48" s="698"/>
      <c r="P48" s="451"/>
      <c r="Q48" s="698"/>
      <c r="R48" s="451"/>
      <c r="S48" s="698"/>
      <c r="T48" s="451"/>
      <c r="U48" s="698"/>
      <c r="V48" s="451"/>
      <c r="W48" s="698"/>
      <c r="X48" s="451"/>
      <c r="Y48" s="698"/>
      <c r="Z48" s="437"/>
      <c r="AA48" s="438"/>
      <c r="AB48" s="697"/>
      <c r="AC48" s="437"/>
      <c r="AD48" s="438"/>
      <c r="AE48" s="697"/>
      <c r="AG48" s="2204"/>
      <c r="AH48" s="2220"/>
    </row>
    <row r="49" spans="1:39" ht="16.5" customHeight="1">
      <c r="A49" s="425"/>
      <c r="B49" s="425"/>
      <c r="C49" s="437"/>
      <c r="D49" s="437"/>
      <c r="E49" s="451"/>
      <c r="F49" s="451"/>
      <c r="G49" s="451"/>
      <c r="H49" s="451"/>
      <c r="I49" s="451"/>
      <c r="J49" s="451"/>
      <c r="K49" s="451"/>
      <c r="L49" s="451"/>
      <c r="M49" s="451"/>
      <c r="N49" s="451"/>
      <c r="O49" s="451"/>
      <c r="P49" s="451"/>
      <c r="Q49" s="451"/>
      <c r="R49" s="451"/>
      <c r="S49" s="451"/>
      <c r="T49" s="451"/>
      <c r="U49" s="451"/>
      <c r="V49" s="451"/>
      <c r="W49" s="451"/>
      <c r="X49" s="451"/>
      <c r="Y49" s="451"/>
      <c r="Z49" s="437"/>
      <c r="AA49" s="438"/>
      <c r="AB49" s="437"/>
      <c r="AC49" s="437"/>
      <c r="AD49" s="438"/>
      <c r="AE49" s="437"/>
      <c r="AG49" s="2204"/>
      <c r="AH49" s="2220"/>
    </row>
    <row r="50" spans="1:39" ht="16.5" customHeight="1">
      <c r="A50" s="425"/>
      <c r="B50" s="425"/>
      <c r="C50" s="437"/>
      <c r="D50" s="437"/>
      <c r="E50" s="451"/>
      <c r="F50" s="451"/>
      <c r="G50" s="451"/>
      <c r="H50" s="451"/>
      <c r="I50" s="451"/>
      <c r="J50" s="451"/>
      <c r="K50" s="451"/>
      <c r="L50" s="451"/>
      <c r="M50" s="451"/>
      <c r="N50" s="451"/>
      <c r="O50" s="451"/>
      <c r="P50" s="451"/>
      <c r="Q50" s="451"/>
      <c r="R50" s="451"/>
      <c r="S50" s="451"/>
      <c r="T50" s="451"/>
      <c r="U50" s="451"/>
      <c r="V50" s="451"/>
      <c r="W50" s="451"/>
      <c r="X50" s="451"/>
      <c r="Y50" s="451"/>
      <c r="Z50" s="437"/>
      <c r="AA50" s="438"/>
      <c r="AB50" s="437"/>
      <c r="AC50" s="437"/>
      <c r="AD50" s="438"/>
      <c r="AE50" s="437"/>
      <c r="AG50" s="2204"/>
    </row>
    <row r="51" spans="1:39" ht="16.5" customHeight="1">
      <c r="A51" s="434" t="s">
        <v>172</v>
      </c>
      <c r="B51" s="425"/>
      <c r="C51" s="437"/>
      <c r="D51" s="437"/>
      <c r="E51" s="451"/>
      <c r="F51" s="451"/>
      <c r="G51" s="451"/>
      <c r="H51" s="451"/>
      <c r="I51" s="451"/>
      <c r="J51" s="451"/>
      <c r="K51" s="451"/>
      <c r="L51" s="451"/>
      <c r="M51" s="451"/>
      <c r="N51" s="451"/>
      <c r="O51" s="451"/>
      <c r="P51" s="451"/>
      <c r="Q51" s="451"/>
      <c r="R51" s="451"/>
      <c r="S51" s="451"/>
      <c r="T51" s="451"/>
      <c r="U51" s="451"/>
      <c r="V51" s="451"/>
      <c r="W51" s="451"/>
      <c r="X51" s="451"/>
      <c r="Y51" s="451"/>
      <c r="Z51" s="437"/>
      <c r="AA51" s="438"/>
      <c r="AB51" s="437"/>
      <c r="AC51" s="437"/>
      <c r="AD51" s="438"/>
      <c r="AE51" s="437"/>
      <c r="AG51" s="2204"/>
    </row>
    <row r="52" spans="1:39" ht="16.5" customHeight="1">
      <c r="A52" s="434" t="s">
        <v>234</v>
      </c>
      <c r="B52" s="425"/>
      <c r="C52" s="437"/>
      <c r="D52" s="437"/>
      <c r="E52" s="451"/>
      <c r="F52" s="451"/>
      <c r="G52" s="451"/>
      <c r="H52" s="451"/>
      <c r="I52" s="451"/>
      <c r="J52" s="451"/>
      <c r="K52" s="704"/>
      <c r="L52" s="451"/>
      <c r="M52" s="451"/>
      <c r="N52" s="451"/>
      <c r="O52" s="451"/>
      <c r="P52" s="451"/>
      <c r="Q52" s="451"/>
      <c r="R52" s="451"/>
      <c r="S52" s="451"/>
      <c r="T52" s="451"/>
      <c r="U52" s="451"/>
      <c r="V52" s="451"/>
      <c r="W52" s="451"/>
      <c r="X52" s="451"/>
      <c r="Y52" s="451"/>
      <c r="Z52" s="437"/>
      <c r="AA52" s="438"/>
      <c r="AB52" s="437"/>
      <c r="AC52" s="437"/>
      <c r="AD52" s="438"/>
      <c r="AE52" s="437"/>
      <c r="AG52" s="2204"/>
    </row>
    <row r="53" spans="1:39" ht="16.5" customHeight="1">
      <c r="A53" s="434" t="s">
        <v>174</v>
      </c>
      <c r="B53" s="425"/>
      <c r="C53" s="452">
        <f>ROUND(C39+C47,1)</f>
        <v>-43.1</v>
      </c>
      <c r="D53" s="439"/>
      <c r="E53" s="452">
        <f>ROUND(E39+E47,1)</f>
        <v>0</v>
      </c>
      <c r="F53" s="452"/>
      <c r="G53" s="452">
        <f>ROUND(G39+G47,1)</f>
        <v>0</v>
      </c>
      <c r="H53" s="452"/>
      <c r="I53" s="452">
        <f>ROUND(I39+I47,1)</f>
        <v>0</v>
      </c>
      <c r="J53" s="452"/>
      <c r="K53" s="1796">
        <f>ROUND(K39+K47,1)</f>
        <v>0</v>
      </c>
      <c r="L53" s="452"/>
      <c r="M53" s="452">
        <f>ROUND(M39+M47,1)</f>
        <v>0</v>
      </c>
      <c r="N53" s="452"/>
      <c r="O53" s="452">
        <f>ROUND(O39+O47,1)</f>
        <v>0</v>
      </c>
      <c r="P53" s="452"/>
      <c r="Q53" s="452">
        <f>ROUND(Q39+Q47,1)</f>
        <v>0</v>
      </c>
      <c r="R53" s="452"/>
      <c r="S53" s="452">
        <f>ROUND(S39+S47,1)</f>
        <v>0</v>
      </c>
      <c r="T53" s="452"/>
      <c r="U53" s="452">
        <f>ROUND(U39+U47,1)</f>
        <v>0</v>
      </c>
      <c r="V53" s="452"/>
      <c r="W53" s="452">
        <f>ROUND(W39+W47,1)</f>
        <v>0</v>
      </c>
      <c r="X53" s="452"/>
      <c r="Y53" s="452">
        <f>ROUND(Y39+Y47,1)</f>
        <v>0</v>
      </c>
      <c r="Z53" s="439"/>
      <c r="AA53" s="440"/>
      <c r="AB53" s="452">
        <f>ROUND(AB39+AB47,1)</f>
        <v>-43.1</v>
      </c>
      <c r="AC53" s="699"/>
      <c r="AD53" s="439"/>
      <c r="AE53" s="452">
        <f>ROUND(AE39+AE47,1)</f>
        <v>26.5</v>
      </c>
      <c r="AG53" s="2204"/>
      <c r="AH53" s="2225">
        <f>ROUND(SUM(AH39+AH47),1)</f>
        <v>-69.599999999999994</v>
      </c>
      <c r="AI53" s="2200"/>
      <c r="AJ53" s="2227">
        <f>ROUND(IF(AH53=0,0,AH53/ABS(AE53)),3)</f>
        <v>-2.6259999999999999</v>
      </c>
      <c r="AK53" s="691"/>
      <c r="AL53" s="691"/>
      <c r="AM53" s="691"/>
    </row>
    <row r="54" spans="1:39" ht="16.5" customHeight="1">
      <c r="A54" s="425"/>
      <c r="B54" s="425"/>
      <c r="C54" s="705"/>
      <c r="D54" s="434"/>
      <c r="E54" s="706"/>
      <c r="F54" s="707"/>
      <c r="G54" s="706"/>
      <c r="H54" s="707"/>
      <c r="I54" s="706"/>
      <c r="J54" s="707"/>
      <c r="K54" s="708"/>
      <c r="L54" s="707"/>
      <c r="M54" s="706"/>
      <c r="N54" s="707"/>
      <c r="O54" s="706"/>
      <c r="P54" s="707"/>
      <c r="Q54" s="706"/>
      <c r="R54" s="707"/>
      <c r="S54" s="706"/>
      <c r="T54" s="707"/>
      <c r="U54" s="706"/>
      <c r="V54" s="707"/>
      <c r="W54" s="706"/>
      <c r="X54" s="707"/>
      <c r="Y54" s="706"/>
      <c r="Z54" s="434"/>
      <c r="AA54" s="709"/>
      <c r="AB54" s="705"/>
      <c r="AC54" s="434"/>
      <c r="AD54" s="709"/>
      <c r="AE54" s="705"/>
      <c r="AG54" s="2204"/>
      <c r="AJ54" s="2211"/>
      <c r="AK54" s="691"/>
      <c r="AL54" s="691"/>
      <c r="AM54" s="691"/>
    </row>
    <row r="55" spans="1:39" ht="16.5" customHeight="1" thickBot="1">
      <c r="A55" s="434" t="s">
        <v>146</v>
      </c>
      <c r="B55" s="425"/>
      <c r="C55" s="432">
        <f>ROUND(C16+C53,1)</f>
        <v>23</v>
      </c>
      <c r="D55" s="432"/>
      <c r="E55" s="432">
        <f>ROUND(E16+E53,1)</f>
        <v>0</v>
      </c>
      <c r="F55" s="690"/>
      <c r="G55" s="432">
        <f>ROUND(G16+G53,1)</f>
        <v>0</v>
      </c>
      <c r="H55" s="690"/>
      <c r="I55" s="1798">
        <f>ROUND(I16+I53,1)</f>
        <v>0</v>
      </c>
      <c r="J55" s="710"/>
      <c r="K55" s="432">
        <f>ROUND(K16+K53,1)</f>
        <v>0</v>
      </c>
      <c r="L55" s="710"/>
      <c r="M55" s="432">
        <f>ROUND(M16+M53,1)</f>
        <v>0</v>
      </c>
      <c r="N55" s="690"/>
      <c r="O55" s="432">
        <f>ROUND(O16+O53,1)</f>
        <v>0</v>
      </c>
      <c r="P55" s="690"/>
      <c r="Q55" s="432">
        <f>ROUND(Q16+Q53,1)</f>
        <v>0</v>
      </c>
      <c r="R55" s="690"/>
      <c r="S55" s="432">
        <f>ROUND(S16+S53,1)</f>
        <v>0</v>
      </c>
      <c r="T55" s="690"/>
      <c r="U55" s="432">
        <f>ROUND(U16+U53,1)</f>
        <v>0</v>
      </c>
      <c r="V55" s="690"/>
      <c r="W55" s="432">
        <f>ROUND(W16+W53,1)</f>
        <v>0</v>
      </c>
      <c r="X55" s="690"/>
      <c r="Y55" s="432">
        <f>ROUND(Y16+Y53,1)</f>
        <v>0</v>
      </c>
      <c r="Z55" s="432"/>
      <c r="AA55" s="433"/>
      <c r="AB55" s="432">
        <f>ROUND(AB16+AB53,1)</f>
        <v>23</v>
      </c>
      <c r="AC55" s="432"/>
      <c r="AD55" s="433"/>
      <c r="AE55" s="432">
        <f>ROUND(AE16+AE53,1)</f>
        <v>77.099999999999994</v>
      </c>
      <c r="AG55" s="2204"/>
      <c r="AH55" s="2237">
        <f>ROUND(SUM(AB55-AE55),1)</f>
        <v>-54.1</v>
      </c>
      <c r="AI55" s="2235"/>
      <c r="AJ55" s="2238">
        <f>ROUND(IF(AH55=0,0,AH55/ABS(AE55)),3)</f>
        <v>-0.70199999999999996</v>
      </c>
      <c r="AK55" s="691"/>
      <c r="AL55" s="691"/>
      <c r="AM55" s="691"/>
    </row>
    <row r="56" spans="1:39" ht="16.5" customHeight="1" thickTop="1">
      <c r="A56" s="427"/>
      <c r="B56" s="427"/>
      <c r="C56" s="711"/>
      <c r="D56" s="427"/>
      <c r="E56" s="711"/>
      <c r="F56" s="427"/>
      <c r="G56" s="711"/>
      <c r="H56" s="427"/>
      <c r="I56" s="444"/>
      <c r="J56" s="444"/>
      <c r="K56" s="711"/>
      <c r="L56" s="444"/>
      <c r="M56" s="711"/>
      <c r="N56" s="427"/>
      <c r="O56" s="711"/>
      <c r="P56" s="427"/>
      <c r="Q56" s="711"/>
      <c r="R56" s="427"/>
      <c r="S56" s="711"/>
      <c r="T56" s="427"/>
      <c r="U56" s="711"/>
      <c r="V56" s="427"/>
      <c r="W56" s="711"/>
      <c r="X56" s="427"/>
      <c r="Y56" s="711"/>
      <c r="Z56" s="427"/>
      <c r="AA56" s="427"/>
      <c r="AB56" s="711"/>
      <c r="AC56" s="427"/>
      <c r="AD56" s="427"/>
      <c r="AE56" s="711"/>
    </row>
    <row r="57" spans="1:39" ht="16.5" customHeight="1">
      <c r="A57" s="453"/>
    </row>
    <row r="58" spans="1:39" ht="16.5" customHeight="1">
      <c r="A58" s="453"/>
    </row>
    <row r="59" spans="1:39" ht="16.5" customHeight="1">
      <c r="A59" s="453"/>
    </row>
    <row r="60" spans="1:39" ht="16.5" customHeight="1">
      <c r="A60" s="453"/>
    </row>
    <row r="61" spans="1:39" ht="16.5" customHeight="1">
      <c r="A61" s="453"/>
    </row>
  </sheetData>
  <customSheetViews>
    <customSheetView guid="{8EE6466D-211E-4E05-9F84-CC0A1C6F79F4}" scale="60" showGridLines="0" outlineSymbols="0" fitToPage="1">
      <selection activeCell="AH30" sqref="AH30"/>
      <pageMargins left="0.5" right="0.5" top="0.5" bottom="0.5" header="0" footer="0.25"/>
      <pageSetup scale="42" orientation="landscape" r:id="rId1"/>
      <headerFooter scaleWithDoc="0" alignWithMargins="0">
        <oddFooter>&amp;C&amp;8 34</oddFooter>
      </headerFooter>
    </customSheetView>
  </customSheetViews>
  <mergeCells count="1">
    <mergeCell ref="AB12:AJ12"/>
  </mergeCells>
  <pageMargins left="0.5" right="0.5" top="0.5" bottom="0.5" header="0" footer="0.25"/>
  <pageSetup scale="42" firstPageNumber="34" orientation="landscape" useFirstPageNumber="1" r:id="rId2"/>
  <headerFooter scaleWithDoc="0" alignWithMargins="0">
    <oddFooter>&amp;C&amp;8 &amp;P</oddFooter>
  </headerFooter>
  <ignoredErrors>
    <ignoredError sqref="AJ31"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54"/>
  <sheetViews>
    <sheetView zoomScale="70" zoomScaleNormal="70" workbookViewId="0"/>
  </sheetViews>
  <sheetFormatPr defaultColWidth="8.90625" defaultRowHeight="16.5" customHeight="1"/>
  <cols>
    <col min="1" max="1" width="45.08984375" style="410" customWidth="1"/>
    <col min="2" max="2" width="11" style="410" customWidth="1"/>
    <col min="3" max="3" width="1.6328125" style="410" customWidth="1"/>
    <col min="4" max="4" width="11" style="410" customWidth="1"/>
    <col min="5" max="5" width="1.6328125" style="410" customWidth="1"/>
    <col min="6" max="6" width="11.08984375" style="410" customWidth="1"/>
    <col min="7" max="7" width="1.6328125" style="410" customWidth="1"/>
    <col min="8" max="8" width="11" style="410" customWidth="1"/>
    <col min="9" max="9" width="1.81640625" style="410" customWidth="1"/>
    <col min="10" max="10" width="9.81640625" style="410" customWidth="1"/>
    <col min="11" max="11" width="1.81640625" style="410" customWidth="1"/>
    <col min="12" max="12" width="13.36328125" style="410" customWidth="1"/>
    <col min="13" max="13" width="1.6328125" style="410" customWidth="1"/>
    <col min="14" max="14" width="11.08984375" style="410" customWidth="1"/>
    <col min="15" max="15" width="1.6328125" style="410" customWidth="1"/>
    <col min="16" max="16" width="12.36328125" style="410" customWidth="1"/>
    <col min="17" max="17" width="1.6328125" style="410" customWidth="1"/>
    <col min="18" max="18" width="12" style="410" customWidth="1"/>
    <col min="19" max="19" width="1.6328125" style="410" customWidth="1"/>
    <col min="20" max="20" width="11.08984375" style="410" customWidth="1"/>
    <col min="21" max="21" width="1.6328125" style="410" customWidth="1"/>
    <col min="22" max="22" width="11.81640625" style="410" customWidth="1"/>
    <col min="23" max="23" width="1.6328125" style="410" customWidth="1"/>
    <col min="24" max="24" width="11.08984375" style="410" customWidth="1"/>
    <col min="25" max="26" width="1.6328125" style="410" customWidth="1"/>
    <col min="27" max="27" width="11.54296875" style="410" customWidth="1"/>
    <col min="28" max="29" width="1.6328125" style="410" customWidth="1"/>
    <col min="30" max="30" width="11.54296875" style="410" customWidth="1"/>
    <col min="31" max="31" width="1.81640625" style="738" customWidth="1"/>
    <col min="32" max="32" width="2.453125" style="2210" customWidth="1"/>
    <col min="33" max="33" width="10.36328125" style="2211" bestFit="1" customWidth="1"/>
    <col min="34" max="34" width="1.6328125" style="2211" customWidth="1"/>
    <col min="35" max="35" width="11.08984375" style="2210" customWidth="1"/>
    <col min="36" max="16384" width="8.90625" style="410"/>
  </cols>
  <sheetData>
    <row r="1" spans="1:251" ht="16.5" customHeight="1">
      <c r="A1" s="1172" t="s">
        <v>1103</v>
      </c>
    </row>
    <row r="2" spans="1:251" ht="16.5" customHeight="1">
      <c r="A2" s="1685"/>
    </row>
    <row r="3" spans="1:251" ht="20.25" customHeight="1">
      <c r="A3" s="1944" t="s">
        <v>0</v>
      </c>
      <c r="B3" s="639"/>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223"/>
      <c r="AI3" s="2262" t="s">
        <v>230</v>
      </c>
      <c r="AJ3" s="712"/>
      <c r="AK3" s="712"/>
      <c r="AL3" s="712"/>
      <c r="AM3" s="712"/>
      <c r="AN3" s="712"/>
      <c r="AO3" s="712"/>
      <c r="AP3" s="712"/>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2"/>
      <c r="CC3" s="712"/>
      <c r="CD3" s="712"/>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2"/>
      <c r="ED3" s="712"/>
      <c r="EE3" s="712"/>
      <c r="EF3" s="712"/>
      <c r="EG3" s="712"/>
      <c r="EH3" s="712"/>
      <c r="EI3" s="712"/>
      <c r="EJ3" s="712"/>
      <c r="EK3" s="712"/>
      <c r="EL3" s="712"/>
      <c r="EM3" s="712"/>
      <c r="EN3" s="712"/>
      <c r="EO3" s="712"/>
      <c r="EP3" s="712"/>
      <c r="EQ3" s="712"/>
      <c r="ER3" s="712"/>
      <c r="ES3" s="712"/>
      <c r="ET3" s="712"/>
      <c r="EU3" s="712"/>
      <c r="EV3" s="712"/>
      <c r="EW3" s="712"/>
      <c r="EX3" s="712"/>
      <c r="EY3" s="712"/>
      <c r="EZ3" s="712"/>
      <c r="FA3" s="712"/>
      <c r="FB3" s="712"/>
      <c r="FC3" s="712"/>
      <c r="FD3" s="712"/>
      <c r="FE3" s="712"/>
      <c r="FF3" s="712"/>
      <c r="FG3" s="712"/>
      <c r="FH3" s="712"/>
      <c r="FI3" s="712"/>
      <c r="FJ3" s="712"/>
      <c r="FK3" s="712"/>
      <c r="FL3" s="712"/>
      <c r="FM3" s="712"/>
      <c r="FN3" s="712"/>
      <c r="FO3" s="712"/>
      <c r="FP3" s="712"/>
      <c r="FQ3" s="712"/>
      <c r="FR3" s="712"/>
      <c r="FS3" s="712"/>
      <c r="FT3" s="712"/>
      <c r="FU3" s="712"/>
      <c r="FV3" s="712"/>
      <c r="FW3" s="712"/>
      <c r="FX3" s="712"/>
      <c r="FY3" s="712"/>
      <c r="FZ3" s="712"/>
      <c r="GA3" s="712"/>
      <c r="GB3" s="712"/>
      <c r="GC3" s="712"/>
      <c r="GD3" s="712"/>
      <c r="GE3" s="712"/>
      <c r="GF3" s="712"/>
      <c r="GG3" s="712"/>
      <c r="GH3" s="712"/>
      <c r="GI3" s="712"/>
      <c r="GJ3" s="712"/>
      <c r="GK3" s="712"/>
      <c r="GL3" s="712"/>
      <c r="GM3" s="712"/>
      <c r="GN3" s="712"/>
      <c r="GO3" s="712"/>
      <c r="GP3" s="712"/>
      <c r="GQ3" s="712"/>
      <c r="GR3" s="712"/>
      <c r="GS3" s="712"/>
      <c r="GT3" s="712"/>
      <c r="GU3" s="712"/>
      <c r="GV3" s="712"/>
      <c r="GW3" s="712"/>
      <c r="GX3" s="712"/>
      <c r="GY3" s="712"/>
      <c r="GZ3" s="712"/>
      <c r="HA3" s="712"/>
      <c r="HB3" s="712"/>
      <c r="HC3" s="712"/>
      <c r="HD3" s="712"/>
      <c r="HE3" s="712"/>
      <c r="HF3" s="712"/>
      <c r="HG3" s="712"/>
      <c r="HH3" s="712"/>
      <c r="HI3" s="712"/>
      <c r="HJ3" s="712"/>
      <c r="HK3" s="712"/>
      <c r="HL3" s="712"/>
      <c r="HM3" s="712"/>
      <c r="HN3" s="712"/>
      <c r="HO3" s="712"/>
      <c r="HP3" s="712"/>
      <c r="HQ3" s="712"/>
      <c r="HR3" s="712"/>
      <c r="HS3" s="712"/>
      <c r="HT3" s="712"/>
      <c r="HU3" s="712"/>
      <c r="HV3" s="712"/>
      <c r="HW3" s="712"/>
      <c r="HX3" s="712"/>
      <c r="HY3" s="712"/>
      <c r="HZ3" s="712"/>
      <c r="IA3" s="712"/>
      <c r="IB3" s="712"/>
      <c r="IC3" s="712"/>
      <c r="ID3" s="712"/>
      <c r="IE3" s="712"/>
      <c r="IF3" s="712"/>
      <c r="IG3" s="712"/>
      <c r="IH3" s="712"/>
      <c r="II3" s="712"/>
      <c r="IJ3" s="712"/>
      <c r="IK3" s="712"/>
      <c r="IL3" s="712"/>
      <c r="IM3" s="712"/>
      <c r="IN3" s="712"/>
      <c r="IO3" s="712"/>
      <c r="IP3" s="712"/>
      <c r="IQ3" s="712"/>
    </row>
    <row r="4" spans="1:251" ht="22.5" customHeight="1">
      <c r="A4" s="1944" t="s">
        <v>228</v>
      </c>
      <c r="B4" s="639"/>
      <c r="C4" s="712"/>
      <c r="D4" s="712"/>
      <c r="E4" s="712"/>
      <c r="F4" s="712"/>
      <c r="G4" s="712"/>
      <c r="H4" s="639" t="s">
        <v>16</v>
      </c>
      <c r="I4" s="712"/>
      <c r="J4" s="712"/>
      <c r="K4" s="712"/>
      <c r="L4" s="712"/>
      <c r="M4" s="712"/>
      <c r="N4" s="712"/>
      <c r="O4" s="712"/>
      <c r="P4" s="712"/>
      <c r="Q4" s="712"/>
      <c r="R4" s="712"/>
      <c r="S4" s="712"/>
      <c r="T4" s="712"/>
      <c r="U4" s="712"/>
      <c r="V4" s="712"/>
      <c r="W4" s="712"/>
      <c r="X4" s="712" t="s">
        <v>16</v>
      </c>
      <c r="Y4" s="712"/>
      <c r="Z4" s="712"/>
      <c r="AA4" s="712"/>
      <c r="AB4" s="712"/>
      <c r="AC4" s="712"/>
      <c r="AD4" s="712"/>
      <c r="AE4" s="223"/>
      <c r="AJ4" s="712"/>
      <c r="AK4" s="712"/>
      <c r="AL4" s="712"/>
      <c r="AM4" s="712"/>
      <c r="AN4" s="712"/>
      <c r="AO4" s="712"/>
      <c r="AP4" s="712"/>
      <c r="AQ4" s="712"/>
      <c r="AR4" s="712"/>
      <c r="AS4" s="712"/>
      <c r="AT4" s="712"/>
      <c r="AU4" s="712"/>
      <c r="AV4" s="712"/>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2"/>
      <c r="ED4" s="712"/>
      <c r="EE4" s="712"/>
      <c r="EF4" s="712"/>
      <c r="EG4" s="712"/>
      <c r="EH4" s="712"/>
      <c r="EI4" s="712"/>
      <c r="EJ4" s="712"/>
      <c r="EK4" s="712"/>
      <c r="EL4" s="712"/>
      <c r="EM4" s="712"/>
      <c r="EN4" s="712"/>
      <c r="EO4" s="712"/>
      <c r="EP4" s="712"/>
      <c r="EQ4" s="712"/>
      <c r="ER4" s="712"/>
      <c r="ES4" s="712"/>
      <c r="ET4" s="712"/>
      <c r="EU4" s="712"/>
      <c r="EV4" s="712"/>
      <c r="EW4" s="712"/>
      <c r="EX4" s="712"/>
      <c r="EY4" s="712"/>
      <c r="EZ4" s="712"/>
      <c r="FA4" s="712"/>
      <c r="FB4" s="712"/>
      <c r="FC4" s="712"/>
      <c r="FD4" s="712"/>
      <c r="FE4" s="712"/>
      <c r="FF4" s="712"/>
      <c r="FG4" s="712"/>
      <c r="FH4" s="712"/>
      <c r="FI4" s="712"/>
      <c r="FJ4" s="712"/>
      <c r="FK4" s="712"/>
      <c r="FL4" s="712"/>
      <c r="FM4" s="712"/>
      <c r="FN4" s="712"/>
      <c r="FO4" s="712"/>
      <c r="FP4" s="712"/>
      <c r="FQ4" s="712"/>
      <c r="FR4" s="712"/>
      <c r="FS4" s="712"/>
      <c r="FT4" s="712"/>
      <c r="FU4" s="712"/>
      <c r="FV4" s="712"/>
      <c r="FW4" s="712"/>
      <c r="FX4" s="712"/>
      <c r="FY4" s="712"/>
      <c r="FZ4" s="712"/>
      <c r="GA4" s="712"/>
      <c r="GB4" s="712"/>
      <c r="GC4" s="712"/>
      <c r="GD4" s="712"/>
      <c r="GE4" s="712"/>
      <c r="GF4" s="712"/>
      <c r="GG4" s="712"/>
      <c r="GH4" s="712"/>
      <c r="GI4" s="712"/>
      <c r="GJ4" s="712"/>
      <c r="GK4" s="712"/>
      <c r="GL4" s="712"/>
      <c r="GM4" s="712"/>
      <c r="GN4" s="712"/>
      <c r="GO4" s="712"/>
      <c r="GP4" s="712"/>
      <c r="GQ4" s="712"/>
      <c r="GR4" s="712"/>
      <c r="GS4" s="712"/>
      <c r="GT4" s="712"/>
      <c r="GU4" s="712"/>
      <c r="GV4" s="712"/>
      <c r="GW4" s="712"/>
      <c r="GX4" s="712"/>
      <c r="GY4" s="712"/>
      <c r="GZ4" s="712"/>
      <c r="HA4" s="712"/>
      <c r="HB4" s="712"/>
      <c r="HC4" s="712"/>
      <c r="HD4" s="712"/>
      <c r="HE4" s="712"/>
      <c r="HF4" s="712"/>
      <c r="HG4" s="712"/>
      <c r="HH4" s="712"/>
      <c r="HI4" s="712"/>
      <c r="HJ4" s="712"/>
      <c r="HK4" s="712"/>
      <c r="HL4" s="712"/>
      <c r="HM4" s="712"/>
      <c r="HN4" s="712"/>
      <c r="HO4" s="712"/>
      <c r="HP4" s="712"/>
      <c r="HQ4" s="712"/>
      <c r="HR4" s="712"/>
      <c r="HS4" s="712"/>
      <c r="HT4" s="712"/>
      <c r="HU4" s="712"/>
      <c r="HV4" s="712"/>
      <c r="HW4" s="712"/>
      <c r="HX4" s="712"/>
      <c r="HY4" s="712"/>
      <c r="HZ4" s="712"/>
      <c r="IA4" s="712"/>
      <c r="IB4" s="712"/>
      <c r="IC4" s="712"/>
      <c r="ID4" s="712"/>
      <c r="IE4" s="712"/>
      <c r="IF4" s="712"/>
      <c r="IG4" s="712"/>
      <c r="IH4" s="712"/>
      <c r="II4" s="712"/>
      <c r="IJ4" s="712"/>
      <c r="IK4" s="712"/>
      <c r="IL4" s="712"/>
      <c r="IM4" s="712"/>
      <c r="IN4" s="712"/>
      <c r="IO4" s="712"/>
      <c r="IP4" s="712"/>
      <c r="IQ4" s="712"/>
    </row>
    <row r="5" spans="1:251" ht="20.25" customHeight="1">
      <c r="A5" s="1944" t="s">
        <v>229</v>
      </c>
      <c r="B5" s="639"/>
      <c r="C5" s="712"/>
      <c r="D5" s="712"/>
      <c r="E5" s="712"/>
      <c r="F5" s="712"/>
      <c r="G5" s="712"/>
      <c r="H5" s="712"/>
      <c r="I5" s="712"/>
      <c r="J5" s="712"/>
      <c r="K5" s="712"/>
      <c r="L5" s="712"/>
      <c r="M5" s="712"/>
      <c r="N5" s="712"/>
      <c r="O5" s="712"/>
      <c r="P5" s="712"/>
      <c r="Q5" s="712"/>
      <c r="R5" s="712"/>
      <c r="S5" s="712"/>
      <c r="T5" s="712"/>
      <c r="U5" s="712"/>
      <c r="V5" s="712"/>
      <c r="W5" s="712"/>
      <c r="X5" s="712"/>
      <c r="Y5" s="712"/>
      <c r="Z5" s="712"/>
      <c r="AB5" s="1935"/>
      <c r="AC5" s="1935"/>
      <c r="AD5" s="1935"/>
      <c r="AE5" s="1693"/>
      <c r="AJ5" s="712"/>
      <c r="AK5" s="712"/>
      <c r="AL5" s="712"/>
      <c r="AM5" s="712"/>
      <c r="AN5" s="712"/>
      <c r="AO5" s="712"/>
      <c r="AP5" s="712"/>
      <c r="AQ5" s="712"/>
      <c r="AR5" s="712"/>
      <c r="AS5" s="712"/>
      <c r="AT5" s="712"/>
      <c r="AU5" s="712"/>
      <c r="AV5" s="712"/>
      <c r="AW5" s="712"/>
      <c r="AX5" s="712"/>
      <c r="AY5" s="712"/>
      <c r="AZ5" s="712"/>
      <c r="BA5" s="712"/>
      <c r="BB5" s="712"/>
      <c r="BC5" s="712"/>
      <c r="BD5" s="712"/>
      <c r="BE5" s="712"/>
      <c r="BF5" s="712"/>
      <c r="BG5" s="712"/>
      <c r="BH5" s="712"/>
      <c r="BI5" s="712"/>
      <c r="BJ5" s="712"/>
      <c r="BK5" s="712"/>
      <c r="BL5" s="712"/>
      <c r="BM5" s="712"/>
      <c r="BN5" s="712"/>
      <c r="BO5" s="712"/>
      <c r="BP5" s="712"/>
      <c r="BQ5" s="712"/>
      <c r="BR5" s="712"/>
      <c r="BS5" s="712"/>
      <c r="BT5" s="712"/>
      <c r="BU5" s="712"/>
      <c r="BV5" s="712"/>
      <c r="BW5" s="712"/>
      <c r="BX5" s="712"/>
      <c r="BY5" s="712"/>
      <c r="BZ5" s="712"/>
      <c r="CA5" s="712"/>
      <c r="CB5" s="712"/>
      <c r="CC5" s="712"/>
      <c r="CD5" s="712"/>
      <c r="CE5" s="712"/>
      <c r="CF5" s="712"/>
      <c r="CG5" s="712"/>
      <c r="CH5" s="712"/>
      <c r="CI5" s="712"/>
      <c r="CJ5" s="712"/>
      <c r="CK5" s="712"/>
      <c r="CL5" s="712"/>
      <c r="CM5" s="712"/>
      <c r="CN5" s="712"/>
      <c r="CO5" s="712"/>
      <c r="CP5" s="712"/>
      <c r="CQ5" s="712"/>
      <c r="CR5" s="712"/>
      <c r="CS5" s="712"/>
      <c r="CT5" s="712"/>
      <c r="CU5" s="712"/>
      <c r="CV5" s="712"/>
      <c r="CW5" s="712"/>
      <c r="CX5" s="712"/>
      <c r="CY5" s="712"/>
      <c r="CZ5" s="712"/>
      <c r="DA5" s="712"/>
      <c r="DB5" s="712"/>
      <c r="DC5" s="712"/>
      <c r="DD5" s="712"/>
      <c r="DE5" s="712"/>
      <c r="DF5" s="712"/>
      <c r="DG5" s="712"/>
      <c r="DH5" s="712"/>
      <c r="DI5" s="712"/>
      <c r="DJ5" s="712"/>
      <c r="DK5" s="712"/>
      <c r="DL5" s="712"/>
      <c r="DM5" s="712"/>
      <c r="DN5" s="712"/>
      <c r="DO5" s="712"/>
      <c r="DP5" s="712"/>
      <c r="DQ5" s="712"/>
      <c r="DR5" s="712"/>
      <c r="DS5" s="712"/>
      <c r="DT5" s="712"/>
      <c r="DU5" s="712"/>
      <c r="DV5" s="712"/>
      <c r="DW5" s="712"/>
      <c r="DX5" s="712"/>
      <c r="DY5" s="712"/>
      <c r="DZ5" s="712"/>
      <c r="EA5" s="712"/>
      <c r="EB5" s="712"/>
      <c r="EC5" s="712"/>
      <c r="ED5" s="712"/>
      <c r="EE5" s="712"/>
      <c r="EF5" s="712"/>
      <c r="EG5" s="712"/>
      <c r="EH5" s="712"/>
      <c r="EI5" s="712"/>
      <c r="EJ5" s="712"/>
      <c r="EK5" s="712"/>
      <c r="EL5" s="712"/>
      <c r="EM5" s="712"/>
      <c r="EN5" s="712"/>
      <c r="EO5" s="712"/>
      <c r="EP5" s="712"/>
      <c r="EQ5" s="712"/>
      <c r="ER5" s="712"/>
      <c r="ES5" s="712"/>
      <c r="ET5" s="712"/>
      <c r="EU5" s="712"/>
      <c r="EV5" s="712"/>
      <c r="EW5" s="712"/>
      <c r="EX5" s="712"/>
      <c r="EY5" s="712"/>
      <c r="EZ5" s="712"/>
      <c r="FA5" s="712"/>
      <c r="FB5" s="712"/>
      <c r="FC5" s="712"/>
      <c r="FD5" s="712"/>
      <c r="FE5" s="712"/>
      <c r="FF5" s="712"/>
      <c r="FG5" s="712"/>
      <c r="FH5" s="712"/>
      <c r="FI5" s="712"/>
      <c r="FJ5" s="712"/>
      <c r="FK5" s="712"/>
      <c r="FL5" s="712"/>
      <c r="FM5" s="712"/>
      <c r="FN5" s="712"/>
      <c r="FO5" s="712"/>
      <c r="FP5" s="712"/>
      <c r="FQ5" s="712"/>
      <c r="FR5" s="712"/>
      <c r="FS5" s="712"/>
      <c r="FT5" s="712"/>
      <c r="FU5" s="712"/>
      <c r="FV5" s="712"/>
      <c r="FW5" s="712"/>
      <c r="FX5" s="712"/>
      <c r="FY5" s="712"/>
      <c r="FZ5" s="712"/>
      <c r="GA5" s="712"/>
      <c r="GB5" s="712"/>
      <c r="GC5" s="712"/>
      <c r="GD5" s="712"/>
      <c r="GE5" s="712"/>
      <c r="GF5" s="712"/>
      <c r="GG5" s="712"/>
      <c r="GH5" s="712"/>
      <c r="GI5" s="712"/>
      <c r="GJ5" s="712"/>
      <c r="GK5" s="712"/>
      <c r="GL5" s="712"/>
      <c r="GM5" s="712"/>
      <c r="GN5" s="712"/>
      <c r="GO5" s="712"/>
      <c r="GP5" s="712"/>
      <c r="GQ5" s="712"/>
      <c r="GR5" s="712"/>
      <c r="GS5" s="712"/>
      <c r="GT5" s="712"/>
      <c r="GU5" s="712"/>
      <c r="GV5" s="712"/>
      <c r="GW5" s="712"/>
      <c r="GX5" s="712"/>
      <c r="GY5" s="712"/>
      <c r="GZ5" s="712"/>
      <c r="HA5" s="712"/>
      <c r="HB5" s="712"/>
      <c r="HC5" s="712"/>
      <c r="HD5" s="712"/>
      <c r="HE5" s="712"/>
      <c r="HF5" s="712"/>
      <c r="HG5" s="712"/>
      <c r="HH5" s="712"/>
      <c r="HI5" s="712"/>
      <c r="HJ5" s="712"/>
      <c r="HK5" s="712"/>
      <c r="HL5" s="712"/>
      <c r="HM5" s="712"/>
      <c r="HN5" s="712"/>
      <c r="HO5" s="712"/>
      <c r="HP5" s="712"/>
      <c r="HQ5" s="712"/>
      <c r="HR5" s="712"/>
      <c r="HS5" s="712"/>
      <c r="HT5" s="712"/>
      <c r="HU5" s="712"/>
      <c r="HV5" s="712"/>
      <c r="HW5" s="712"/>
      <c r="HX5" s="712"/>
      <c r="HY5" s="712"/>
      <c r="HZ5" s="712"/>
      <c r="IA5" s="712"/>
      <c r="IB5" s="712"/>
      <c r="IC5" s="712"/>
      <c r="ID5" s="712"/>
      <c r="IE5" s="712"/>
      <c r="IF5" s="712"/>
      <c r="IG5" s="712"/>
      <c r="IH5" s="712"/>
      <c r="II5" s="712"/>
      <c r="IJ5" s="712"/>
      <c r="IK5" s="712"/>
      <c r="IL5" s="712"/>
      <c r="IM5" s="712"/>
      <c r="IN5" s="712"/>
      <c r="IO5" s="712"/>
      <c r="IP5" s="712"/>
      <c r="IQ5" s="712"/>
    </row>
    <row r="6" spans="1:251" ht="20.25" customHeight="1">
      <c r="A6" s="1945" t="s">
        <v>1459</v>
      </c>
      <c r="B6" s="639"/>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223"/>
      <c r="AJ6" s="712"/>
      <c r="AK6" s="712"/>
      <c r="AL6" s="712"/>
      <c r="AM6" s="712"/>
      <c r="AN6" s="712"/>
      <c r="AO6" s="712"/>
      <c r="AP6" s="712"/>
      <c r="AQ6" s="712"/>
      <c r="AR6" s="712"/>
      <c r="AS6" s="712"/>
      <c r="AT6" s="712"/>
      <c r="AU6" s="712"/>
      <c r="AV6" s="712"/>
      <c r="AW6" s="712"/>
      <c r="AX6" s="712"/>
      <c r="AY6" s="712"/>
      <c r="AZ6" s="712"/>
      <c r="BA6" s="712"/>
      <c r="BB6" s="712"/>
      <c r="BC6" s="712"/>
      <c r="BD6" s="712"/>
      <c r="BE6" s="712"/>
      <c r="BF6" s="712"/>
      <c r="BG6" s="712"/>
      <c r="BH6" s="712"/>
      <c r="BI6" s="712"/>
      <c r="BJ6" s="712"/>
      <c r="BK6" s="712"/>
      <c r="BL6" s="712"/>
      <c r="BM6" s="712"/>
      <c r="BN6" s="712"/>
      <c r="BO6" s="712"/>
      <c r="BP6" s="712"/>
      <c r="BQ6" s="712"/>
      <c r="BR6" s="712"/>
      <c r="BS6" s="712"/>
      <c r="BT6" s="712"/>
      <c r="BU6" s="712"/>
      <c r="BV6" s="712"/>
      <c r="BW6" s="712"/>
      <c r="BX6" s="712"/>
      <c r="BY6" s="712"/>
      <c r="BZ6" s="712"/>
      <c r="CA6" s="712"/>
      <c r="CB6" s="712"/>
      <c r="CC6" s="712"/>
      <c r="CD6" s="712"/>
      <c r="CE6" s="712"/>
      <c r="CF6" s="712"/>
      <c r="CG6" s="712"/>
      <c r="CH6" s="712"/>
      <c r="CI6" s="712"/>
      <c r="CJ6" s="712"/>
      <c r="CK6" s="712"/>
      <c r="CL6" s="712"/>
      <c r="CM6" s="712"/>
      <c r="CN6" s="712"/>
      <c r="CO6" s="712"/>
      <c r="CP6" s="712"/>
      <c r="CQ6" s="712"/>
      <c r="CR6" s="712"/>
      <c r="CS6" s="712"/>
      <c r="CT6" s="712"/>
      <c r="CU6" s="712"/>
      <c r="CV6" s="712"/>
      <c r="CW6" s="712"/>
      <c r="CX6" s="712"/>
      <c r="CY6" s="712"/>
      <c r="CZ6" s="712"/>
      <c r="DA6" s="712"/>
      <c r="DB6" s="712"/>
      <c r="DC6" s="712"/>
      <c r="DD6" s="712"/>
      <c r="DE6" s="712"/>
      <c r="DF6" s="712"/>
      <c r="DG6" s="712"/>
      <c r="DH6" s="712"/>
      <c r="DI6" s="712"/>
      <c r="DJ6" s="712"/>
      <c r="DK6" s="712"/>
      <c r="DL6" s="712"/>
      <c r="DM6" s="712"/>
      <c r="DN6" s="712"/>
      <c r="DO6" s="712"/>
      <c r="DP6" s="712"/>
      <c r="DQ6" s="712"/>
      <c r="DR6" s="712"/>
      <c r="DS6" s="712"/>
      <c r="DT6" s="712"/>
      <c r="DU6" s="712"/>
      <c r="DV6" s="712"/>
      <c r="DW6" s="712"/>
      <c r="DX6" s="712"/>
      <c r="DY6" s="712"/>
      <c r="DZ6" s="712"/>
      <c r="EA6" s="712"/>
      <c r="EB6" s="712"/>
      <c r="EC6" s="712"/>
      <c r="ED6" s="712"/>
      <c r="EE6" s="712"/>
      <c r="EF6" s="712"/>
      <c r="EG6" s="712"/>
      <c r="EH6" s="712"/>
      <c r="EI6" s="712"/>
      <c r="EJ6" s="712"/>
      <c r="EK6" s="712"/>
      <c r="EL6" s="712"/>
      <c r="EM6" s="712"/>
      <c r="EN6" s="712"/>
      <c r="EO6" s="712"/>
      <c r="EP6" s="712"/>
      <c r="EQ6" s="712"/>
      <c r="ER6" s="712"/>
      <c r="ES6" s="712"/>
      <c r="ET6" s="712"/>
      <c r="EU6" s="712"/>
      <c r="EV6" s="712"/>
      <c r="EW6" s="712"/>
      <c r="EX6" s="712"/>
      <c r="EY6" s="712"/>
      <c r="EZ6" s="712"/>
      <c r="FA6" s="712"/>
      <c r="FB6" s="712"/>
      <c r="FC6" s="712"/>
      <c r="FD6" s="712"/>
      <c r="FE6" s="712"/>
      <c r="FF6" s="712"/>
      <c r="FG6" s="712"/>
      <c r="FH6" s="712"/>
      <c r="FI6" s="712"/>
      <c r="FJ6" s="712"/>
      <c r="FK6" s="712"/>
      <c r="FL6" s="712"/>
      <c r="FM6" s="712"/>
      <c r="FN6" s="712"/>
      <c r="FO6" s="712"/>
      <c r="FP6" s="712"/>
      <c r="FQ6" s="712"/>
      <c r="FR6" s="712"/>
      <c r="FS6" s="712"/>
      <c r="FT6" s="712"/>
      <c r="FU6" s="712"/>
      <c r="FV6" s="712"/>
      <c r="FW6" s="712"/>
      <c r="FX6" s="712"/>
      <c r="FY6" s="712"/>
      <c r="FZ6" s="712"/>
      <c r="GA6" s="712"/>
      <c r="GB6" s="712"/>
      <c r="GC6" s="712"/>
      <c r="GD6" s="712"/>
      <c r="GE6" s="712"/>
      <c r="GF6" s="712"/>
      <c r="GG6" s="712"/>
      <c r="GH6" s="712"/>
      <c r="GI6" s="712"/>
      <c r="GJ6" s="712"/>
      <c r="GK6" s="712"/>
      <c r="GL6" s="712"/>
      <c r="GM6" s="712"/>
      <c r="GN6" s="712"/>
      <c r="GO6" s="712"/>
      <c r="GP6" s="712"/>
      <c r="GQ6" s="712"/>
      <c r="GR6" s="712"/>
      <c r="GS6" s="712"/>
      <c r="GT6" s="712"/>
      <c r="GU6" s="712"/>
      <c r="GV6" s="712"/>
      <c r="GW6" s="712"/>
      <c r="GX6" s="712"/>
      <c r="GY6" s="712"/>
      <c r="GZ6" s="712"/>
      <c r="HA6" s="712"/>
      <c r="HB6" s="712"/>
      <c r="HC6" s="712"/>
      <c r="HD6" s="712"/>
      <c r="HE6" s="712"/>
      <c r="HF6" s="712"/>
      <c r="HG6" s="712"/>
      <c r="HH6" s="712"/>
      <c r="HI6" s="712"/>
      <c r="HJ6" s="712"/>
      <c r="HK6" s="712"/>
      <c r="HL6" s="712"/>
      <c r="HM6" s="712"/>
      <c r="HN6" s="712"/>
      <c r="HO6" s="712"/>
      <c r="HP6" s="712"/>
      <c r="HQ6" s="712"/>
      <c r="HR6" s="712"/>
      <c r="HS6" s="712"/>
      <c r="HT6" s="712"/>
      <c r="HU6" s="712"/>
      <c r="HV6" s="712"/>
      <c r="HW6" s="712"/>
      <c r="HX6" s="712"/>
      <c r="HY6" s="712"/>
      <c r="HZ6" s="712"/>
      <c r="IA6" s="712"/>
      <c r="IB6" s="712"/>
      <c r="IC6" s="712"/>
      <c r="ID6" s="712"/>
      <c r="IE6" s="712"/>
      <c r="IF6" s="712"/>
      <c r="IG6" s="712"/>
      <c r="IH6" s="712"/>
      <c r="II6" s="712"/>
      <c r="IJ6" s="712"/>
      <c r="IK6" s="712"/>
      <c r="IL6" s="712"/>
      <c r="IM6" s="712"/>
      <c r="IN6" s="712"/>
      <c r="IO6" s="712"/>
      <c r="IP6" s="712"/>
      <c r="IQ6" s="712"/>
    </row>
    <row r="7" spans="1:251" ht="20.25" customHeight="1">
      <c r="A7" s="1944" t="s">
        <v>991</v>
      </c>
      <c r="B7" s="639"/>
      <c r="C7" s="712"/>
      <c r="D7" s="712"/>
      <c r="E7" s="712"/>
      <c r="F7" s="712"/>
      <c r="G7" s="712"/>
      <c r="H7" s="712"/>
      <c r="I7" s="712"/>
      <c r="J7" s="712"/>
      <c r="K7" s="712"/>
      <c r="L7" s="712"/>
      <c r="M7" s="712"/>
      <c r="N7" s="712"/>
      <c r="O7" s="712"/>
      <c r="P7" s="712"/>
      <c r="Q7" s="712"/>
      <c r="R7" s="712"/>
      <c r="S7" s="712"/>
      <c r="T7" s="712"/>
      <c r="U7" s="712"/>
      <c r="V7" s="712"/>
      <c r="W7" s="712"/>
      <c r="X7" s="712"/>
      <c r="Y7" s="712"/>
      <c r="Z7" s="712"/>
      <c r="AA7" s="712"/>
      <c r="AB7" s="712"/>
      <c r="AC7" s="712"/>
      <c r="AD7" s="712"/>
      <c r="AE7" s="223"/>
      <c r="AJ7" s="712"/>
      <c r="AK7" s="712"/>
      <c r="AL7" s="712"/>
      <c r="AM7" s="712"/>
      <c r="AN7" s="712"/>
      <c r="AO7" s="712"/>
      <c r="AP7" s="712"/>
      <c r="AQ7" s="712"/>
      <c r="AR7" s="712"/>
      <c r="AS7" s="712"/>
      <c r="AT7" s="712"/>
      <c r="AU7" s="712"/>
      <c r="AV7" s="712"/>
      <c r="AW7" s="712"/>
      <c r="AX7" s="712"/>
      <c r="AY7" s="712"/>
      <c r="AZ7" s="712"/>
      <c r="BA7" s="712"/>
      <c r="BB7" s="712"/>
      <c r="BC7" s="712"/>
      <c r="BD7" s="712"/>
      <c r="BE7" s="712"/>
      <c r="BF7" s="712"/>
      <c r="BG7" s="712"/>
      <c r="BH7" s="712"/>
      <c r="BI7" s="712"/>
      <c r="BJ7" s="712"/>
      <c r="BK7" s="712"/>
      <c r="BL7" s="712"/>
      <c r="BM7" s="712"/>
      <c r="BN7" s="712"/>
      <c r="BO7" s="712"/>
      <c r="BP7" s="712"/>
      <c r="BQ7" s="712"/>
      <c r="BR7" s="712"/>
      <c r="BS7" s="712"/>
      <c r="BT7" s="712"/>
      <c r="BU7" s="712"/>
      <c r="BV7" s="712"/>
      <c r="BW7" s="712"/>
      <c r="BX7" s="712"/>
      <c r="BY7" s="712"/>
      <c r="BZ7" s="712"/>
      <c r="CA7" s="712"/>
      <c r="CB7" s="712"/>
      <c r="CC7" s="712"/>
      <c r="CD7" s="712"/>
      <c r="CE7" s="712"/>
      <c r="CF7" s="712"/>
      <c r="CG7" s="712"/>
      <c r="CH7" s="712"/>
      <c r="CI7" s="712"/>
      <c r="CJ7" s="712"/>
      <c r="CK7" s="712"/>
      <c r="CL7" s="712"/>
      <c r="CM7" s="712"/>
      <c r="CN7" s="712"/>
      <c r="CO7" s="712"/>
      <c r="CP7" s="712"/>
      <c r="CQ7" s="712"/>
      <c r="CR7" s="712"/>
      <c r="CS7" s="712"/>
      <c r="CT7" s="712"/>
      <c r="CU7" s="712"/>
      <c r="CV7" s="712"/>
      <c r="CW7" s="712"/>
      <c r="CX7" s="712"/>
      <c r="CY7" s="712"/>
      <c r="CZ7" s="712"/>
      <c r="DA7" s="712"/>
      <c r="DB7" s="712"/>
      <c r="DC7" s="712"/>
      <c r="DD7" s="712"/>
      <c r="DE7" s="712"/>
      <c r="DF7" s="712"/>
      <c r="DG7" s="712"/>
      <c r="DH7" s="712"/>
      <c r="DI7" s="712"/>
      <c r="DJ7" s="712"/>
      <c r="DK7" s="712"/>
      <c r="DL7" s="712"/>
      <c r="DM7" s="712"/>
      <c r="DN7" s="712"/>
      <c r="DO7" s="712"/>
      <c r="DP7" s="712"/>
      <c r="DQ7" s="712"/>
      <c r="DR7" s="712"/>
      <c r="DS7" s="712"/>
      <c r="DT7" s="712"/>
      <c r="DU7" s="712"/>
      <c r="DV7" s="712"/>
      <c r="DW7" s="712"/>
      <c r="DX7" s="712"/>
      <c r="DY7" s="712"/>
      <c r="DZ7" s="712"/>
      <c r="EA7" s="712"/>
      <c r="EB7" s="712"/>
      <c r="EC7" s="712"/>
      <c r="ED7" s="712"/>
      <c r="EE7" s="712"/>
      <c r="EF7" s="712"/>
      <c r="EG7" s="712"/>
      <c r="EH7" s="712"/>
      <c r="EI7" s="712"/>
      <c r="EJ7" s="712"/>
      <c r="EK7" s="712"/>
      <c r="EL7" s="712"/>
      <c r="EM7" s="712"/>
      <c r="EN7" s="712"/>
      <c r="EO7" s="712"/>
      <c r="EP7" s="712"/>
      <c r="EQ7" s="712"/>
      <c r="ER7" s="712"/>
      <c r="ES7" s="712"/>
      <c r="ET7" s="712"/>
      <c r="EU7" s="712"/>
      <c r="EV7" s="712"/>
      <c r="EW7" s="712"/>
      <c r="EX7" s="712"/>
      <c r="EY7" s="712"/>
      <c r="EZ7" s="712"/>
      <c r="FA7" s="712"/>
      <c r="FB7" s="712"/>
      <c r="FC7" s="712"/>
      <c r="FD7" s="712"/>
      <c r="FE7" s="712"/>
      <c r="FF7" s="712"/>
      <c r="FG7" s="712"/>
      <c r="FH7" s="712"/>
      <c r="FI7" s="712"/>
      <c r="FJ7" s="712"/>
      <c r="FK7" s="712"/>
      <c r="FL7" s="712"/>
      <c r="FM7" s="712"/>
      <c r="FN7" s="712"/>
      <c r="FO7" s="712"/>
      <c r="FP7" s="712"/>
      <c r="FQ7" s="712"/>
      <c r="FR7" s="712"/>
      <c r="FS7" s="712"/>
      <c r="FT7" s="712"/>
      <c r="FU7" s="712"/>
      <c r="FV7" s="712"/>
      <c r="FW7" s="712"/>
      <c r="FX7" s="712"/>
      <c r="FY7" s="712"/>
      <c r="FZ7" s="712"/>
      <c r="GA7" s="712"/>
      <c r="GB7" s="712"/>
      <c r="GC7" s="712"/>
      <c r="GD7" s="712"/>
      <c r="GE7" s="712"/>
      <c r="GF7" s="712"/>
      <c r="GG7" s="712"/>
      <c r="GH7" s="712"/>
      <c r="GI7" s="712"/>
      <c r="GJ7" s="712"/>
      <c r="GK7" s="712"/>
      <c r="GL7" s="712"/>
      <c r="GM7" s="712"/>
      <c r="GN7" s="712"/>
      <c r="GO7" s="712"/>
      <c r="GP7" s="712"/>
      <c r="GQ7" s="712"/>
      <c r="GR7" s="712"/>
      <c r="GS7" s="712"/>
      <c r="GT7" s="712"/>
      <c r="GU7" s="712"/>
      <c r="GV7" s="712"/>
      <c r="GW7" s="712"/>
      <c r="GX7" s="712"/>
      <c r="GY7" s="712"/>
      <c r="GZ7" s="712"/>
      <c r="HA7" s="712"/>
      <c r="HB7" s="712"/>
      <c r="HC7" s="712"/>
      <c r="HD7" s="712"/>
      <c r="HE7" s="712"/>
      <c r="HF7" s="712"/>
      <c r="HG7" s="712"/>
      <c r="HH7" s="712"/>
      <c r="HI7" s="712"/>
      <c r="HJ7" s="712"/>
      <c r="HK7" s="712"/>
      <c r="HL7" s="712"/>
      <c r="HM7" s="712"/>
      <c r="HN7" s="712"/>
      <c r="HO7" s="712"/>
      <c r="HP7" s="712"/>
      <c r="HQ7" s="712"/>
      <c r="HR7" s="712"/>
      <c r="HS7" s="712"/>
      <c r="HT7" s="712"/>
      <c r="HU7" s="712"/>
      <c r="HV7" s="712"/>
      <c r="HW7" s="712"/>
      <c r="HX7" s="712"/>
      <c r="HY7" s="712"/>
      <c r="HZ7" s="712"/>
      <c r="IA7" s="712"/>
      <c r="IB7" s="712"/>
      <c r="IC7" s="712"/>
      <c r="ID7" s="712"/>
      <c r="IE7" s="712"/>
      <c r="IF7" s="712"/>
      <c r="IG7" s="712"/>
      <c r="IH7" s="712"/>
      <c r="II7" s="712"/>
      <c r="IJ7" s="712"/>
      <c r="IK7" s="712"/>
      <c r="IL7" s="712"/>
      <c r="IM7" s="712"/>
      <c r="IN7" s="712"/>
      <c r="IO7" s="712"/>
      <c r="IP7" s="712"/>
      <c r="IQ7" s="712"/>
    </row>
    <row r="8" spans="1:251" ht="16.5" customHeight="1">
      <c r="AE8" s="223"/>
    </row>
    <row r="9" spans="1:251" ht="16.5" customHeight="1">
      <c r="A9" s="713"/>
      <c r="B9" s="421"/>
      <c r="C9" s="421"/>
      <c r="D9" s="421"/>
      <c r="E9" s="421"/>
      <c r="F9" s="421"/>
      <c r="G9" s="421"/>
      <c r="H9" s="501"/>
      <c r="I9" s="501"/>
      <c r="J9" s="501"/>
      <c r="K9" s="421"/>
      <c r="L9" s="421"/>
      <c r="M9" s="421"/>
      <c r="N9" s="421"/>
      <c r="O9" s="421"/>
      <c r="P9" s="421"/>
      <c r="Q9" s="421"/>
      <c r="R9" s="421"/>
      <c r="S9" s="421"/>
      <c r="T9" s="421"/>
      <c r="U9" s="421"/>
      <c r="V9" s="421"/>
      <c r="W9" s="421"/>
      <c r="X9" s="421"/>
      <c r="Y9" s="421"/>
      <c r="Z9" s="421"/>
      <c r="AA9" s="421"/>
      <c r="AB9" s="421"/>
      <c r="AC9" s="421"/>
      <c r="AD9" s="421"/>
      <c r="AE9" s="410"/>
      <c r="AF9" s="2212"/>
      <c r="AG9" s="2212"/>
      <c r="AH9" s="2212"/>
      <c r="AI9" s="2212"/>
    </row>
    <row r="10" spans="1:251" ht="16.5" customHeight="1">
      <c r="A10" s="454"/>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1520"/>
      <c r="AA10" s="3414" t="s">
        <v>1465</v>
      </c>
      <c r="AB10" s="3414"/>
      <c r="AC10" s="3414"/>
      <c r="AD10" s="3414"/>
      <c r="AE10" s="3414"/>
      <c r="AF10" s="3414"/>
      <c r="AG10" s="3414"/>
      <c r="AH10" s="3414"/>
      <c r="AI10" s="3414"/>
    </row>
    <row r="11" spans="1:251" ht="16.5" customHeight="1">
      <c r="A11" s="454"/>
      <c r="B11" s="1519">
        <v>2016</v>
      </c>
      <c r="C11" s="460"/>
      <c r="D11" s="460"/>
      <c r="E11" s="460"/>
      <c r="F11" s="460"/>
      <c r="G11" s="460"/>
      <c r="H11" s="460"/>
      <c r="I11" s="460"/>
      <c r="J11" s="460"/>
      <c r="K11" s="460"/>
      <c r="L11" s="460"/>
      <c r="M11" s="460"/>
      <c r="N11" s="460"/>
      <c r="O11" s="460"/>
      <c r="P11" s="460"/>
      <c r="Q11" s="460"/>
      <c r="R11" s="460"/>
      <c r="S11" s="460"/>
      <c r="T11" s="1519">
        <v>2017</v>
      </c>
      <c r="U11" s="460"/>
      <c r="V11" s="460"/>
      <c r="W11" s="460"/>
      <c r="X11" s="460"/>
      <c r="Y11" s="460"/>
      <c r="Z11" s="1520"/>
      <c r="AA11" s="1520"/>
      <c r="AB11" s="1520"/>
      <c r="AC11" s="1520"/>
      <c r="AD11" s="1520"/>
      <c r="AE11" s="1941"/>
      <c r="AF11" s="2200"/>
      <c r="AG11" s="2214" t="s">
        <v>8</v>
      </c>
      <c r="AH11" s="2214"/>
      <c r="AI11" s="2215" t="s">
        <v>9</v>
      </c>
    </row>
    <row r="12" spans="1:251" ht="16.5" customHeight="1">
      <c r="A12" s="454"/>
      <c r="B12" s="1521" t="s">
        <v>129</v>
      </c>
      <c r="C12" s="460"/>
      <c r="D12" s="1521" t="s">
        <v>130</v>
      </c>
      <c r="E12" s="460"/>
      <c r="F12" s="1521" t="s">
        <v>131</v>
      </c>
      <c r="G12" s="460"/>
      <c r="H12" s="1521" t="s">
        <v>132</v>
      </c>
      <c r="I12" s="460"/>
      <c r="J12" s="1521" t="s">
        <v>133</v>
      </c>
      <c r="K12" s="460"/>
      <c r="L12" s="1519" t="s">
        <v>148</v>
      </c>
      <c r="M12" s="460"/>
      <c r="N12" s="1519" t="s">
        <v>149</v>
      </c>
      <c r="O12" s="460"/>
      <c r="P12" s="1521" t="s">
        <v>136</v>
      </c>
      <c r="Q12" s="460"/>
      <c r="R12" s="1521" t="s">
        <v>137</v>
      </c>
      <c r="S12" s="460"/>
      <c r="T12" s="1521" t="s">
        <v>138</v>
      </c>
      <c r="U12" s="460"/>
      <c r="V12" s="1521" t="s">
        <v>139</v>
      </c>
      <c r="W12" s="460"/>
      <c r="X12" s="1519" t="s">
        <v>192</v>
      </c>
      <c r="Y12" s="460"/>
      <c r="Z12" s="460"/>
      <c r="AA12" s="1521">
        <v>2016</v>
      </c>
      <c r="AB12" s="460" t="s">
        <v>16</v>
      </c>
      <c r="AC12" s="460"/>
      <c r="AD12" s="1521">
        <v>2015</v>
      </c>
      <c r="AE12" s="1703"/>
      <c r="AF12" s="2236"/>
      <c r="AG12" s="2216" t="s">
        <v>13</v>
      </c>
      <c r="AH12" s="2217"/>
      <c r="AI12" s="2216" t="s">
        <v>14</v>
      </c>
    </row>
    <row r="13" spans="1:251" ht="4.5" customHeight="1">
      <c r="A13" s="454"/>
      <c r="B13" s="714"/>
      <c r="C13" s="454"/>
      <c r="D13" s="714"/>
      <c r="E13" s="454"/>
      <c r="F13" s="714"/>
      <c r="G13" s="454"/>
      <c r="H13" s="714"/>
      <c r="I13" s="454"/>
      <c r="J13" s="714"/>
      <c r="K13" s="454"/>
      <c r="L13" s="714"/>
      <c r="M13" s="454"/>
      <c r="N13" s="714"/>
      <c r="O13" s="454"/>
      <c r="P13" s="714"/>
      <c r="Q13" s="454"/>
      <c r="R13" s="714"/>
      <c r="S13" s="454"/>
      <c r="T13" s="714"/>
      <c r="U13" s="454"/>
      <c r="V13" s="714"/>
      <c r="W13" s="454"/>
      <c r="X13" s="714"/>
      <c r="Y13" s="454"/>
      <c r="Z13" s="454"/>
      <c r="AA13" s="714"/>
      <c r="AB13" s="454"/>
      <c r="AC13" s="454"/>
      <c r="AD13" s="714"/>
      <c r="AE13" s="1942"/>
      <c r="AF13" s="2239"/>
    </row>
    <row r="14" spans="1:251" ht="16.5" customHeight="1">
      <c r="A14" s="640" t="s">
        <v>141</v>
      </c>
      <c r="B14" s="715">
        <v>-127.2</v>
      </c>
      <c r="C14" s="715"/>
      <c r="D14" s="715"/>
      <c r="E14" s="715"/>
      <c r="F14" s="715"/>
      <c r="G14" s="715"/>
      <c r="H14" s="715"/>
      <c r="I14" s="715"/>
      <c r="J14" s="715"/>
      <c r="K14" s="715"/>
      <c r="L14" s="715"/>
      <c r="M14" s="715"/>
      <c r="N14" s="715"/>
      <c r="O14" s="715"/>
      <c r="P14" s="715"/>
      <c r="Q14" s="715"/>
      <c r="R14" s="715"/>
      <c r="S14" s="715"/>
      <c r="T14" s="715"/>
      <c r="U14" s="715"/>
      <c r="V14" s="715"/>
      <c r="W14" s="715"/>
      <c r="X14" s="715"/>
      <c r="Y14" s="715"/>
      <c r="Z14" s="716"/>
      <c r="AA14" s="715">
        <f>B14</f>
        <v>-127.2</v>
      </c>
      <c r="AB14" s="717"/>
      <c r="AC14" s="718"/>
      <c r="AD14" s="715">
        <v>-196.7</v>
      </c>
      <c r="AE14" s="719"/>
      <c r="AF14" s="2240"/>
      <c r="AG14" s="2218">
        <f>ROUND(SUM(AA14-AD14),1)</f>
        <v>69.5</v>
      </c>
      <c r="AI14" s="2616">
        <f>-ROUND(IF(AG14=0,0,AG14/(AD14)),3)</f>
        <v>0.35299999999999998</v>
      </c>
    </row>
    <row r="15" spans="1:251" ht="16.5" customHeight="1">
      <c r="A15" s="351"/>
      <c r="B15" s="719"/>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20"/>
      <c r="AA15" s="719"/>
      <c r="AB15" s="721"/>
      <c r="AC15" s="722"/>
      <c r="AD15" s="719"/>
      <c r="AE15" s="719"/>
      <c r="AF15" s="2240"/>
      <c r="AG15" s="2220"/>
      <c r="AI15" s="2211"/>
    </row>
    <row r="16" spans="1:251" ht="16.5" customHeight="1">
      <c r="A16" s="460" t="s">
        <v>15</v>
      </c>
      <c r="B16" s="719"/>
      <c r="C16" s="719"/>
      <c r="D16" s="719"/>
      <c r="E16" s="719"/>
      <c r="F16" s="719"/>
      <c r="G16" s="719"/>
      <c r="H16" s="719"/>
      <c r="I16" s="719"/>
      <c r="J16" s="719"/>
      <c r="K16" s="719"/>
      <c r="L16" s="719"/>
      <c r="M16" s="719"/>
      <c r="N16" s="719"/>
      <c r="O16" s="719"/>
      <c r="P16" s="719"/>
      <c r="Q16" s="719"/>
      <c r="R16" s="719"/>
      <c r="S16" s="719"/>
      <c r="T16" s="719"/>
      <c r="U16" s="719"/>
      <c r="V16" s="719"/>
      <c r="W16" s="719"/>
      <c r="X16" s="719"/>
      <c r="Y16" s="719"/>
      <c r="Z16" s="720"/>
      <c r="AA16" s="719"/>
      <c r="AB16" s="721"/>
      <c r="AC16" s="722"/>
      <c r="AD16" s="719"/>
      <c r="AE16" s="1731"/>
      <c r="AF16" s="2203"/>
      <c r="AG16" s="2224"/>
      <c r="AI16" s="2228"/>
    </row>
    <row r="17" spans="1:35" ht="16.5" customHeight="1">
      <c r="A17" s="351" t="s">
        <v>185</v>
      </c>
      <c r="B17" s="441">
        <v>17.5</v>
      </c>
      <c r="C17" s="441"/>
      <c r="D17" s="723"/>
      <c r="E17" s="441"/>
      <c r="F17" s="723"/>
      <c r="G17" s="441"/>
      <c r="H17" s="723"/>
      <c r="I17" s="441"/>
      <c r="J17" s="723"/>
      <c r="K17" s="441"/>
      <c r="L17" s="723"/>
      <c r="M17" s="441"/>
      <c r="N17" s="723"/>
      <c r="O17" s="441"/>
      <c r="P17" s="723"/>
      <c r="Q17" s="441"/>
      <c r="R17" s="723"/>
      <c r="S17" s="441"/>
      <c r="T17" s="723"/>
      <c r="U17" s="441"/>
      <c r="V17" s="692"/>
      <c r="W17" s="441"/>
      <c r="X17" s="692"/>
      <c r="Y17" s="441"/>
      <c r="Z17" s="724"/>
      <c r="AA17" s="441">
        <f>ROUND(SUM(B17:X17),1)</f>
        <v>17.5</v>
      </c>
      <c r="AB17" s="725"/>
      <c r="AC17" s="448"/>
      <c r="AD17" s="441">
        <v>16</v>
      </c>
      <c r="AE17" s="1733"/>
      <c r="AF17" s="2203"/>
      <c r="AG17" s="2231">
        <f>ROUND(SUM(AA17-AD17),1)</f>
        <v>1.5</v>
      </c>
      <c r="AI17" s="2232">
        <f>ROUND(IF(AG17=0,0,AG17/ABS(AD17)),3)</f>
        <v>9.4E-2</v>
      </c>
    </row>
    <row r="18" spans="1:35" ht="16.5" customHeight="1">
      <c r="A18" s="351"/>
      <c r="B18" s="726"/>
      <c r="C18" s="441"/>
      <c r="D18" s="726"/>
      <c r="E18" s="441"/>
      <c r="F18" s="726"/>
      <c r="G18" s="441"/>
      <c r="H18" s="726"/>
      <c r="I18" s="441"/>
      <c r="J18" s="726"/>
      <c r="K18" s="441"/>
      <c r="L18" s="726"/>
      <c r="M18" s="441"/>
      <c r="N18" s="726"/>
      <c r="O18" s="441"/>
      <c r="P18" s="726"/>
      <c r="Q18" s="441"/>
      <c r="R18" s="726"/>
      <c r="S18" s="441"/>
      <c r="T18" s="726"/>
      <c r="U18" s="441"/>
      <c r="V18" s="726"/>
      <c r="W18" s="441"/>
      <c r="X18" s="726"/>
      <c r="Y18" s="441"/>
      <c r="Z18" s="724"/>
      <c r="AA18" s="726"/>
      <c r="AB18" s="725"/>
      <c r="AC18" s="448"/>
      <c r="AD18" s="726"/>
      <c r="AE18" s="448"/>
      <c r="AF18" s="2203"/>
      <c r="AG18" s="2224"/>
      <c r="AI18" s="2211"/>
    </row>
    <row r="19" spans="1:35" ht="16.5" customHeight="1">
      <c r="A19" s="460" t="s">
        <v>156</v>
      </c>
      <c r="B19" s="727">
        <f>ROUND(SUM(B17),1)</f>
        <v>17.5</v>
      </c>
      <c r="C19" s="727"/>
      <c r="D19" s="727">
        <f>ROUND(SUM(D17),1)</f>
        <v>0</v>
      </c>
      <c r="E19" s="727"/>
      <c r="F19" s="727">
        <f>ROUND(SUM(F17),1)</f>
        <v>0</v>
      </c>
      <c r="G19" s="727"/>
      <c r="H19" s="727">
        <f>ROUND(SUM(H17),1)</f>
        <v>0</v>
      </c>
      <c r="I19" s="727"/>
      <c r="J19" s="727">
        <f>ROUND(SUM(J17),1)</f>
        <v>0</v>
      </c>
      <c r="K19" s="727"/>
      <c r="L19" s="727">
        <f>ROUND(SUM(L17),1)</f>
        <v>0</v>
      </c>
      <c r="M19" s="727"/>
      <c r="N19" s="727">
        <f>ROUND(SUM(N17),1)</f>
        <v>0</v>
      </c>
      <c r="O19" s="727"/>
      <c r="P19" s="727">
        <f>ROUND(SUM(P17),1)</f>
        <v>0</v>
      </c>
      <c r="Q19" s="727"/>
      <c r="R19" s="727">
        <f>ROUND(SUM(R17),1)</f>
        <v>0</v>
      </c>
      <c r="S19" s="727"/>
      <c r="T19" s="727">
        <f>ROUND(SUM(T17),1)</f>
        <v>0</v>
      </c>
      <c r="U19" s="727"/>
      <c r="V19" s="727">
        <f>ROUND(SUM(V17),1)</f>
        <v>0</v>
      </c>
      <c r="W19" s="727"/>
      <c r="X19" s="727">
        <f>ROUND(SUM(X17),1)</f>
        <v>0</v>
      </c>
      <c r="Y19" s="727"/>
      <c r="Z19" s="728"/>
      <c r="AA19" s="727">
        <f>ROUND(SUM(AA17),1)</f>
        <v>17.5</v>
      </c>
      <c r="AB19" s="729"/>
      <c r="AC19" s="730"/>
      <c r="AD19" s="727">
        <f>ROUND(SUM(AD17),1)</f>
        <v>16</v>
      </c>
      <c r="AE19" s="441"/>
      <c r="AF19" s="2203"/>
      <c r="AG19" s="2225">
        <f>ROUND(SUM(AG17),1)</f>
        <v>1.5</v>
      </c>
      <c r="AH19" s="2226"/>
      <c r="AI19" s="2227">
        <f>ROUND(IF(AG19=0,0,AG19/ABS(AD19)),3)</f>
        <v>9.4E-2</v>
      </c>
    </row>
    <row r="20" spans="1:35" ht="16.5" customHeight="1">
      <c r="A20" s="351"/>
      <c r="B20" s="726"/>
      <c r="C20" s="441"/>
      <c r="D20" s="726"/>
      <c r="E20" s="441"/>
      <c r="F20" s="726"/>
      <c r="G20" s="441"/>
      <c r="H20" s="726"/>
      <c r="I20" s="441"/>
      <c r="J20" s="726"/>
      <c r="K20" s="441"/>
      <c r="L20" s="726"/>
      <c r="M20" s="441"/>
      <c r="N20" s="726"/>
      <c r="O20" s="441"/>
      <c r="P20" s="726"/>
      <c r="Q20" s="441"/>
      <c r="R20" s="726"/>
      <c r="S20" s="441"/>
      <c r="T20" s="726"/>
      <c r="U20" s="441"/>
      <c r="V20" s="726"/>
      <c r="W20" s="441"/>
      <c r="X20" s="726"/>
      <c r="Y20" s="441"/>
      <c r="Z20" s="724"/>
      <c r="AA20" s="726"/>
      <c r="AB20" s="725"/>
      <c r="AC20" s="448"/>
      <c r="AD20" s="726"/>
      <c r="AE20" s="441"/>
      <c r="AF20" s="2203"/>
      <c r="AG20" s="2224"/>
      <c r="AI20" s="2211"/>
    </row>
    <row r="21" spans="1:35" ht="16.5" customHeight="1">
      <c r="A21" s="351"/>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724"/>
      <c r="AA21" s="441"/>
      <c r="AB21" s="725"/>
      <c r="AC21" s="448"/>
      <c r="AD21" s="441"/>
      <c r="AE21" s="443"/>
      <c r="AF21" s="2204"/>
      <c r="AG21" s="2224"/>
      <c r="AI21" s="2211"/>
    </row>
    <row r="22" spans="1:35" ht="16.5" customHeight="1">
      <c r="A22" s="351"/>
      <c r="B22" s="441"/>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724"/>
      <c r="AA22" s="441"/>
      <c r="AB22" s="725"/>
      <c r="AC22" s="448"/>
      <c r="AD22" s="441"/>
      <c r="AE22" s="692"/>
      <c r="AF22" s="2204"/>
      <c r="AG22" s="2224"/>
      <c r="AI22" s="2228"/>
    </row>
    <row r="23" spans="1:35" ht="16.5" customHeight="1">
      <c r="A23" s="460" t="s">
        <v>24</v>
      </c>
      <c r="B23" s="441"/>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724"/>
      <c r="AA23" s="441"/>
      <c r="AB23" s="725"/>
      <c r="AC23" s="448"/>
      <c r="AD23" s="441"/>
      <c r="AE23" s="443"/>
      <c r="AF23" s="2204"/>
      <c r="AG23" s="2224"/>
      <c r="AH23" s="2229"/>
      <c r="AI23" s="2228"/>
    </row>
    <row r="24" spans="1:35" ht="16.5" customHeight="1">
      <c r="A24" s="351" t="s">
        <v>158</v>
      </c>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724"/>
      <c r="AA24" s="441"/>
      <c r="AB24" s="725"/>
      <c r="AC24" s="448"/>
      <c r="AD24" s="443"/>
      <c r="AE24" s="1753"/>
      <c r="AF24" s="2204"/>
      <c r="AG24" s="2224"/>
      <c r="AI24" s="2228"/>
    </row>
    <row r="25" spans="1:35" ht="16.5" customHeight="1">
      <c r="A25" s="351" t="s">
        <v>226</v>
      </c>
      <c r="B25" s="441">
        <v>7.4</v>
      </c>
      <c r="C25" s="441"/>
      <c r="D25" s="723"/>
      <c r="E25" s="441"/>
      <c r="F25" s="723"/>
      <c r="G25" s="441"/>
      <c r="H25" s="723"/>
      <c r="I25" s="441"/>
      <c r="J25" s="723"/>
      <c r="K25" s="441"/>
      <c r="L25" s="723"/>
      <c r="M25" s="441"/>
      <c r="N25" s="723"/>
      <c r="O25" s="441"/>
      <c r="P25" s="723"/>
      <c r="Q25" s="441"/>
      <c r="R25" s="723"/>
      <c r="S25" s="441"/>
      <c r="T25" s="723"/>
      <c r="U25" s="441"/>
      <c r="V25" s="692"/>
      <c r="W25" s="441"/>
      <c r="X25" s="692"/>
      <c r="Y25" s="441"/>
      <c r="Z25" s="724"/>
      <c r="AA25" s="3183">
        <f>ROUND(SUM(B25:X25),1)</f>
        <v>7.4</v>
      </c>
      <c r="AB25" s="725"/>
      <c r="AC25" s="448"/>
      <c r="AD25" s="441">
        <v>7.4</v>
      </c>
      <c r="AE25" s="1754"/>
      <c r="AF25" s="2204"/>
      <c r="AG25" s="2224">
        <f>ROUND(SUM(AA25-AD25),1)</f>
        <v>0</v>
      </c>
      <c r="AI25" s="2230">
        <f>ROUND(IF(AG25=0,0,AG25/ABS(AD25)),3)</f>
        <v>0</v>
      </c>
    </row>
    <row r="26" spans="1:35" ht="16.5" customHeight="1">
      <c r="A26" s="351" t="s">
        <v>186</v>
      </c>
      <c r="B26" s="441">
        <v>79.5</v>
      </c>
      <c r="C26" s="441"/>
      <c r="D26" s="723"/>
      <c r="E26" s="441"/>
      <c r="F26" s="723"/>
      <c r="G26" s="441"/>
      <c r="H26" s="723"/>
      <c r="I26" s="441"/>
      <c r="J26" s="723"/>
      <c r="K26" s="441"/>
      <c r="L26" s="723"/>
      <c r="M26" s="441"/>
      <c r="N26" s="723"/>
      <c r="O26" s="441"/>
      <c r="P26" s="723"/>
      <c r="Q26" s="441"/>
      <c r="R26" s="723"/>
      <c r="S26" s="441"/>
      <c r="T26" s="723"/>
      <c r="U26" s="441"/>
      <c r="V26" s="692"/>
      <c r="W26" s="441"/>
      <c r="X26" s="692"/>
      <c r="Y26" s="441"/>
      <c r="Z26" s="724"/>
      <c r="AA26" s="3183">
        <f>ROUND(SUM(B26:X26),1)</f>
        <v>79.5</v>
      </c>
      <c r="AB26" s="725"/>
      <c r="AC26" s="448"/>
      <c r="AD26" s="441">
        <v>39.799999999999997</v>
      </c>
      <c r="AE26" s="448"/>
      <c r="AF26" s="2203"/>
      <c r="AG26" s="2224">
        <f>ROUND(SUM(AA26-AD26),1)</f>
        <v>39.700000000000003</v>
      </c>
      <c r="AI26" s="2230">
        <f>ROUND(IF(AG26=0,0,AG26/ABS(AD26)),3)</f>
        <v>0.997</v>
      </c>
    </row>
    <row r="27" spans="1:35" ht="16.5" customHeight="1">
      <c r="A27" s="351" t="s">
        <v>161</v>
      </c>
      <c r="B27" s="441">
        <v>0</v>
      </c>
      <c r="C27" s="441"/>
      <c r="D27" s="723"/>
      <c r="E27" s="441"/>
      <c r="F27" s="723"/>
      <c r="G27" s="441"/>
      <c r="H27" s="443"/>
      <c r="I27" s="441"/>
      <c r="J27" s="723"/>
      <c r="K27" s="441"/>
      <c r="L27" s="723"/>
      <c r="M27" s="441"/>
      <c r="N27" s="723"/>
      <c r="O27" s="441"/>
      <c r="P27" s="723"/>
      <c r="Q27" s="441"/>
      <c r="R27" s="443"/>
      <c r="S27" s="441"/>
      <c r="T27" s="723"/>
      <c r="U27" s="441"/>
      <c r="V27" s="692"/>
      <c r="W27" s="441"/>
      <c r="X27" s="692"/>
      <c r="Y27" s="441"/>
      <c r="Z27" s="724"/>
      <c r="AA27" s="3183">
        <f>ROUND(SUM(B27:X27),1)</f>
        <v>0</v>
      </c>
      <c r="AB27" s="725"/>
      <c r="AC27" s="448"/>
      <c r="AD27" s="692">
        <v>1</v>
      </c>
      <c r="AE27" s="441"/>
      <c r="AF27" s="2203"/>
      <c r="AG27" s="2231">
        <f>ROUND(SUM(AA27-AD27),1)</f>
        <v>-1</v>
      </c>
      <c r="AI27" s="2232">
        <f>ROUND(IF(AG27=0,0,AG27/ABS(AD27)),3)</f>
        <v>-1</v>
      </c>
    </row>
    <row r="28" spans="1:35" ht="16.5" customHeight="1">
      <c r="A28" s="351"/>
      <c r="B28" s="726"/>
      <c r="C28" s="441"/>
      <c r="D28" s="726"/>
      <c r="E28" s="441"/>
      <c r="F28" s="726"/>
      <c r="G28" s="441"/>
      <c r="H28" s="726"/>
      <c r="I28" s="441"/>
      <c r="J28" s="726"/>
      <c r="K28" s="441"/>
      <c r="L28" s="726"/>
      <c r="M28" s="441"/>
      <c r="N28" s="726"/>
      <c r="O28" s="441"/>
      <c r="P28" s="726"/>
      <c r="Q28" s="441"/>
      <c r="R28" s="726"/>
      <c r="S28" s="441"/>
      <c r="T28" s="726"/>
      <c r="U28" s="441"/>
      <c r="V28" s="726"/>
      <c r="W28" s="441"/>
      <c r="X28" s="726"/>
      <c r="Y28" s="441"/>
      <c r="Z28" s="724"/>
      <c r="AA28" s="3184"/>
      <c r="AB28" s="725"/>
      <c r="AC28" s="448"/>
      <c r="AD28" s="726"/>
      <c r="AE28" s="1743"/>
      <c r="AF28" s="2204"/>
      <c r="AG28" s="2224"/>
      <c r="AH28" s="2233"/>
      <c r="AI28" s="2228"/>
    </row>
    <row r="29" spans="1:35" ht="16.5" customHeight="1">
      <c r="A29" s="460" t="s">
        <v>162</v>
      </c>
      <c r="B29" s="727">
        <f>ROUND(SUM(B25:B28),1)</f>
        <v>86.9</v>
      </c>
      <c r="C29" s="727"/>
      <c r="D29" s="727">
        <f>ROUND(SUM(D25:D28),1)</f>
        <v>0</v>
      </c>
      <c r="E29" s="727"/>
      <c r="F29" s="727">
        <f>ROUND(SUM(F25:F28),1)</f>
        <v>0</v>
      </c>
      <c r="G29" s="727"/>
      <c r="H29" s="727">
        <f>ROUND(SUM(H25:H28),1)</f>
        <v>0</v>
      </c>
      <c r="I29" s="727"/>
      <c r="J29" s="727">
        <f>ROUND(SUM(J25:J28),1)</f>
        <v>0</v>
      </c>
      <c r="K29" s="727"/>
      <c r="L29" s="727">
        <f>ROUND(SUM(L25:L28),1)</f>
        <v>0</v>
      </c>
      <c r="M29" s="727"/>
      <c r="N29" s="727">
        <f>ROUND(SUM(N25:N28),1)</f>
        <v>0</v>
      </c>
      <c r="O29" s="727"/>
      <c r="P29" s="727">
        <f>ROUND(SUM(P25:P28),1)</f>
        <v>0</v>
      </c>
      <c r="Q29" s="727"/>
      <c r="R29" s="727">
        <f>ROUND(SUM(R25:R28),1)</f>
        <v>0</v>
      </c>
      <c r="S29" s="727"/>
      <c r="T29" s="727">
        <f>ROUND(SUM(T25:T28),1)</f>
        <v>0</v>
      </c>
      <c r="U29" s="727"/>
      <c r="V29" s="727">
        <f>ROUND(SUM(V25:V28),1)</f>
        <v>0</v>
      </c>
      <c r="W29" s="727">
        <f>SUM(W25:W28)</f>
        <v>0</v>
      </c>
      <c r="X29" s="727">
        <f>ROUND(SUM(X25:X27),1)</f>
        <v>0</v>
      </c>
      <c r="Y29" s="727"/>
      <c r="Z29" s="728"/>
      <c r="AA29" s="3185">
        <f>ROUND(SUM(AA24:AA27),1)</f>
        <v>86.9</v>
      </c>
      <c r="AB29" s="729"/>
      <c r="AC29" s="730"/>
      <c r="AD29" s="727">
        <f>ROUND(SUM(AD24:AD27),1)</f>
        <v>48.2</v>
      </c>
      <c r="AE29" s="448"/>
      <c r="AF29" s="2205"/>
      <c r="AG29" s="2225">
        <f>ROUND(SUM(AG25:AG27),1)</f>
        <v>38.700000000000003</v>
      </c>
      <c r="AH29" s="2226"/>
      <c r="AI29" s="2227">
        <f>ROUND(IF(AG29=0,0,AG29/ABS(AD29)),3)</f>
        <v>0.80300000000000005</v>
      </c>
    </row>
    <row r="30" spans="1:35" ht="16.5" customHeight="1">
      <c r="A30" s="351"/>
      <c r="B30" s="726"/>
      <c r="C30" s="441"/>
      <c r="D30" s="726"/>
      <c r="E30" s="441"/>
      <c r="F30" s="726"/>
      <c r="G30" s="441"/>
      <c r="H30" s="726"/>
      <c r="I30" s="441"/>
      <c r="J30" s="726"/>
      <c r="K30" s="441"/>
      <c r="L30" s="726"/>
      <c r="M30" s="441"/>
      <c r="N30" s="726"/>
      <c r="O30" s="441"/>
      <c r="P30" s="726"/>
      <c r="Q30" s="441"/>
      <c r="R30" s="726"/>
      <c r="S30" s="441"/>
      <c r="T30" s="726"/>
      <c r="U30" s="441"/>
      <c r="V30" s="726"/>
      <c r="W30" s="441"/>
      <c r="X30" s="726"/>
      <c r="Y30" s="441"/>
      <c r="Z30" s="724"/>
      <c r="AA30" s="3184"/>
      <c r="AB30" s="725"/>
      <c r="AC30" s="448"/>
      <c r="AD30" s="726"/>
      <c r="AE30" s="441"/>
      <c r="AF30" s="2205"/>
      <c r="AG30" s="2224"/>
      <c r="AI30" s="2211"/>
    </row>
    <row r="31" spans="1:35" ht="16.5" customHeight="1">
      <c r="A31" s="351"/>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724"/>
      <c r="AA31" s="3183"/>
      <c r="AB31" s="725"/>
      <c r="AC31" s="448"/>
      <c r="AD31" s="441"/>
      <c r="AE31" s="443"/>
      <c r="AF31" s="2206"/>
      <c r="AG31" s="2224"/>
      <c r="AH31" s="2229"/>
      <c r="AI31" s="2228"/>
    </row>
    <row r="32" spans="1:35" ht="16.5" customHeight="1">
      <c r="A32" s="351"/>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724"/>
      <c r="AA32" s="3183"/>
      <c r="AB32" s="725"/>
      <c r="AC32" s="448"/>
      <c r="AD32" s="441"/>
      <c r="AE32" s="443"/>
      <c r="AF32" s="2205"/>
      <c r="AG32" s="2224"/>
      <c r="AH32" s="2229"/>
      <c r="AI32" s="2228"/>
    </row>
    <row r="33" spans="1:35" ht="16.5" customHeight="1">
      <c r="A33" s="460" t="s">
        <v>163</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724"/>
      <c r="AA33" s="3183"/>
      <c r="AB33" s="725"/>
      <c r="AC33" s="448"/>
      <c r="AD33" s="441"/>
      <c r="AE33" s="1759"/>
      <c r="AF33" s="2206"/>
      <c r="AG33" s="2224"/>
      <c r="AH33" s="2229"/>
      <c r="AI33" s="2228"/>
    </row>
    <row r="34" spans="1:35" ht="16.5" customHeight="1">
      <c r="A34" s="460" t="s">
        <v>46</v>
      </c>
      <c r="B34" s="727">
        <f>ROUND(B19-B29,1)</f>
        <v>-69.400000000000006</v>
      </c>
      <c r="C34" s="727"/>
      <c r="D34" s="727">
        <f>ROUND(D19-D29,1)</f>
        <v>0</v>
      </c>
      <c r="E34" s="727"/>
      <c r="F34" s="727">
        <f>ROUND(F19-F29,1)</f>
        <v>0</v>
      </c>
      <c r="G34" s="727"/>
      <c r="H34" s="727">
        <f>ROUND(H19-H29,1)</f>
        <v>0</v>
      </c>
      <c r="I34" s="727"/>
      <c r="J34" s="727">
        <f>ROUND(J19-J29,1)</f>
        <v>0</v>
      </c>
      <c r="K34" s="727"/>
      <c r="L34" s="727">
        <f>ROUND(L19-L29,1)</f>
        <v>0</v>
      </c>
      <c r="M34" s="727"/>
      <c r="N34" s="727">
        <f>ROUND(N19-N29,1)</f>
        <v>0</v>
      </c>
      <c r="O34" s="727"/>
      <c r="P34" s="727">
        <f>ROUND(P19-P29,1)</f>
        <v>0</v>
      </c>
      <c r="Q34" s="727"/>
      <c r="R34" s="727">
        <f>ROUND(R19-R29,1)</f>
        <v>0</v>
      </c>
      <c r="S34" s="727"/>
      <c r="T34" s="727">
        <f>ROUND(T19-T29,1)</f>
        <v>0</v>
      </c>
      <c r="U34" s="727"/>
      <c r="V34" s="727">
        <f>ROUND(V19-V29,1)</f>
        <v>0</v>
      </c>
      <c r="W34" s="727"/>
      <c r="X34" s="727">
        <f>ROUND(X19-X29,1)</f>
        <v>0</v>
      </c>
      <c r="Y34" s="727"/>
      <c r="Z34" s="728"/>
      <c r="AA34" s="3185">
        <f>ROUND(AA19-AA29,1)</f>
        <v>-69.400000000000006</v>
      </c>
      <c r="AB34" s="729"/>
      <c r="AC34" s="730"/>
      <c r="AD34" s="727">
        <f>ROUND(AD19-AD29,1)</f>
        <v>-32.200000000000003</v>
      </c>
      <c r="AE34" s="448"/>
      <c r="AF34" s="2203"/>
      <c r="AG34" s="2225">
        <f>ROUND(SUM(AG19-AG29),1)</f>
        <v>-37.200000000000003</v>
      </c>
      <c r="AH34" s="2226"/>
      <c r="AI34" s="2227">
        <f>ROUND(IF(AG34=0,0,AG34/ABS(AD34)),3)</f>
        <v>-1.155</v>
      </c>
    </row>
    <row r="35" spans="1:35" ht="16.5" customHeight="1">
      <c r="A35" s="351"/>
      <c r="B35" s="726"/>
      <c r="C35" s="441"/>
      <c r="D35" s="726"/>
      <c r="E35" s="441"/>
      <c r="F35" s="726"/>
      <c r="G35" s="441"/>
      <c r="H35" s="726"/>
      <c r="I35" s="441"/>
      <c r="J35" s="726"/>
      <c r="K35" s="441"/>
      <c r="L35" s="726"/>
      <c r="M35" s="441"/>
      <c r="N35" s="726"/>
      <c r="O35" s="441"/>
      <c r="P35" s="726"/>
      <c r="Q35" s="441"/>
      <c r="R35" s="726"/>
      <c r="S35" s="441"/>
      <c r="T35" s="726"/>
      <c r="U35" s="441"/>
      <c r="V35" s="726"/>
      <c r="W35" s="441"/>
      <c r="X35" s="726"/>
      <c r="Y35" s="441"/>
      <c r="Z35" s="724"/>
      <c r="AA35" s="3184"/>
      <c r="AB35" s="725"/>
      <c r="AC35" s="448"/>
      <c r="AD35" s="726"/>
      <c r="AE35" s="441"/>
      <c r="AF35" s="2203"/>
      <c r="AG35" s="2224"/>
      <c r="AI35" s="2211"/>
    </row>
    <row r="36" spans="1:35" ht="16.5" customHeight="1">
      <c r="A36" s="351"/>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724"/>
      <c r="AA36" s="3183"/>
      <c r="AB36" s="725"/>
      <c r="AC36" s="448"/>
      <c r="AD36" s="441"/>
      <c r="AE36" s="733"/>
      <c r="AF36" s="2207"/>
      <c r="AG36" s="2224"/>
      <c r="AI36" s="2211"/>
    </row>
    <row r="37" spans="1:35" ht="16.5" customHeight="1">
      <c r="A37" s="351"/>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724"/>
      <c r="AA37" s="3183"/>
      <c r="AB37" s="725"/>
      <c r="AC37" s="448"/>
      <c r="AD37" s="441"/>
      <c r="AE37" s="1743"/>
      <c r="AF37" s="2208"/>
      <c r="AG37" s="2224"/>
      <c r="AI37" s="2228"/>
    </row>
    <row r="38" spans="1:35" ht="16.5" customHeight="1">
      <c r="A38" s="460" t="s">
        <v>47</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724"/>
      <c r="AA38" s="3183"/>
      <c r="AB38" s="725"/>
      <c r="AC38" s="448"/>
      <c r="AD38" s="441"/>
      <c r="AE38" s="718"/>
      <c r="AF38" s="2209"/>
      <c r="AG38" s="2234"/>
      <c r="AH38" s="2235"/>
      <c r="AI38" s="2228"/>
    </row>
    <row r="39" spans="1:35" ht="16.5" customHeight="1">
      <c r="A39" s="351" t="s">
        <v>188</v>
      </c>
      <c r="B39" s="692">
        <v>5.3</v>
      </c>
      <c r="C39" s="441"/>
      <c r="D39" s="723"/>
      <c r="E39" s="441"/>
      <c r="F39" s="723"/>
      <c r="G39" s="441"/>
      <c r="H39" s="723"/>
      <c r="I39" s="441"/>
      <c r="J39" s="723"/>
      <c r="K39" s="441"/>
      <c r="L39" s="723"/>
      <c r="M39" s="441"/>
      <c r="N39" s="3206"/>
      <c r="O39" s="441"/>
      <c r="P39" s="723"/>
      <c r="Q39" s="441"/>
      <c r="R39" s="723"/>
      <c r="S39" s="441"/>
      <c r="T39" s="723"/>
      <c r="U39" s="441"/>
      <c r="V39" s="692"/>
      <c r="W39" s="441"/>
      <c r="X39" s="692"/>
      <c r="Y39" s="441"/>
      <c r="Z39" s="724"/>
      <c r="AA39" s="3183">
        <f>ROUND(SUM(B39:X39),1)</f>
        <v>5.3</v>
      </c>
      <c r="AB39" s="725"/>
      <c r="AC39" s="448"/>
      <c r="AD39" s="731">
        <v>3</v>
      </c>
      <c r="AE39" s="1750"/>
      <c r="AF39" s="2207"/>
      <c r="AG39" s="2224">
        <f>ROUND(SUM(AA39-AD39),1)</f>
        <v>2.2999999999999998</v>
      </c>
      <c r="AH39" s="2229"/>
      <c r="AI39" s="2230">
        <f>ROUND(IF(AG39=0,0,AG39/ABS(AD39)),3)</f>
        <v>0.76700000000000002</v>
      </c>
    </row>
    <row r="40" spans="1:35" ht="16.5" customHeight="1">
      <c r="A40" s="351" t="s">
        <v>189</v>
      </c>
      <c r="B40" s="449">
        <v>0</v>
      </c>
      <c r="C40" s="441"/>
      <c r="D40" s="443"/>
      <c r="E40" s="441"/>
      <c r="F40" s="443"/>
      <c r="G40" s="441"/>
      <c r="H40" s="692"/>
      <c r="I40" s="441"/>
      <c r="J40" s="443"/>
      <c r="K40" s="441"/>
      <c r="L40" s="723"/>
      <c r="M40" s="441"/>
      <c r="N40" s="443"/>
      <c r="O40" s="441"/>
      <c r="P40" s="443"/>
      <c r="Q40" s="441"/>
      <c r="R40" s="443"/>
      <c r="S40" s="441"/>
      <c r="T40" s="443"/>
      <c r="U40" s="441"/>
      <c r="V40" s="723"/>
      <c r="W40" s="441"/>
      <c r="X40" s="692"/>
      <c r="Y40" s="441"/>
      <c r="Z40" s="724"/>
      <c r="AA40" s="3183">
        <f>ROUND(SUM(B40:X40),1)</f>
        <v>0</v>
      </c>
      <c r="AB40" s="725"/>
      <c r="AC40" s="448"/>
      <c r="AD40" s="441">
        <v>0</v>
      </c>
      <c r="AE40" s="253"/>
      <c r="AF40" s="2207"/>
      <c r="AG40" s="2231">
        <f>-ROUND(SUM(AA40-AD40),1)</f>
        <v>0</v>
      </c>
      <c r="AH40" s="2229"/>
      <c r="AI40" s="2577">
        <f>ROUND(IF(AG40=0,0,AG40/ABS(AD40)),3)</f>
        <v>0</v>
      </c>
    </row>
    <row r="41" spans="1:35" ht="16.5" customHeight="1">
      <c r="A41" s="351"/>
      <c r="B41" s="726"/>
      <c r="C41" s="441"/>
      <c r="D41" s="726"/>
      <c r="E41" s="441"/>
      <c r="F41" s="726"/>
      <c r="G41" s="441"/>
      <c r="H41" s="726"/>
      <c r="I41" s="441"/>
      <c r="J41" s="726"/>
      <c r="K41" s="441"/>
      <c r="L41" s="726"/>
      <c r="M41" s="441"/>
      <c r="N41" s="726"/>
      <c r="O41" s="441"/>
      <c r="P41" s="726"/>
      <c r="Q41" s="441"/>
      <c r="R41" s="726"/>
      <c r="S41" s="441"/>
      <c r="T41" s="726"/>
      <c r="U41" s="441"/>
      <c r="V41" s="726"/>
      <c r="W41" s="441"/>
      <c r="X41" s="726"/>
      <c r="Y41" s="441"/>
      <c r="Z41" s="724"/>
      <c r="AA41" s="732"/>
      <c r="AB41" s="725"/>
      <c r="AC41" s="448"/>
      <c r="AD41" s="732"/>
      <c r="AE41" s="367"/>
      <c r="AF41" s="2207"/>
      <c r="AG41" s="2220"/>
    </row>
    <row r="42" spans="1:35" ht="16.5" customHeight="1">
      <c r="A42" s="460" t="s">
        <v>215</v>
      </c>
      <c r="B42" s="727">
        <f>ROUND(SUM(B39:B41),1)</f>
        <v>5.3</v>
      </c>
      <c r="C42" s="727"/>
      <c r="D42" s="727">
        <f>ROUND(SUM(D39:D41),1)</f>
        <v>0</v>
      </c>
      <c r="E42" s="727"/>
      <c r="F42" s="727">
        <f>ROUND(SUM(F39:F41),1)</f>
        <v>0</v>
      </c>
      <c r="G42" s="727"/>
      <c r="H42" s="727">
        <f>ROUND(SUM(H39:H41),1)</f>
        <v>0</v>
      </c>
      <c r="I42" s="727"/>
      <c r="J42" s="727">
        <f>ROUND(SUM(J39:J41),1)</f>
        <v>0</v>
      </c>
      <c r="K42" s="727"/>
      <c r="L42" s="727">
        <f>ROUND(SUM(L39:L41),1)</f>
        <v>0</v>
      </c>
      <c r="M42" s="727"/>
      <c r="N42" s="727">
        <f>ROUND(SUM(N39:N41),1)</f>
        <v>0</v>
      </c>
      <c r="O42" s="727"/>
      <c r="P42" s="727">
        <f>ROUND(SUM(P39:P41),1)</f>
        <v>0</v>
      </c>
      <c r="Q42" s="727"/>
      <c r="R42" s="727">
        <f>ROUND(SUM(R39:R41),1)</f>
        <v>0</v>
      </c>
      <c r="S42" s="727"/>
      <c r="T42" s="727">
        <f>ROUND(SUM(T39:T41),1)</f>
        <v>0</v>
      </c>
      <c r="U42" s="727"/>
      <c r="V42" s="727">
        <f>ROUND(SUM(V39:V41),1)</f>
        <v>0</v>
      </c>
      <c r="W42" s="727"/>
      <c r="X42" s="727">
        <f>ROUND(SUM(X39:X41),1)</f>
        <v>0</v>
      </c>
      <c r="Y42" s="727"/>
      <c r="Z42" s="728"/>
      <c r="AA42" s="727">
        <f>ROUND(SUM(AA39:AA41),1)</f>
        <v>5.3</v>
      </c>
      <c r="AB42" s="729"/>
      <c r="AC42" s="730"/>
      <c r="AD42" s="727">
        <f>ROUND(SUM(AD39:AD41),1)</f>
        <v>3</v>
      </c>
      <c r="AF42" s="2204"/>
      <c r="AG42" s="2225">
        <f>ROUND(SUM(AG39-AG40),1)</f>
        <v>2.2999999999999998</v>
      </c>
      <c r="AH42" s="2236"/>
      <c r="AI42" s="2227">
        <f>ROUND(IF(AG42=0,0,AG42/ABS(AD42)),3)</f>
        <v>0.76700000000000002</v>
      </c>
    </row>
    <row r="43" spans="1:35" ht="16.5" customHeight="1">
      <c r="A43" s="351"/>
      <c r="B43" s="726"/>
      <c r="C43" s="441"/>
      <c r="D43" s="726"/>
      <c r="E43" s="441"/>
      <c r="F43" s="726"/>
      <c r="G43" s="441"/>
      <c r="H43" s="726"/>
      <c r="I43" s="441"/>
      <c r="J43" s="726"/>
      <c r="K43" s="441"/>
      <c r="L43" s="726"/>
      <c r="M43" s="441"/>
      <c r="N43" s="726"/>
      <c r="O43" s="441"/>
      <c r="P43" s="726"/>
      <c r="Q43" s="441"/>
      <c r="R43" s="726"/>
      <c r="S43" s="441"/>
      <c r="T43" s="726"/>
      <c r="U43" s="441"/>
      <c r="V43" s="726"/>
      <c r="W43" s="441"/>
      <c r="X43" s="726"/>
      <c r="Y43" s="441"/>
      <c r="Z43" s="724"/>
      <c r="AA43" s="726"/>
      <c r="AB43" s="725"/>
      <c r="AC43" s="448"/>
      <c r="AD43" s="726"/>
      <c r="AE43" s="367"/>
      <c r="AF43" s="2207"/>
      <c r="AG43" s="2220"/>
    </row>
    <row r="44" spans="1:35" ht="16.5" customHeight="1">
      <c r="A44" s="351"/>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724"/>
      <c r="AA44" s="441"/>
      <c r="AB44" s="725"/>
      <c r="AC44" s="448"/>
      <c r="AD44" s="441"/>
      <c r="AE44" s="367"/>
      <c r="AF44" s="2207"/>
      <c r="AG44" s="2220"/>
    </row>
    <row r="45" spans="1:35" ht="16.5" customHeight="1">
      <c r="A45" s="351"/>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724"/>
      <c r="AA45" s="441"/>
      <c r="AB45" s="725"/>
      <c r="AC45" s="448"/>
      <c r="AD45" s="441"/>
      <c r="AE45" s="367"/>
      <c r="AF45" s="2207"/>
    </row>
    <row r="46" spans="1:35" ht="16.5" customHeight="1">
      <c r="A46" s="460" t="s">
        <v>172</v>
      </c>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724"/>
      <c r="AA46" s="441"/>
      <c r="AB46" s="725"/>
      <c r="AC46" s="448"/>
      <c r="AD46" s="441"/>
      <c r="AE46" s="367"/>
      <c r="AF46" s="2207"/>
    </row>
    <row r="47" spans="1:35" ht="16.5" customHeight="1">
      <c r="A47" s="460" t="s">
        <v>234</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724"/>
      <c r="AA47" s="441"/>
      <c r="AB47" s="725"/>
      <c r="AC47" s="448"/>
      <c r="AD47" s="441"/>
      <c r="AE47" s="223"/>
      <c r="AF47" s="2204"/>
    </row>
    <row r="48" spans="1:35" s="421" customFormat="1" ht="16.5" customHeight="1">
      <c r="A48" s="460" t="s">
        <v>174</v>
      </c>
      <c r="B48" s="727">
        <f>ROUND(SUM(B34,B42),1)</f>
        <v>-64.099999999999994</v>
      </c>
      <c r="C48" s="727"/>
      <c r="D48" s="727">
        <f>ROUND(SUM(D34,D42),1)</f>
        <v>0</v>
      </c>
      <c r="E48" s="727"/>
      <c r="F48" s="727">
        <f>ROUND(SUM(F34,F42),1)</f>
        <v>0</v>
      </c>
      <c r="G48" s="727"/>
      <c r="H48" s="727">
        <f>ROUND(SUM(H34,H42),1)</f>
        <v>0</v>
      </c>
      <c r="I48" s="727"/>
      <c r="J48" s="727">
        <f>ROUND(SUM(J34,J42),1)</f>
        <v>0</v>
      </c>
      <c r="K48" s="727"/>
      <c r="L48" s="727">
        <f>ROUND(SUM(L34,L42),1)</f>
        <v>0</v>
      </c>
      <c r="M48" s="727"/>
      <c r="N48" s="727">
        <f>ROUND(SUM(N34,N42),1)</f>
        <v>0</v>
      </c>
      <c r="O48" s="727"/>
      <c r="P48" s="727">
        <f>ROUND(SUM(P34,P42),1)</f>
        <v>0</v>
      </c>
      <c r="Q48" s="727"/>
      <c r="R48" s="727">
        <f>ROUND(SUM(R34,R42),1)</f>
        <v>0</v>
      </c>
      <c r="S48" s="727"/>
      <c r="T48" s="727">
        <f>ROUND(SUM(T34,T42),1)</f>
        <v>0</v>
      </c>
      <c r="U48" s="727"/>
      <c r="V48" s="727">
        <f>ROUND(SUM(V34,V42),1)</f>
        <v>0</v>
      </c>
      <c r="W48" s="727"/>
      <c r="X48" s="727">
        <f>ROUND(SUM(X34,X42),1)</f>
        <v>0</v>
      </c>
      <c r="Y48" s="727"/>
      <c r="Z48" s="728"/>
      <c r="AA48" s="733">
        <f>ROUND(AA34+AA42,1)</f>
        <v>-64.099999999999994</v>
      </c>
      <c r="AB48" s="729"/>
      <c r="AC48" s="730"/>
      <c r="AD48" s="733">
        <f>ROUND(AD34+AD42,1)</f>
        <v>-29.2</v>
      </c>
      <c r="AE48" s="738"/>
      <c r="AF48" s="2204"/>
      <c r="AG48" s="2225">
        <f>ROUND(SUM(AG34+AG42),1)</f>
        <v>-34.9</v>
      </c>
      <c r="AH48" s="2200"/>
      <c r="AI48" s="2227">
        <f>ROUND(IF(AG48=0,0,AG48/ABS(AD48)),3)</f>
        <v>-1.1950000000000001</v>
      </c>
    </row>
    <row r="49" spans="1:35" ht="16.5" customHeight="1">
      <c r="A49" s="351"/>
      <c r="B49" s="734"/>
      <c r="C49" s="719"/>
      <c r="D49" s="734"/>
      <c r="E49" s="719"/>
      <c r="F49" s="734"/>
      <c r="G49" s="719"/>
      <c r="H49" s="734"/>
      <c r="I49" s="719"/>
      <c r="J49" s="734"/>
      <c r="K49" s="719"/>
      <c r="L49" s="734"/>
      <c r="M49" s="719"/>
      <c r="N49" s="734"/>
      <c r="O49" s="719"/>
      <c r="P49" s="734"/>
      <c r="Q49" s="719"/>
      <c r="R49" s="734"/>
      <c r="S49" s="719"/>
      <c r="T49" s="734"/>
      <c r="U49" s="719"/>
      <c r="V49" s="734"/>
      <c r="W49" s="719"/>
      <c r="X49" s="734"/>
      <c r="Y49" s="719"/>
      <c r="Z49" s="720"/>
      <c r="AA49" s="734"/>
      <c r="AB49" s="721"/>
      <c r="AC49" s="722"/>
      <c r="AD49" s="734"/>
      <c r="AF49" s="2204"/>
      <c r="AI49" s="2211"/>
    </row>
    <row r="50" spans="1:35" ht="16.5" customHeight="1" thickBot="1">
      <c r="A50" s="640" t="s">
        <v>146</v>
      </c>
      <c r="B50" s="715">
        <f>ROUND(SUM(B14,B48),1)</f>
        <v>-191.3</v>
      </c>
      <c r="C50" s="715"/>
      <c r="D50" s="715">
        <f>ROUND(SUM(D14,D48),1)</f>
        <v>0</v>
      </c>
      <c r="E50" s="715"/>
      <c r="F50" s="715">
        <f>ROUND(SUM(F14,F48),1)</f>
        <v>0</v>
      </c>
      <c r="G50" s="715"/>
      <c r="H50" s="715">
        <f>ROUND(SUM(H14,H48),1)</f>
        <v>0</v>
      </c>
      <c r="I50" s="715"/>
      <c r="J50" s="715">
        <f>ROUND(SUM(J14,J48),1)</f>
        <v>0</v>
      </c>
      <c r="K50" s="715"/>
      <c r="L50" s="715">
        <f>ROUND(SUM(L14,L48),1)</f>
        <v>0</v>
      </c>
      <c r="M50" s="715"/>
      <c r="N50" s="715">
        <f>ROUND(SUM(N14,N48),1)</f>
        <v>0</v>
      </c>
      <c r="O50" s="715"/>
      <c r="P50" s="715">
        <f>ROUND(SUM(P14,P48),1)</f>
        <v>0</v>
      </c>
      <c r="Q50" s="715"/>
      <c r="R50" s="735">
        <f>ROUND(SUM(R14,R48),1)</f>
        <v>0</v>
      </c>
      <c r="S50" s="715"/>
      <c r="T50" s="715">
        <f>ROUND(SUM(T14,T48),1)</f>
        <v>0</v>
      </c>
      <c r="U50" s="715"/>
      <c r="V50" s="715">
        <f>ROUND(SUM(V14,V48),1)</f>
        <v>0</v>
      </c>
      <c r="W50" s="715"/>
      <c r="X50" s="715">
        <f>ROUND(SUM(X14,X48),1)</f>
        <v>0</v>
      </c>
      <c r="Y50" s="715"/>
      <c r="Z50" s="716"/>
      <c r="AA50" s="715">
        <f>ROUND(SUM(AA14,AA48),1)</f>
        <v>-191.3</v>
      </c>
      <c r="AB50" s="717"/>
      <c r="AC50" s="718"/>
      <c r="AD50" s="715">
        <f>ROUND(SUM(AD14,AD48),1)</f>
        <v>-225.9</v>
      </c>
      <c r="AF50" s="2204"/>
      <c r="AG50" s="2237">
        <f>ROUND(SUM(AA50-AD50),1)</f>
        <v>34.6</v>
      </c>
      <c r="AH50" s="2235"/>
      <c r="AI50" s="2238">
        <f>ROUND(IF(AG50=0,0,AG50/ABS(AD50)),3)</f>
        <v>0.153</v>
      </c>
    </row>
    <row r="51" spans="1:35" ht="16.5" customHeight="1" thickTop="1">
      <c r="A51" s="351"/>
      <c r="B51" s="736"/>
      <c r="C51" s="719"/>
      <c r="D51" s="736"/>
      <c r="E51" s="719"/>
      <c r="F51" s="736"/>
      <c r="G51" s="719"/>
      <c r="H51" s="736"/>
      <c r="I51" s="719"/>
      <c r="J51" s="736"/>
      <c r="K51" s="719"/>
      <c r="L51" s="736"/>
      <c r="M51" s="719"/>
      <c r="N51" s="736"/>
      <c r="O51" s="719"/>
      <c r="P51" s="736"/>
      <c r="Q51" s="719"/>
      <c r="R51" s="722"/>
      <c r="S51" s="719"/>
      <c r="T51" s="736"/>
      <c r="U51" s="719"/>
      <c r="V51" s="736"/>
      <c r="W51" s="719"/>
      <c r="X51" s="736"/>
      <c r="Y51" s="719"/>
      <c r="Z51" s="719"/>
      <c r="AA51" s="736"/>
      <c r="AB51" s="719"/>
      <c r="AC51" s="719"/>
      <c r="AD51" s="736"/>
    </row>
    <row r="53" spans="1:35" ht="16.5" customHeight="1">
      <c r="A53" s="737"/>
    </row>
    <row r="54" spans="1:35" ht="16.5" customHeight="1">
      <c r="A54" s="456"/>
    </row>
  </sheetData>
  <customSheetViews>
    <customSheetView guid="{8EE6466D-211E-4E05-9F84-CC0A1C6F79F4}" scale="60" showGridLines="0" outlineSymbols="0" fitToPage="1">
      <selection activeCell="AI14" sqref="AI14"/>
      <pageMargins left="0.5" right="0.5" top="1" bottom="0.5" header="0" footer="0.25"/>
      <pageSetup scale="41" orientation="landscape" r:id="rId1"/>
      <headerFooter scaleWithDoc="0" alignWithMargins="0">
        <oddFooter>&amp;C&amp;8 35</oddFooter>
      </headerFooter>
    </customSheetView>
  </customSheetViews>
  <mergeCells count="1">
    <mergeCell ref="AA10:AI10"/>
  </mergeCells>
  <pageMargins left="0.5" right="0.5" top="1" bottom="0.5" header="0" footer="0.25"/>
  <pageSetup scale="41" firstPageNumber="35" orientation="landscape" useFirstPageNumber="1" r:id="rId2"/>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AI47"/>
  <sheetViews>
    <sheetView zoomScale="70" zoomScaleNormal="70" workbookViewId="0"/>
  </sheetViews>
  <sheetFormatPr defaultColWidth="8.90625" defaultRowHeight="17.399999999999999"/>
  <cols>
    <col min="1" max="1" width="45.54296875" style="738" customWidth="1"/>
    <col min="2" max="2" width="8.6328125" style="738" customWidth="1"/>
    <col min="3" max="3" width="1.6328125" style="738" customWidth="1"/>
    <col min="4" max="4" width="8.6328125" style="738" customWidth="1"/>
    <col min="5" max="5" width="1.6328125" style="738" customWidth="1"/>
    <col min="6" max="6" width="8.6328125" style="738" customWidth="1"/>
    <col min="7" max="7" width="1.6328125" style="738" customWidth="1"/>
    <col min="8" max="8" width="8.6328125" style="738" customWidth="1"/>
    <col min="9" max="9" width="1.6328125" style="738" customWidth="1"/>
    <col min="10" max="10" width="10.6328125" style="738" customWidth="1"/>
    <col min="11" max="11" width="1.6328125" style="738" customWidth="1"/>
    <col min="12" max="12" width="14.36328125" style="738" customWidth="1"/>
    <col min="13" max="13" width="1.6328125" style="738" customWidth="1"/>
    <col min="14" max="14" width="12" style="738" bestFit="1" customWidth="1"/>
    <col min="15" max="15" width="1.6328125" style="738" customWidth="1"/>
    <col min="16" max="16" width="13.54296875" style="738" bestFit="1" customWidth="1"/>
    <col min="17" max="17" width="1.6328125" style="738" customWidth="1"/>
    <col min="18" max="18" width="13.54296875" style="738" bestFit="1" customWidth="1"/>
    <col min="19" max="19" width="1.6328125" style="738" customWidth="1"/>
    <col min="20" max="20" width="11" style="738" bestFit="1" customWidth="1"/>
    <col min="21" max="21" width="1.6328125" style="738" customWidth="1"/>
    <col min="22" max="22" width="12.81640625" style="738" bestFit="1" customWidth="1"/>
    <col min="23" max="23" width="1.6328125" style="738" customWidth="1"/>
    <col min="24" max="24" width="8.6328125" style="738" customWidth="1"/>
    <col min="25" max="26" width="1.6328125" style="738" customWidth="1"/>
    <col min="27" max="27" width="10.08984375" style="738" customWidth="1"/>
    <col min="28" max="29" width="1.81640625" style="738" customWidth="1"/>
    <col min="30" max="30" width="10.08984375" style="1700" customWidth="1"/>
    <col min="31" max="31" width="1.81640625" style="2210" customWidth="1"/>
    <col min="32" max="32" width="2.453125" style="2210" customWidth="1"/>
    <col min="33" max="33" width="10.36328125" style="2211" bestFit="1" customWidth="1"/>
    <col min="34" max="34" width="1.6328125" style="2211" customWidth="1"/>
    <col min="35" max="35" width="11.08984375" style="2210" customWidth="1"/>
    <col min="36" max="16384" width="8.90625" style="738"/>
  </cols>
  <sheetData>
    <row r="1" spans="1:35">
      <c r="A1" s="1172" t="s">
        <v>1103</v>
      </c>
    </row>
    <row r="2" spans="1:35">
      <c r="A2" s="1685"/>
    </row>
    <row r="3" spans="1:35" ht="20.25" customHeight="1">
      <c r="A3" s="1694" t="s">
        <v>0</v>
      </c>
      <c r="B3" s="223"/>
      <c r="C3" s="223"/>
      <c r="D3" s="223"/>
      <c r="E3" s="223"/>
      <c r="F3" s="223"/>
      <c r="G3" s="223"/>
      <c r="H3" s="223"/>
      <c r="I3" s="223"/>
      <c r="J3" s="223"/>
      <c r="K3" s="221"/>
      <c r="L3" s="221"/>
      <c r="M3" s="223"/>
      <c r="N3" s="223"/>
      <c r="O3" s="223"/>
      <c r="P3" s="223"/>
      <c r="Q3" s="223"/>
      <c r="R3" s="223"/>
      <c r="S3" s="223"/>
      <c r="T3" s="223"/>
      <c r="U3" s="223"/>
      <c r="V3" s="223"/>
      <c r="W3" s="223"/>
      <c r="X3" s="223"/>
      <c r="Y3" s="223"/>
      <c r="Z3" s="223"/>
      <c r="AA3" s="223"/>
      <c r="AB3" s="223"/>
      <c r="AC3" s="223"/>
      <c r="AD3" s="351"/>
      <c r="AI3" s="2262" t="s">
        <v>232</v>
      </c>
    </row>
    <row r="4" spans="1:35" ht="20.25" customHeight="1">
      <c r="A4" s="1695" t="s">
        <v>231</v>
      </c>
      <c r="B4" s="223"/>
      <c r="C4" s="223"/>
      <c r="D4" s="223"/>
      <c r="E4" s="223"/>
      <c r="F4" s="223"/>
      <c r="G4" s="223"/>
      <c r="H4" s="221" t="s">
        <v>16</v>
      </c>
      <c r="I4" s="223"/>
      <c r="J4" s="223"/>
      <c r="K4" s="221"/>
      <c r="L4" s="221"/>
      <c r="M4" s="223"/>
      <c r="N4" s="223"/>
      <c r="O4" s="223"/>
      <c r="P4" s="223"/>
      <c r="Q4" s="223"/>
      <c r="R4" s="223"/>
      <c r="S4" s="223"/>
      <c r="T4" s="223"/>
      <c r="U4" s="223"/>
      <c r="V4" s="223"/>
      <c r="W4" s="223"/>
      <c r="X4" s="223" t="s">
        <v>16</v>
      </c>
      <c r="Y4" s="223"/>
      <c r="Z4" s="223"/>
      <c r="AA4" s="223"/>
      <c r="AB4" s="223"/>
      <c r="AC4" s="223"/>
      <c r="AD4" s="351"/>
    </row>
    <row r="5" spans="1:35" ht="20.25" customHeight="1">
      <c r="A5" s="1696" t="s">
        <v>128</v>
      </c>
      <c r="B5" s="223"/>
      <c r="C5" s="223"/>
      <c r="D5" s="223"/>
      <c r="E5" s="223"/>
      <c r="F5" s="223"/>
      <c r="G5" s="223"/>
      <c r="H5" s="223"/>
      <c r="I5" s="223"/>
      <c r="J5" s="223"/>
      <c r="K5" s="221"/>
      <c r="L5" s="221"/>
      <c r="M5" s="223"/>
      <c r="N5" s="223"/>
      <c r="O5" s="223"/>
      <c r="P5" s="223"/>
      <c r="Q5" s="223"/>
      <c r="R5" s="223"/>
      <c r="S5" s="223"/>
      <c r="T5" s="223"/>
      <c r="U5" s="223"/>
      <c r="V5" s="223"/>
      <c r="W5" s="223"/>
      <c r="X5" s="223"/>
      <c r="Y5" s="223"/>
      <c r="Z5" s="223"/>
      <c r="AB5" s="739"/>
      <c r="AC5" s="739"/>
      <c r="AE5" s="2241"/>
    </row>
    <row r="6" spans="1:35" ht="20.25" customHeight="1">
      <c r="A6" s="1696" t="s">
        <v>1459</v>
      </c>
      <c r="B6" s="223"/>
      <c r="C6" s="223"/>
      <c r="D6" s="223"/>
      <c r="E6" s="223"/>
      <c r="F6" s="223"/>
      <c r="G6" s="223"/>
      <c r="H6" s="223"/>
      <c r="I6" s="223"/>
      <c r="J6" s="223"/>
      <c r="K6" s="221"/>
      <c r="L6" s="221"/>
      <c r="M6" s="223"/>
      <c r="N6" s="223"/>
      <c r="O6" s="223"/>
      <c r="P6" s="223"/>
      <c r="Q6" s="223"/>
      <c r="R6" s="223"/>
      <c r="S6" s="223"/>
      <c r="T6" s="223"/>
      <c r="U6" s="223"/>
      <c r="V6" s="223"/>
      <c r="W6" s="223"/>
      <c r="X6" s="223"/>
      <c r="Y6" s="223"/>
      <c r="Z6" s="223"/>
      <c r="AA6" s="223"/>
      <c r="AB6" s="223"/>
      <c r="AC6" s="223"/>
      <c r="AD6" s="351"/>
    </row>
    <row r="7" spans="1:35" ht="20.25" customHeight="1">
      <c r="A7" s="1694" t="s">
        <v>991</v>
      </c>
      <c r="B7" s="223"/>
      <c r="C7" s="223"/>
      <c r="D7" s="223"/>
      <c r="E7" s="223"/>
      <c r="F7" s="223"/>
      <c r="G7" s="223"/>
      <c r="H7" s="223"/>
      <c r="I7" s="223"/>
      <c r="J7" s="223"/>
      <c r="K7" s="221"/>
      <c r="L7" s="223"/>
      <c r="M7" s="223"/>
      <c r="N7" s="223"/>
      <c r="O7" s="223"/>
      <c r="P7" s="223"/>
      <c r="Q7" s="223"/>
      <c r="R7" s="223"/>
      <c r="S7" s="223"/>
      <c r="T7" s="223"/>
      <c r="U7" s="223"/>
      <c r="V7" s="223"/>
      <c r="W7" s="223"/>
      <c r="X7" s="223"/>
      <c r="Y7" s="223"/>
      <c r="Z7" s="223"/>
      <c r="AA7" s="223"/>
      <c r="AB7" s="223"/>
      <c r="AC7" s="223"/>
      <c r="AD7" s="351"/>
    </row>
    <row r="8" spans="1:35" s="740" customFormat="1" ht="18.899999999999999" customHeight="1">
      <c r="A8" s="640"/>
      <c r="B8" s="223"/>
      <c r="C8" s="223"/>
      <c r="D8" s="223"/>
      <c r="E8" s="223"/>
      <c r="F8" s="223"/>
      <c r="G8" s="223"/>
      <c r="H8" s="223"/>
      <c r="I8" s="223"/>
      <c r="J8" s="223"/>
      <c r="K8" s="223"/>
      <c r="L8" s="223"/>
      <c r="M8" s="223"/>
      <c r="N8" s="223"/>
      <c r="O8" s="223"/>
      <c r="P8" s="223"/>
      <c r="Q8" s="223"/>
      <c r="R8" s="223"/>
      <c r="S8" s="223"/>
      <c r="T8" s="223"/>
      <c r="U8" s="223"/>
      <c r="V8" s="223"/>
      <c r="W8" s="223"/>
      <c r="X8" s="223"/>
      <c r="Y8" s="223"/>
      <c r="Z8" s="351"/>
      <c r="AA8" s="351"/>
      <c r="AB8" s="351"/>
      <c r="AC8" s="351"/>
      <c r="AD8" s="351"/>
      <c r="AE8" s="2210"/>
      <c r="AF8" s="2210"/>
      <c r="AG8" s="2211"/>
      <c r="AH8" s="2211"/>
      <c r="AI8" s="2210"/>
    </row>
    <row r="9" spans="1:35" s="740" customFormat="1" ht="18.899999999999999" customHeight="1">
      <c r="A9" s="1343"/>
      <c r="B9" s="1343"/>
      <c r="C9" s="1343"/>
      <c r="D9" s="1343"/>
      <c r="E9" s="1343"/>
      <c r="F9" s="1343"/>
      <c r="G9" s="1343"/>
      <c r="H9" s="221"/>
      <c r="I9" s="221"/>
      <c r="J9" s="221"/>
      <c r="K9" s="1343"/>
      <c r="L9" s="1343"/>
      <c r="M9" s="1343"/>
      <c r="N9" s="1343"/>
      <c r="O9" s="1343"/>
      <c r="P9" s="1343"/>
      <c r="Q9" s="1343"/>
      <c r="R9" s="1343"/>
      <c r="S9" s="1343"/>
      <c r="T9" s="1343"/>
      <c r="U9" s="1343"/>
      <c r="V9" s="1343"/>
      <c r="W9" s="1343"/>
      <c r="X9" s="1343"/>
      <c r="Y9" s="1343"/>
      <c r="Z9" s="351"/>
      <c r="AA9" s="351"/>
      <c r="AB9" s="351"/>
      <c r="AC9" s="3415"/>
      <c r="AD9" s="3416"/>
      <c r="AE9" s="3416"/>
      <c r="AF9" s="3416"/>
      <c r="AG9" s="3416"/>
      <c r="AH9" s="3416"/>
      <c r="AI9" s="3416"/>
    </row>
    <row r="10" spans="1:35" s="740" customFormat="1" ht="18.899999999999999" customHeight="1">
      <c r="A10" s="351"/>
      <c r="B10" s="351"/>
      <c r="C10" s="351"/>
      <c r="D10" s="351"/>
      <c r="E10" s="351"/>
      <c r="F10" s="351"/>
      <c r="G10" s="351"/>
      <c r="H10" s="351"/>
      <c r="I10" s="351"/>
      <c r="J10" s="351"/>
      <c r="K10" s="351"/>
      <c r="L10" s="351"/>
      <c r="M10" s="351"/>
      <c r="N10" s="351"/>
      <c r="O10" s="351"/>
      <c r="P10" s="351"/>
      <c r="Q10" s="351"/>
      <c r="R10" s="351"/>
      <c r="S10" s="351"/>
      <c r="T10" s="351"/>
      <c r="U10" s="351"/>
      <c r="V10" s="1697"/>
      <c r="W10" s="1698"/>
      <c r="X10" s="1699"/>
      <c r="Y10" s="1700"/>
      <c r="Z10" s="3417" t="s">
        <v>1465</v>
      </c>
      <c r="AA10" s="3417"/>
      <c r="AB10" s="3417"/>
      <c r="AC10" s="3417"/>
      <c r="AD10" s="3417"/>
      <c r="AE10" s="3417"/>
      <c r="AF10" s="3417"/>
      <c r="AG10" s="3417"/>
      <c r="AH10" s="3417"/>
      <c r="AI10" s="3417"/>
    </row>
    <row r="11" spans="1:35" s="740" customFormat="1" ht="18.899999999999999" customHeight="1">
      <c r="A11" s="351"/>
      <c r="B11" s="1519">
        <v>2016</v>
      </c>
      <c r="C11" s="460"/>
      <c r="D11" s="460"/>
      <c r="E11" s="460"/>
      <c r="F11" s="460"/>
      <c r="G11" s="460"/>
      <c r="H11" s="460"/>
      <c r="I11" s="460"/>
      <c r="J11" s="460"/>
      <c r="K11" s="460"/>
      <c r="L11" s="460"/>
      <c r="M11" s="460"/>
      <c r="N11" s="460"/>
      <c r="O11" s="460"/>
      <c r="P11" s="460"/>
      <c r="Q11" s="460"/>
      <c r="R11" s="460"/>
      <c r="S11" s="460"/>
      <c r="T11" s="1519">
        <v>2017</v>
      </c>
      <c r="U11" s="460"/>
      <c r="V11" s="460"/>
      <c r="W11" s="460"/>
      <c r="X11" s="460"/>
      <c r="Y11" s="460"/>
      <c r="Z11" s="1520"/>
      <c r="AA11" s="1520"/>
      <c r="AB11" s="1520"/>
      <c r="AC11" s="1520"/>
      <c r="AD11" s="1941"/>
      <c r="AE11" s="2242"/>
      <c r="AF11" s="2200"/>
      <c r="AG11" s="2214" t="s">
        <v>8</v>
      </c>
      <c r="AH11" s="2214"/>
      <c r="AI11" s="2215" t="s">
        <v>9</v>
      </c>
    </row>
    <row r="12" spans="1:35" s="740" customFormat="1" ht="18.899999999999999" customHeight="1">
      <c r="A12" s="351"/>
      <c r="B12" s="1701" t="s">
        <v>129</v>
      </c>
      <c r="C12" s="460"/>
      <c r="D12" s="1701" t="s">
        <v>130</v>
      </c>
      <c r="E12" s="460"/>
      <c r="F12" s="1701" t="s">
        <v>131</v>
      </c>
      <c r="G12" s="460"/>
      <c r="H12" s="1701" t="s">
        <v>132</v>
      </c>
      <c r="I12" s="460"/>
      <c r="J12" s="1702" t="s">
        <v>233</v>
      </c>
      <c r="K12" s="460"/>
      <c r="L12" s="1702" t="s">
        <v>148</v>
      </c>
      <c r="M12" s="460"/>
      <c r="N12" s="1702" t="s">
        <v>149</v>
      </c>
      <c r="O12" s="460"/>
      <c r="P12" s="1701" t="s">
        <v>136</v>
      </c>
      <c r="Q12" s="460"/>
      <c r="R12" s="1701" t="s">
        <v>137</v>
      </c>
      <c r="S12" s="460"/>
      <c r="T12" s="1702" t="s">
        <v>138</v>
      </c>
      <c r="U12" s="460"/>
      <c r="V12" s="1701" t="s">
        <v>139</v>
      </c>
      <c r="W12" s="460"/>
      <c r="X12" s="1702" t="s">
        <v>192</v>
      </c>
      <c r="Y12" s="460"/>
      <c r="Z12" s="460"/>
      <c r="AA12" s="1521">
        <v>2016</v>
      </c>
      <c r="AB12" s="1521"/>
      <c r="AC12" s="1703"/>
      <c r="AD12" s="1701">
        <v>2015</v>
      </c>
      <c r="AE12" s="2236"/>
      <c r="AF12" s="2236"/>
      <c r="AG12" s="2216" t="s">
        <v>13</v>
      </c>
      <c r="AH12" s="2217"/>
      <c r="AI12" s="2216" t="s">
        <v>14</v>
      </c>
    </row>
    <row r="13" spans="1:35" s="740" customFormat="1" ht="18.899999999999999" customHeight="1">
      <c r="A13" s="460" t="s">
        <v>141</v>
      </c>
      <c r="B13" s="1704">
        <v>0.1</v>
      </c>
      <c r="C13" s="715"/>
      <c r="D13" s="1704"/>
      <c r="E13" s="715"/>
      <c r="F13" s="1704"/>
      <c r="G13" s="1705"/>
      <c r="H13" s="1705"/>
      <c r="I13" s="1705"/>
      <c r="J13" s="1705"/>
      <c r="K13" s="1705"/>
      <c r="L13" s="1705"/>
      <c r="M13" s="1705"/>
      <c r="N13" s="1706"/>
      <c r="O13" s="1705"/>
      <c r="P13" s="1706"/>
      <c r="Q13" s="1705"/>
      <c r="R13" s="1705"/>
      <c r="S13" s="1705"/>
      <c r="T13" s="1704"/>
      <c r="U13" s="1705"/>
      <c r="V13" s="1704"/>
      <c r="W13" s="1705"/>
      <c r="X13" s="1705"/>
      <c r="Y13" s="1707"/>
      <c r="Z13" s="1708"/>
      <c r="AA13" s="1706">
        <f>+B13</f>
        <v>0.1</v>
      </c>
      <c r="AB13" s="1707"/>
      <c r="AC13" s="1709"/>
      <c r="AD13" s="1706">
        <v>-16.899999999999999</v>
      </c>
      <c r="AE13" s="2243"/>
      <c r="AF13" s="2239"/>
      <c r="AG13" s="2218">
        <f>ROUND(SUM(AA13-AD13),1)</f>
        <v>17</v>
      </c>
      <c r="AH13" s="2211"/>
      <c r="AI13" s="2219">
        <f>-ROUND(IF(AG13=0,0,AG13/(AD13)),3)</f>
        <v>1.006</v>
      </c>
    </row>
    <row r="14" spans="1:35" s="740" customFormat="1" ht="18.899999999999999" customHeight="1">
      <c r="A14" s="351"/>
      <c r="B14" s="719"/>
      <c r="C14" s="719"/>
      <c r="D14" s="719"/>
      <c r="E14" s="719"/>
      <c r="F14" s="1710"/>
      <c r="G14" s="1710"/>
      <c r="H14" s="1711"/>
      <c r="I14" s="1711"/>
      <c r="J14" s="1711"/>
      <c r="K14" s="1710"/>
      <c r="L14" s="1711"/>
      <c r="M14" s="1711"/>
      <c r="N14" s="1711"/>
      <c r="O14" s="1711"/>
      <c r="P14" s="1711"/>
      <c r="Q14" s="1711"/>
      <c r="R14" s="1711"/>
      <c r="S14" s="1711"/>
      <c r="T14" s="1711"/>
      <c r="U14" s="1711"/>
      <c r="V14" s="1711"/>
      <c r="W14" s="1711"/>
      <c r="X14" s="1711"/>
      <c r="Y14" s="1712"/>
      <c r="Z14" s="1713"/>
      <c r="AA14" s="719"/>
      <c r="AB14" s="1712"/>
      <c r="AC14" s="1714"/>
      <c r="AD14" s="719"/>
      <c r="AE14" s="2244"/>
      <c r="AF14" s="2240"/>
      <c r="AG14" s="2220"/>
      <c r="AH14" s="2211"/>
      <c r="AI14" s="2210"/>
    </row>
    <row r="15" spans="1:35" s="740" customFormat="1" ht="18.899999999999999" customHeight="1">
      <c r="A15" s="460" t="s">
        <v>15</v>
      </c>
      <c r="B15" s="719"/>
      <c r="C15" s="719"/>
      <c r="D15" s="719"/>
      <c r="E15" s="719"/>
      <c r="F15" s="1710"/>
      <c r="G15" s="1710"/>
      <c r="H15" s="1711"/>
      <c r="I15" s="1711"/>
      <c r="J15" s="1711"/>
      <c r="K15" s="1710"/>
      <c r="L15" s="1711"/>
      <c r="M15" s="1711"/>
      <c r="N15" s="1711"/>
      <c r="O15" s="1711"/>
      <c r="P15" s="1711"/>
      <c r="Q15" s="1711"/>
      <c r="R15" s="1711"/>
      <c r="S15" s="1711"/>
      <c r="T15" s="1711"/>
      <c r="U15" s="1711"/>
      <c r="V15" s="1711"/>
      <c r="W15" s="1711"/>
      <c r="X15" s="1711"/>
      <c r="Y15" s="1712"/>
      <c r="Z15" s="1713"/>
      <c r="AA15" s="719"/>
      <c r="AB15" s="1712"/>
      <c r="AC15" s="1714"/>
      <c r="AD15" s="719"/>
      <c r="AE15" s="2244"/>
      <c r="AF15" s="2240"/>
      <c r="AG15" s="2220"/>
      <c r="AH15" s="2211"/>
      <c r="AI15" s="2210"/>
    </row>
    <row r="16" spans="1:35" s="740" customFormat="1" ht="18.899999999999999" customHeight="1">
      <c r="A16" s="1715" t="s">
        <v>185</v>
      </c>
      <c r="B16" s="1716">
        <v>7.2</v>
      </c>
      <c r="C16" s="441"/>
      <c r="D16" s="723"/>
      <c r="E16" s="441"/>
      <c r="F16" s="723"/>
      <c r="G16" s="441"/>
      <c r="H16" s="723"/>
      <c r="I16" s="1717"/>
      <c r="J16" s="723"/>
      <c r="K16" s="441"/>
      <c r="L16" s="723"/>
      <c r="M16" s="1718"/>
      <c r="N16" s="723"/>
      <c r="O16" s="1718"/>
      <c r="P16" s="723"/>
      <c r="Q16" s="1718"/>
      <c r="R16" s="723"/>
      <c r="S16" s="1718"/>
      <c r="T16" s="723"/>
      <c r="U16" s="1718"/>
      <c r="V16" s="723"/>
      <c r="W16" s="1718"/>
      <c r="X16" s="723"/>
      <c r="Y16" s="1719"/>
      <c r="Z16" s="1720"/>
      <c r="AA16" s="1752">
        <f>ROUND(SUM(B16:X16),1)</f>
        <v>7.2</v>
      </c>
      <c r="AB16" s="1719"/>
      <c r="AC16" s="1718"/>
      <c r="AD16" s="1716">
        <v>21.9</v>
      </c>
      <c r="AE16" s="2245"/>
      <c r="AF16" s="2203"/>
      <c r="AG16" s="2224">
        <f>ROUND(SUM(AA16-AD16),1)</f>
        <v>-14.7</v>
      </c>
      <c r="AH16" s="2211"/>
      <c r="AI16" s="2230">
        <f>ROUND(IF(AG16=0,0,AG16/ABS(AD16)),3)</f>
        <v>-0.67100000000000004</v>
      </c>
    </row>
    <row r="17" spans="1:35" s="740" customFormat="1" ht="24" customHeight="1">
      <c r="A17" s="460" t="s">
        <v>156</v>
      </c>
      <c r="B17" s="1721">
        <f>ROUND(SUM(B16),1)</f>
        <v>7.2</v>
      </c>
      <c r="C17" s="727"/>
      <c r="D17" s="1721">
        <f>ROUND(SUM(D16),1)</f>
        <v>0</v>
      </c>
      <c r="E17" s="727"/>
      <c r="F17" s="1721">
        <f>ROUND(SUM(F16),1)</f>
        <v>0</v>
      </c>
      <c r="G17" s="727"/>
      <c r="H17" s="1721">
        <f>ROUND(SUM(H16),1)</f>
        <v>0</v>
      </c>
      <c r="I17" s="1722"/>
      <c r="J17" s="1721">
        <f>ROUND(SUM(J16),1)</f>
        <v>0</v>
      </c>
      <c r="K17" s="727"/>
      <c r="L17" s="1721">
        <f>ROUND(SUM(L16),1)</f>
        <v>0</v>
      </c>
      <c r="M17" s="1723"/>
      <c r="N17" s="1721">
        <f>ROUND(SUM(N16),1)</f>
        <v>0</v>
      </c>
      <c r="O17" s="1723"/>
      <c r="P17" s="1721">
        <f>ROUND(SUM(P16),1)</f>
        <v>0</v>
      </c>
      <c r="Q17" s="1723"/>
      <c r="R17" s="1721">
        <f>ROUND(SUM(R16),1)</f>
        <v>0</v>
      </c>
      <c r="S17" s="1723"/>
      <c r="T17" s="1721">
        <f>ROUND(SUM(T16),1)</f>
        <v>0</v>
      </c>
      <c r="U17" s="1723"/>
      <c r="V17" s="1721">
        <f>ROUND(SUM(V16),1)</f>
        <v>0</v>
      </c>
      <c r="W17" s="1723"/>
      <c r="X17" s="1721">
        <f>ROUND(SUM(X16),1)</f>
        <v>0</v>
      </c>
      <c r="Y17" s="1724"/>
      <c r="Z17" s="1725"/>
      <c r="AA17" s="1733">
        <f>ROUND(SUM(AA16),1)</f>
        <v>7.2</v>
      </c>
      <c r="AB17" s="1724"/>
      <c r="AC17" s="1725"/>
      <c r="AD17" s="1733">
        <f>ROUND(SUM(AD16),1)</f>
        <v>21.9</v>
      </c>
      <c r="AE17" s="2246"/>
      <c r="AF17" s="2203"/>
      <c r="AG17" s="2255">
        <f>ROUND(SUM(AG16),1)</f>
        <v>-14.7</v>
      </c>
      <c r="AH17" s="2256"/>
      <c r="AI17" s="2257">
        <f>ROUND(IF(AG17=0,0,AG17/ABS(AD17)),3)</f>
        <v>-0.67100000000000004</v>
      </c>
    </row>
    <row r="18" spans="1:35" s="740" customFormat="1" ht="18.899999999999999" customHeight="1">
      <c r="A18" s="351"/>
      <c r="B18" s="726"/>
      <c r="C18" s="441"/>
      <c r="D18" s="726" t="s">
        <v>16</v>
      </c>
      <c r="E18" s="441"/>
      <c r="F18" s="726"/>
      <c r="G18" s="441"/>
      <c r="H18" s="1726"/>
      <c r="I18" s="1718"/>
      <c r="J18" s="1726"/>
      <c r="K18" s="441"/>
      <c r="L18" s="1727"/>
      <c r="M18" s="1718"/>
      <c r="N18" s="1726"/>
      <c r="O18" s="1718"/>
      <c r="P18" s="1726"/>
      <c r="Q18" s="1718"/>
      <c r="R18" s="1726"/>
      <c r="S18" s="1718"/>
      <c r="T18" s="1726"/>
      <c r="U18" s="1718"/>
      <c r="V18" s="1726"/>
      <c r="W18" s="1718"/>
      <c r="X18" s="1726"/>
      <c r="Y18" s="1719"/>
      <c r="Z18" s="1720"/>
      <c r="AA18" s="726"/>
      <c r="AB18" s="1719"/>
      <c r="AC18" s="1717"/>
      <c r="AD18" s="726"/>
      <c r="AE18" s="2224"/>
      <c r="AF18" s="2203"/>
      <c r="AG18" s="2224"/>
      <c r="AH18" s="2211"/>
      <c r="AI18" s="2210"/>
    </row>
    <row r="19" spans="1:35" s="740" customFormat="1" ht="18.899999999999999" customHeight="1">
      <c r="A19" s="351"/>
      <c r="B19" s="441"/>
      <c r="C19" s="441"/>
      <c r="D19" s="441" t="s">
        <v>16</v>
      </c>
      <c r="E19" s="441"/>
      <c r="F19" s="441"/>
      <c r="G19" s="441"/>
      <c r="H19" s="1718"/>
      <c r="I19" s="1718"/>
      <c r="J19" s="1718"/>
      <c r="K19" s="441"/>
      <c r="L19" s="1728"/>
      <c r="M19" s="1718"/>
      <c r="N19" s="1718"/>
      <c r="O19" s="1718"/>
      <c r="P19" s="1718"/>
      <c r="Q19" s="1718"/>
      <c r="R19" s="1718"/>
      <c r="S19" s="1718"/>
      <c r="T19" s="1718"/>
      <c r="U19" s="1718"/>
      <c r="V19" s="1718"/>
      <c r="W19" s="1718"/>
      <c r="X19" s="1718"/>
      <c r="Y19" s="1719"/>
      <c r="Z19" s="1720"/>
      <c r="AA19" s="441"/>
      <c r="AB19" s="1719"/>
      <c r="AC19" s="1718"/>
      <c r="AD19" s="441"/>
      <c r="AE19" s="2247"/>
      <c r="AF19" s="2203"/>
      <c r="AG19" s="2224"/>
      <c r="AH19" s="2211"/>
      <c r="AI19" s="2210"/>
    </row>
    <row r="20" spans="1:35" s="740" customFormat="1" ht="18.899999999999999" customHeight="1">
      <c r="A20" s="460" t="s">
        <v>24</v>
      </c>
      <c r="B20" s="441"/>
      <c r="C20" s="441"/>
      <c r="D20" s="441" t="s">
        <v>16</v>
      </c>
      <c r="E20" s="441"/>
      <c r="F20" s="441"/>
      <c r="G20" s="441"/>
      <c r="H20" s="1718"/>
      <c r="I20" s="1718"/>
      <c r="J20" s="1718"/>
      <c r="K20" s="441"/>
      <c r="L20" s="1728"/>
      <c r="M20" s="1718"/>
      <c r="N20" s="1718"/>
      <c r="O20" s="1718"/>
      <c r="P20" s="1718"/>
      <c r="Q20" s="1718"/>
      <c r="R20" s="1718"/>
      <c r="S20" s="1718"/>
      <c r="T20" s="1718"/>
      <c r="U20" s="1718"/>
      <c r="V20" s="1718"/>
      <c r="W20" s="1718"/>
      <c r="X20" s="1718"/>
      <c r="Y20" s="1719"/>
      <c r="Z20" s="1720"/>
      <c r="AA20" s="441"/>
      <c r="AB20" s="1719"/>
      <c r="AC20" s="1718"/>
      <c r="AD20" s="441"/>
      <c r="AE20" s="2247"/>
      <c r="AF20" s="2203"/>
      <c r="AG20" s="2224"/>
      <c r="AH20" s="2211"/>
      <c r="AI20" s="2210"/>
    </row>
    <row r="21" spans="1:35" s="740" customFormat="1" ht="18.899999999999999" customHeight="1">
      <c r="A21" s="351" t="s">
        <v>158</v>
      </c>
      <c r="B21" s="443"/>
      <c r="C21" s="441"/>
      <c r="D21" s="441"/>
      <c r="E21" s="441"/>
      <c r="F21" s="441"/>
      <c r="G21" s="441"/>
      <c r="H21" s="1718"/>
      <c r="I21" s="1718"/>
      <c r="J21" s="1718"/>
      <c r="K21" s="441"/>
      <c r="L21" s="1728"/>
      <c r="M21" s="1718"/>
      <c r="N21" s="1718"/>
      <c r="O21" s="1718"/>
      <c r="P21" s="1718"/>
      <c r="Q21" s="1718"/>
      <c r="R21" s="1718"/>
      <c r="S21" s="1718"/>
      <c r="T21" s="1718"/>
      <c r="U21" s="1718"/>
      <c r="V21" s="1718"/>
      <c r="W21" s="1718"/>
      <c r="X21" s="1718"/>
      <c r="Y21" s="1719"/>
      <c r="Z21" s="1720"/>
      <c r="AA21" s="443"/>
      <c r="AB21" s="1729"/>
      <c r="AC21" s="1730"/>
      <c r="AD21" s="443"/>
      <c r="AE21" s="2248"/>
      <c r="AF21" s="2204"/>
      <c r="AG21" s="2224"/>
      <c r="AH21" s="2211"/>
      <c r="AI21" s="2210"/>
    </row>
    <row r="22" spans="1:35" s="740" customFormat="1" ht="18.899999999999999" customHeight="1">
      <c r="A22" s="351" t="s">
        <v>226</v>
      </c>
      <c r="B22" s="1731">
        <v>4.8</v>
      </c>
      <c r="C22" s="441"/>
      <c r="D22" s="1731"/>
      <c r="E22" s="441"/>
      <c r="F22" s="723"/>
      <c r="G22" s="441"/>
      <c r="H22" s="723"/>
      <c r="I22" s="1718"/>
      <c r="J22" s="723"/>
      <c r="K22" s="441"/>
      <c r="L22" s="723"/>
      <c r="M22" s="1718"/>
      <c r="N22" s="723"/>
      <c r="O22" s="1718"/>
      <c r="P22" s="723"/>
      <c r="Q22" s="1718"/>
      <c r="R22" s="723"/>
      <c r="S22" s="1718"/>
      <c r="T22" s="723"/>
      <c r="U22" s="1718"/>
      <c r="V22" s="723"/>
      <c r="W22" s="1718"/>
      <c r="X22" s="723"/>
      <c r="Y22" s="1719"/>
      <c r="Z22" s="1720"/>
      <c r="AA22" s="1753">
        <f>ROUND(SUM(B22:X22),1)</f>
        <v>4.8</v>
      </c>
      <c r="AB22" s="1719"/>
      <c r="AC22" s="1718"/>
      <c r="AD22" s="692">
        <v>4.9000000000000004</v>
      </c>
      <c r="AE22" s="2249"/>
      <c r="AF22" s="2204"/>
      <c r="AG22" s="2224">
        <f>ROUND(SUM(AA22-AD22),1)</f>
        <v>-0.1</v>
      </c>
      <c r="AH22" s="2211"/>
      <c r="AI22" s="2230">
        <f>ROUND(IF(AG22=0,0,AG22/ABS(AD22)),3)</f>
        <v>-0.02</v>
      </c>
    </row>
    <row r="23" spans="1:35" s="740" customFormat="1" ht="18.899999999999999" customHeight="1">
      <c r="A23" s="1715" t="s">
        <v>177</v>
      </c>
      <c r="B23" s="1731">
        <v>0.7</v>
      </c>
      <c r="C23" s="441"/>
      <c r="D23" s="1731"/>
      <c r="E23" s="441"/>
      <c r="F23" s="723"/>
      <c r="G23" s="441"/>
      <c r="H23" s="723"/>
      <c r="I23" s="1718"/>
      <c r="J23" s="723"/>
      <c r="K23" s="441"/>
      <c r="L23" s="723"/>
      <c r="M23" s="1718"/>
      <c r="N23" s="723"/>
      <c r="O23" s="1718"/>
      <c r="P23" s="723"/>
      <c r="Q23" s="1718"/>
      <c r="R23" s="723"/>
      <c r="S23" s="1718"/>
      <c r="T23" s="723"/>
      <c r="U23" s="1718"/>
      <c r="V23" s="723"/>
      <c r="W23" s="1718"/>
      <c r="X23" s="723"/>
      <c r="Y23" s="1719"/>
      <c r="Z23" s="1720"/>
      <c r="AA23" s="3207">
        <f>ROUND(SUM(B23:X23),1)</f>
        <v>0.7</v>
      </c>
      <c r="AB23" s="1719"/>
      <c r="AC23" s="1718"/>
      <c r="AD23" s="443">
        <v>0.5</v>
      </c>
      <c r="AE23" s="2248"/>
      <c r="AF23" s="2204"/>
      <c r="AG23" s="2224">
        <f>ROUND(SUM(AA23-AD23),1)</f>
        <v>0.2</v>
      </c>
      <c r="AH23" s="2229"/>
      <c r="AI23" s="2230">
        <f>ROUND(IF(AG23=0,0,AG23/ABS(AD23)),3)</f>
        <v>0.4</v>
      </c>
    </row>
    <row r="24" spans="1:35" s="740" customFormat="1" ht="18.899999999999999" customHeight="1">
      <c r="A24" s="351" t="s">
        <v>161</v>
      </c>
      <c r="B24" s="1732">
        <v>0</v>
      </c>
      <c r="C24" s="441"/>
      <c r="D24" s="1716"/>
      <c r="E24" s="441"/>
      <c r="F24" s="1716"/>
      <c r="G24" s="441"/>
      <c r="H24" s="1732"/>
      <c r="I24" s="1718"/>
      <c r="J24" s="696"/>
      <c r="K24" s="441"/>
      <c r="L24" s="1732"/>
      <c r="M24" s="1718"/>
      <c r="N24" s="1732"/>
      <c r="O24" s="1718"/>
      <c r="P24" s="1716"/>
      <c r="Q24" s="1718"/>
      <c r="R24" s="1732"/>
      <c r="S24" s="1718"/>
      <c r="T24" s="696"/>
      <c r="U24" s="1718"/>
      <c r="V24" s="1732"/>
      <c r="W24" s="1718"/>
      <c r="X24" s="1716"/>
      <c r="Y24" s="1719"/>
      <c r="Z24" s="1720"/>
      <c r="AA24" s="1752">
        <f>ROUND(SUM(B24:X24),1)</f>
        <v>0</v>
      </c>
      <c r="AB24" s="1719"/>
      <c r="AC24" s="1718"/>
      <c r="AD24" s="1752">
        <v>0</v>
      </c>
      <c r="AE24" s="2250"/>
      <c r="AF24" s="2204"/>
      <c r="AG24" s="2224">
        <f>ROUND(SUM(AA24-AD24),1)</f>
        <v>0</v>
      </c>
      <c r="AH24" s="2211"/>
      <c r="AI24" s="2230">
        <f>ROUND(IF(AG24=0,0,AG24/ABS(AD24)),3)</f>
        <v>0</v>
      </c>
    </row>
    <row r="25" spans="1:35" s="740" customFormat="1" ht="22.5" customHeight="1">
      <c r="A25" s="460" t="s">
        <v>162</v>
      </c>
      <c r="B25" s="1733">
        <f>ROUND(SUM(B22)+SUM(B23)+SUM(B24),1)</f>
        <v>5.5</v>
      </c>
      <c r="C25" s="727"/>
      <c r="D25" s="1733">
        <f>ROUND(SUM(D22)+SUM(D23)+SUM(D24),1)</f>
        <v>0</v>
      </c>
      <c r="E25" s="727"/>
      <c r="F25" s="1733">
        <f>ROUND(SUM(F22)+SUM(F23)+SUM(F24),1)</f>
        <v>0</v>
      </c>
      <c r="G25" s="1733"/>
      <c r="H25" s="1733">
        <f>ROUND(SUM(H22)+SUM(H23)+SUM(H24),1)</f>
        <v>0</v>
      </c>
      <c r="I25" s="1723"/>
      <c r="J25" s="1733">
        <f>ROUND(SUM(J22)+SUM(J23)+SUM(J24),1)</f>
        <v>0</v>
      </c>
      <c r="K25" s="727"/>
      <c r="L25" s="1733">
        <f>ROUND(SUM(L22)+SUM(L23)+SUM(L24),1)</f>
        <v>0</v>
      </c>
      <c r="M25" s="1723"/>
      <c r="N25" s="1733">
        <f>ROUND(SUM(N22)+SUM(N23)+SUM(N24),1)</f>
        <v>0</v>
      </c>
      <c r="O25" s="1723"/>
      <c r="P25" s="1733">
        <f>ROUND(SUM(P22)+SUM(P23)+SUM(P24),1)</f>
        <v>0</v>
      </c>
      <c r="Q25" s="1723"/>
      <c r="R25" s="1733">
        <f>ROUND(SUM(R22)+SUM(R23)+SUM(R24),1)</f>
        <v>0</v>
      </c>
      <c r="S25" s="1723"/>
      <c r="T25" s="1733">
        <f>ROUND(SUM(T22)+SUM(T23)+SUM(T24),1)</f>
        <v>0</v>
      </c>
      <c r="U25" s="1723"/>
      <c r="V25" s="1733">
        <f>ROUND(SUM(V22)+SUM(V23)+SUM(V24),1)</f>
        <v>0</v>
      </c>
      <c r="W25" s="1723"/>
      <c r="X25" s="1733">
        <f>ROUND(SUM(X22)+SUM(X23)+SUM(X24),1)</f>
        <v>0</v>
      </c>
      <c r="Y25" s="1724"/>
      <c r="Z25" s="1725"/>
      <c r="AA25" s="1754">
        <f>ROUND(SUM(AA22:AA24),1)</f>
        <v>5.5</v>
      </c>
      <c r="AB25" s="1724"/>
      <c r="AC25" s="1725"/>
      <c r="AD25" s="1754">
        <f>ROUND(SUM(AD22:AD24),1)</f>
        <v>5.4</v>
      </c>
      <c r="AE25" s="2251"/>
      <c r="AF25" s="2204"/>
      <c r="AG25" s="2255">
        <f>ROUND(SUM(AG22:AG24),1)</f>
        <v>0.1</v>
      </c>
      <c r="AH25" s="2226"/>
      <c r="AI25" s="2257">
        <f>ROUND(IF(AG25=0,0,AG25/ABS(AD25)),3)</f>
        <v>1.9E-2</v>
      </c>
    </row>
    <row r="26" spans="1:35" s="740" customFormat="1" ht="18.899999999999999" customHeight="1">
      <c r="A26" s="351"/>
      <c r="B26" s="726"/>
      <c r="C26" s="441"/>
      <c r="D26" s="726" t="s">
        <v>16</v>
      </c>
      <c r="E26" s="441"/>
      <c r="F26" s="726"/>
      <c r="G26" s="441"/>
      <c r="H26" s="1726"/>
      <c r="I26" s="1718"/>
      <c r="J26" s="1726"/>
      <c r="K26" s="441"/>
      <c r="L26" s="1726"/>
      <c r="M26" s="1718"/>
      <c r="N26" s="1726"/>
      <c r="O26" s="1718"/>
      <c r="P26" s="1726"/>
      <c r="Q26" s="1718"/>
      <c r="R26" s="1726"/>
      <c r="S26" s="1718"/>
      <c r="T26" s="1726"/>
      <c r="U26" s="1718"/>
      <c r="V26" s="1726"/>
      <c r="W26" s="1718"/>
      <c r="X26" s="1726"/>
      <c r="Y26" s="1719"/>
      <c r="Z26" s="1720"/>
      <c r="AA26" s="726"/>
      <c r="AB26" s="1719"/>
      <c r="AC26" s="1717"/>
      <c r="AD26" s="726"/>
      <c r="AE26" s="2224"/>
      <c r="AF26" s="2203"/>
      <c r="AG26" s="2224"/>
      <c r="AH26" s="2211"/>
      <c r="AI26" s="2210"/>
    </row>
    <row r="27" spans="1:35" s="740" customFormat="1" ht="18.899999999999999" customHeight="1">
      <c r="A27" s="460" t="s">
        <v>163</v>
      </c>
      <c r="B27" s="441"/>
      <c r="C27" s="441"/>
      <c r="D27" s="448" t="s">
        <v>16</v>
      </c>
      <c r="E27" s="441"/>
      <c r="F27" s="441"/>
      <c r="G27" s="441"/>
      <c r="H27" s="1718"/>
      <c r="I27" s="1718"/>
      <c r="J27" s="1718"/>
      <c r="K27" s="441"/>
      <c r="L27" s="1718"/>
      <c r="M27" s="1718"/>
      <c r="N27" s="1718"/>
      <c r="O27" s="1718"/>
      <c r="P27" s="1718"/>
      <c r="Q27" s="1718"/>
      <c r="R27" s="1718"/>
      <c r="S27" s="1718"/>
      <c r="T27" s="1718"/>
      <c r="U27" s="1718"/>
      <c r="V27" s="1718"/>
      <c r="W27" s="1718"/>
      <c r="X27" s="1718"/>
      <c r="Y27" s="1719"/>
      <c r="Z27" s="1720"/>
      <c r="AA27" s="441"/>
      <c r="AB27" s="1719"/>
      <c r="AC27" s="1718"/>
      <c r="AD27" s="441"/>
      <c r="AE27" s="2247"/>
      <c r="AF27" s="2203"/>
      <c r="AG27" s="2224"/>
      <c r="AH27" s="2211"/>
      <c r="AI27" s="2210"/>
    </row>
    <row r="28" spans="1:35" s="740" customFormat="1" ht="18.75" customHeight="1">
      <c r="A28" s="460" t="s">
        <v>46</v>
      </c>
      <c r="B28" s="1734">
        <f>ROUND(B17-B25,1)</f>
        <v>1.7</v>
      </c>
      <c r="C28" s="727"/>
      <c r="D28" s="1734">
        <f>ROUND(D17-D25,1)</f>
        <v>0</v>
      </c>
      <c r="E28" s="727"/>
      <c r="F28" s="1734">
        <f>ROUND(F17-F25,1)</f>
        <v>0</v>
      </c>
      <c r="G28" s="727"/>
      <c r="H28" s="1734">
        <f>ROUND(H17-H25,1)</f>
        <v>0</v>
      </c>
      <c r="I28" s="730"/>
      <c r="J28" s="1734">
        <f>ROUND(J17-J25,1)</f>
        <v>0</v>
      </c>
      <c r="K28" s="727"/>
      <c r="L28" s="1734">
        <f>ROUND(L17-L25,1)</f>
        <v>0</v>
      </c>
      <c r="M28" s="1723"/>
      <c r="N28" s="1734">
        <f>ROUND(N17-N25,1)</f>
        <v>0</v>
      </c>
      <c r="O28" s="1723"/>
      <c r="P28" s="1734">
        <f>ROUND(P17-P25,1)</f>
        <v>0</v>
      </c>
      <c r="Q28" s="1723"/>
      <c r="R28" s="1734">
        <f>ROUND(R17-R25,1)</f>
        <v>0</v>
      </c>
      <c r="S28" s="1723"/>
      <c r="T28" s="1734">
        <f>ROUND(T17-T25,1)</f>
        <v>0</v>
      </c>
      <c r="U28" s="1723"/>
      <c r="V28" s="1734">
        <f>ROUND(V17-V25,1)</f>
        <v>0</v>
      </c>
      <c r="W28" s="1723"/>
      <c r="X28" s="1734">
        <f>ROUND(X17-X25,1)</f>
        <v>0</v>
      </c>
      <c r="Y28" s="1724"/>
      <c r="Z28" s="1725"/>
      <c r="AA28" s="1735">
        <f>ROUND(AA17-AA25,1)</f>
        <v>1.7</v>
      </c>
      <c r="AB28" s="1724"/>
      <c r="AC28" s="1736"/>
      <c r="AD28" s="1735">
        <f>ROUND(AD17-AD25,1)</f>
        <v>16.5</v>
      </c>
      <c r="AE28" s="2252"/>
      <c r="AF28" s="2204"/>
      <c r="AG28" s="2697">
        <f>ROUND(SUM(AA28-AD28),1)</f>
        <v>-14.8</v>
      </c>
      <c r="AH28" s="2211"/>
      <c r="AI28" s="3231">
        <f>ROUND(IF(AG28=0,0,AG28/ABS(AD28)),3)</f>
        <v>-0.89700000000000002</v>
      </c>
    </row>
    <row r="29" spans="1:35" s="740" customFormat="1" ht="18.899999999999999" customHeight="1">
      <c r="A29" s="351"/>
      <c r="B29" s="448"/>
      <c r="C29" s="441"/>
      <c r="D29" s="448" t="s">
        <v>16</v>
      </c>
      <c r="E29" s="441"/>
      <c r="F29" s="448"/>
      <c r="G29" s="441"/>
      <c r="H29" s="1717"/>
      <c r="I29" s="1718"/>
      <c r="J29" s="1717"/>
      <c r="K29" s="441"/>
      <c r="L29" s="1717"/>
      <c r="M29" s="1718"/>
      <c r="N29" s="1726"/>
      <c r="O29" s="1718"/>
      <c r="P29" s="1717"/>
      <c r="Q29" s="1718"/>
      <c r="R29" s="1726"/>
      <c r="S29" s="1718"/>
      <c r="T29" s="1717"/>
      <c r="U29" s="1718"/>
      <c r="V29" s="1717"/>
      <c r="W29" s="1718"/>
      <c r="X29" s="1726"/>
      <c r="Y29" s="1719"/>
      <c r="Z29" s="1720"/>
      <c r="AA29" s="448"/>
      <c r="AB29" s="1719"/>
      <c r="AC29" s="1717"/>
      <c r="AD29" s="448"/>
      <c r="AE29" s="2224"/>
      <c r="AF29" s="2205"/>
      <c r="AG29" s="2224"/>
      <c r="AH29" s="2211"/>
      <c r="AI29" s="2210"/>
    </row>
    <row r="30" spans="1:35" s="740" customFormat="1" ht="18.899999999999999" customHeight="1">
      <c r="A30" s="460" t="s">
        <v>47</v>
      </c>
      <c r="B30" s="441"/>
      <c r="C30" s="441"/>
      <c r="D30" s="441"/>
      <c r="E30" s="441"/>
      <c r="F30" s="441"/>
      <c r="G30" s="441"/>
      <c r="H30" s="1718"/>
      <c r="I30" s="1718"/>
      <c r="J30" s="1718"/>
      <c r="K30" s="441"/>
      <c r="L30" s="1718"/>
      <c r="M30" s="1718"/>
      <c r="N30" s="1718"/>
      <c r="O30" s="1718"/>
      <c r="P30" s="1718"/>
      <c r="Q30" s="1718"/>
      <c r="R30" s="1718"/>
      <c r="S30" s="1718"/>
      <c r="T30" s="1718"/>
      <c r="U30" s="1718"/>
      <c r="V30" s="1718"/>
      <c r="W30" s="1718"/>
      <c r="X30" s="1718"/>
      <c r="Y30" s="1719"/>
      <c r="Z30" s="1720"/>
      <c r="AA30" s="441"/>
      <c r="AB30" s="1719"/>
      <c r="AC30" s="1718"/>
      <c r="AD30" s="441"/>
      <c r="AE30" s="2247"/>
      <c r="AF30" s="2205"/>
      <c r="AG30" s="2224"/>
      <c r="AH30" s="2211"/>
      <c r="AI30" s="2210"/>
    </row>
    <row r="31" spans="1:35" s="740" customFormat="1" ht="18.899999999999999" customHeight="1">
      <c r="A31" s="351" t="s">
        <v>188</v>
      </c>
      <c r="B31" s="443">
        <v>0</v>
      </c>
      <c r="C31" s="441"/>
      <c r="D31" s="443"/>
      <c r="E31" s="441"/>
      <c r="F31" s="443"/>
      <c r="G31" s="441"/>
      <c r="H31" s="443"/>
      <c r="I31" s="1718"/>
      <c r="J31" s="443"/>
      <c r="K31" s="441"/>
      <c r="L31" s="443"/>
      <c r="M31" s="1718"/>
      <c r="N31" s="443"/>
      <c r="O31" s="1718"/>
      <c r="P31" s="443"/>
      <c r="Q31" s="1718"/>
      <c r="R31" s="443"/>
      <c r="S31" s="1718"/>
      <c r="T31" s="443"/>
      <c r="U31" s="1718"/>
      <c r="V31" s="443"/>
      <c r="W31" s="1718"/>
      <c r="X31" s="443"/>
      <c r="Y31" s="1719"/>
      <c r="Z31" s="1720"/>
      <c r="AA31" s="1753">
        <f>ROUND(SUM(B31:X31),1)</f>
        <v>0</v>
      </c>
      <c r="AB31" s="1719"/>
      <c r="AC31" s="1718"/>
      <c r="AD31" s="443">
        <v>0</v>
      </c>
      <c r="AE31" s="2248"/>
      <c r="AF31" s="2206"/>
      <c r="AG31" s="448">
        <f>ROUND(SUM(AA31-AD31),1)</f>
        <v>0</v>
      </c>
      <c r="AH31" s="2229"/>
      <c r="AI31" s="2230">
        <f>ROUND(IF(AG31=0,0,AG31/ABS(AD31)),3)</f>
        <v>0</v>
      </c>
    </row>
    <row r="32" spans="1:35" s="740" customFormat="1" ht="18.899999999999999" customHeight="1">
      <c r="A32" s="351" t="s">
        <v>189</v>
      </c>
      <c r="B32" s="443">
        <v>0</v>
      </c>
      <c r="C32" s="441"/>
      <c r="D32" s="443"/>
      <c r="E32" s="441"/>
      <c r="F32" s="443"/>
      <c r="G32" s="441"/>
      <c r="H32" s="443"/>
      <c r="I32" s="1718"/>
      <c r="J32" s="443"/>
      <c r="K32" s="441"/>
      <c r="L32" s="443"/>
      <c r="M32" s="1717"/>
      <c r="N32" s="443"/>
      <c r="O32" s="1717"/>
      <c r="P32" s="443"/>
      <c r="Q32" s="1717"/>
      <c r="R32" s="443"/>
      <c r="S32" s="1717"/>
      <c r="T32" s="443"/>
      <c r="U32" s="1717"/>
      <c r="V32" s="443"/>
      <c r="W32" s="1717"/>
      <c r="X32" s="443"/>
      <c r="Y32" s="1719"/>
      <c r="Z32" s="1720"/>
      <c r="AA32" s="1753">
        <f>ROUND(SUM(B32:X32),1)</f>
        <v>0</v>
      </c>
      <c r="AB32" s="1737"/>
      <c r="AC32" s="1738"/>
      <c r="AD32" s="443">
        <v>0</v>
      </c>
      <c r="AE32" s="2248"/>
      <c r="AF32" s="2205"/>
      <c r="AG32" s="448">
        <f>ROUND(SUM(AA32-AD32),1)</f>
        <v>0</v>
      </c>
      <c r="AH32" s="2229"/>
      <c r="AI32" s="2230">
        <f>ROUND(IF(AG32=0,0,AG32/ABS(AD32)),3)</f>
        <v>0</v>
      </c>
    </row>
    <row r="33" spans="1:35" s="740" customFormat="1" ht="22.5" customHeight="1">
      <c r="A33" s="460" t="s">
        <v>215</v>
      </c>
      <c r="B33" s="1739">
        <f>ROUND(SUM(B31:B32),1)</f>
        <v>0</v>
      </c>
      <c r="C33" s="727"/>
      <c r="D33" s="1739">
        <f>ROUND(SUM(D31:D32),1)</f>
        <v>0</v>
      </c>
      <c r="E33" s="733"/>
      <c r="F33" s="1739">
        <f>ROUND(SUM(F31:F32),1)</f>
        <v>0</v>
      </c>
      <c r="G33" s="733"/>
      <c r="H33" s="1739">
        <f>ROUND(SUM(H31:H32),1)</f>
        <v>0</v>
      </c>
      <c r="I33" s="1740"/>
      <c r="J33" s="1739">
        <f>ROUND(SUM(J31:J32),1)</f>
        <v>0</v>
      </c>
      <c r="K33" s="733"/>
      <c r="L33" s="1739">
        <f>ROUND(SUM(L31:L32),1)</f>
        <v>0</v>
      </c>
      <c r="M33" s="1740"/>
      <c r="N33" s="1739">
        <f>ROUND(SUM(N31:N32),1)</f>
        <v>0</v>
      </c>
      <c r="O33" s="1740"/>
      <c r="P33" s="1739">
        <f>ROUND(SUM(P31:P32),1)</f>
        <v>0</v>
      </c>
      <c r="Q33" s="1740"/>
      <c r="R33" s="1739">
        <f>ROUND(SUM(R31:R32),1)</f>
        <v>0</v>
      </c>
      <c r="S33" s="1740"/>
      <c r="T33" s="1739">
        <f>ROUND(SUM(T31:T32),1)</f>
        <v>0</v>
      </c>
      <c r="U33" s="1740"/>
      <c r="V33" s="1739">
        <f>ROUND(SUM(V31:V32),1)</f>
        <v>0</v>
      </c>
      <c r="W33" s="1740"/>
      <c r="X33" s="1739">
        <f>ROUND(SUM(X31:X32),1)</f>
        <v>0</v>
      </c>
      <c r="Y33" s="1724"/>
      <c r="Z33" s="1725"/>
      <c r="AA33" s="1758">
        <f>ROUND(SUM(AA31:AA32),1)</f>
        <v>0</v>
      </c>
      <c r="AB33" s="1741"/>
      <c r="AC33" s="1742"/>
      <c r="AD33" s="1758">
        <f>ROUND(SUM(AD31:AD32),1)</f>
        <v>0</v>
      </c>
      <c r="AE33" s="2253"/>
      <c r="AF33" s="2206"/>
      <c r="AG33" s="2255">
        <f>ROUND(SUM(AG31-AG32),1)</f>
        <v>0</v>
      </c>
      <c r="AH33" s="2236"/>
      <c r="AI33" s="2257">
        <f>ROUND(IF(AG33=0,0,AG33/ABS(AD33)),3)</f>
        <v>0</v>
      </c>
    </row>
    <row r="34" spans="1:35" s="740" customFormat="1" ht="18.899999999999999" customHeight="1">
      <c r="A34" s="351"/>
      <c r="B34" s="726"/>
      <c r="C34" s="441"/>
      <c r="D34" s="726" t="s">
        <v>16</v>
      </c>
      <c r="E34" s="441"/>
      <c r="F34" s="726"/>
      <c r="G34" s="441"/>
      <c r="H34" s="1726"/>
      <c r="I34" s="1718"/>
      <c r="J34" s="1726"/>
      <c r="K34" s="441"/>
      <c r="L34" s="1726"/>
      <c r="M34" s="1718"/>
      <c r="N34" s="1726"/>
      <c r="O34" s="1718"/>
      <c r="P34" s="1726"/>
      <c r="Q34" s="1718"/>
      <c r="R34" s="1726"/>
      <c r="S34" s="1718"/>
      <c r="T34" s="1726"/>
      <c r="U34" s="1718"/>
      <c r="V34" s="1726"/>
      <c r="W34" s="1718"/>
      <c r="X34" s="1726"/>
      <c r="Y34" s="1719"/>
      <c r="Z34" s="1720"/>
      <c r="AA34" s="726"/>
      <c r="AB34" s="1719"/>
      <c r="AC34" s="1717"/>
      <c r="AD34" s="726"/>
      <c r="AE34" s="2224"/>
      <c r="AF34" s="2203"/>
      <c r="AG34" s="2224"/>
      <c r="AH34" s="2211"/>
      <c r="AI34" s="2210"/>
    </row>
    <row r="35" spans="1:35" s="740" customFormat="1" ht="18.899999999999999" customHeight="1">
      <c r="A35" s="460" t="s">
        <v>172</v>
      </c>
      <c r="B35" s="441"/>
      <c r="C35" s="441"/>
      <c r="D35" s="441" t="s">
        <v>16</v>
      </c>
      <c r="E35" s="441"/>
      <c r="F35" s="441"/>
      <c r="G35" s="441"/>
      <c r="H35" s="1718"/>
      <c r="I35" s="1718"/>
      <c r="J35" s="1718"/>
      <c r="K35" s="441"/>
      <c r="L35" s="1718"/>
      <c r="M35" s="1718"/>
      <c r="N35" s="1718"/>
      <c r="O35" s="1718"/>
      <c r="P35" s="1718"/>
      <c r="Q35" s="1718"/>
      <c r="R35" s="1718"/>
      <c r="S35" s="1718"/>
      <c r="T35" s="1718"/>
      <c r="U35" s="1718"/>
      <c r="V35" s="1718"/>
      <c r="W35" s="1718"/>
      <c r="X35" s="1718"/>
      <c r="Y35" s="1719"/>
      <c r="Z35" s="1720"/>
      <c r="AA35" s="441"/>
      <c r="AB35" s="1719"/>
      <c r="AC35" s="1718"/>
      <c r="AD35" s="441"/>
      <c r="AE35" s="2247"/>
      <c r="AF35" s="2203"/>
      <c r="AG35" s="2224"/>
      <c r="AH35" s="2211"/>
      <c r="AI35" s="2210"/>
    </row>
    <row r="36" spans="1:35" s="740" customFormat="1" ht="18.899999999999999" customHeight="1">
      <c r="A36" s="460" t="s">
        <v>234</v>
      </c>
      <c r="B36" s="441"/>
      <c r="C36" s="441"/>
      <c r="D36" s="441"/>
      <c r="E36" s="441"/>
      <c r="F36" s="441"/>
      <c r="G36" s="441"/>
      <c r="H36" s="1718"/>
      <c r="I36" s="1718"/>
      <c r="J36" s="1718"/>
      <c r="K36" s="441"/>
      <c r="L36" s="1718"/>
      <c r="M36" s="1718"/>
      <c r="N36" s="1718"/>
      <c r="O36" s="1718"/>
      <c r="P36" s="1718"/>
      <c r="Q36" s="1718"/>
      <c r="R36" s="1718"/>
      <c r="S36" s="1718"/>
      <c r="T36" s="1751"/>
      <c r="U36" s="1718"/>
      <c r="V36" s="1718"/>
      <c r="W36" s="1718"/>
      <c r="X36" s="1718"/>
      <c r="Y36" s="1719"/>
      <c r="Z36" s="1720"/>
      <c r="AA36" s="441"/>
      <c r="AB36" s="1719"/>
      <c r="AC36" s="1718"/>
      <c r="AD36" s="733"/>
      <c r="AE36" s="2254"/>
      <c r="AF36" s="2207"/>
      <c r="AG36" s="2224"/>
      <c r="AH36" s="2211"/>
      <c r="AI36" s="2210"/>
    </row>
    <row r="37" spans="1:35" s="742" customFormat="1" ht="18.899999999999999" customHeight="1">
      <c r="A37" s="460" t="s">
        <v>1069</v>
      </c>
      <c r="B37" s="1733">
        <f>ROUND(+B28+B33,1)</f>
        <v>1.7</v>
      </c>
      <c r="C37" s="727"/>
      <c r="D37" s="1733">
        <f>ROUND(+D28+D33,1)</f>
        <v>0</v>
      </c>
      <c r="E37" s="733"/>
      <c r="F37" s="1733">
        <f>ROUND(+F28+F33,1)</f>
        <v>0</v>
      </c>
      <c r="G37" s="733"/>
      <c r="H37" s="1733">
        <f>ROUND(+H28+H33,1)</f>
        <v>0</v>
      </c>
      <c r="I37" s="1740"/>
      <c r="J37" s="1733">
        <f>ROUND(+J28+J33,1)</f>
        <v>0</v>
      </c>
      <c r="K37" s="733"/>
      <c r="L37" s="1733">
        <f>ROUND(+L28+L33,1)</f>
        <v>0</v>
      </c>
      <c r="M37" s="1743"/>
      <c r="N37" s="1733">
        <f>ROUND(+N28+N33,1)</f>
        <v>0</v>
      </c>
      <c r="O37" s="1743"/>
      <c r="P37" s="1733">
        <f>ROUND(+P28+P33,1)</f>
        <v>0</v>
      </c>
      <c r="Q37" s="1743"/>
      <c r="R37" s="1733">
        <f>ROUND(+R28+R33,1)</f>
        <v>0</v>
      </c>
      <c r="S37" s="1740"/>
      <c r="T37" s="1733">
        <f>ROUND(+T28+T33,1)</f>
        <v>0</v>
      </c>
      <c r="U37" s="1740"/>
      <c r="V37" s="1733">
        <f>ROUND(+V28+V33,1)</f>
        <v>0</v>
      </c>
      <c r="W37" s="1740"/>
      <c r="X37" s="1733">
        <f>ROUND(+X28+X33,1)</f>
        <v>0</v>
      </c>
      <c r="Y37" s="1724"/>
      <c r="Z37" s="1725"/>
      <c r="AA37" s="1743">
        <f>ROUND(AA28+AA33,1)</f>
        <v>1.7</v>
      </c>
      <c r="AB37" s="730"/>
      <c r="AC37" s="1744"/>
      <c r="AD37" s="1743">
        <f>ROUND(AD28+AD33,1)</f>
        <v>16.5</v>
      </c>
      <c r="AE37" s="2252"/>
      <c r="AF37" s="2208"/>
      <c r="AG37" s="2697">
        <f>ROUND(SUM(AA37-AD37),1)</f>
        <v>-14.8</v>
      </c>
      <c r="AH37" s="2211"/>
      <c r="AI37" s="3230">
        <f>ROUND(IF(AG37=0,0,AG37/ABS(AD37)),3)</f>
        <v>-0.89700000000000002</v>
      </c>
    </row>
    <row r="38" spans="1:35" s="740" customFormat="1" ht="22.5" customHeight="1" thickBot="1">
      <c r="A38" s="460" t="s">
        <v>146</v>
      </c>
      <c r="B38" s="1745">
        <f>ROUND(B13+B37,1)</f>
        <v>1.8</v>
      </c>
      <c r="C38" s="715"/>
      <c r="D38" s="1745">
        <f>ROUND(D13+D37,1)</f>
        <v>0</v>
      </c>
      <c r="E38" s="715"/>
      <c r="F38" s="1745">
        <f>ROUND(F13+F37,1)</f>
        <v>0</v>
      </c>
      <c r="G38" s="715"/>
      <c r="H38" s="1745">
        <f>ROUND(H13+H37,1)</f>
        <v>0</v>
      </c>
      <c r="I38" s="1746"/>
      <c r="J38" s="1745">
        <f>ROUND(J13+J37,1)</f>
        <v>0</v>
      </c>
      <c r="K38" s="715"/>
      <c r="L38" s="1745">
        <f>ROUND(L13+L37,1)</f>
        <v>0</v>
      </c>
      <c r="M38" s="718"/>
      <c r="N38" s="1745">
        <f>ROUND(N13+N37,1)</f>
        <v>0</v>
      </c>
      <c r="O38" s="718"/>
      <c r="P38" s="1745">
        <f>ROUND(P13+P37,1)</f>
        <v>0</v>
      </c>
      <c r="Q38" s="718"/>
      <c r="R38" s="1745">
        <f>ROUND(R13+R37,1)</f>
        <v>0</v>
      </c>
      <c r="S38" s="1746"/>
      <c r="T38" s="1745">
        <f>ROUND(T13+T37,1)</f>
        <v>0</v>
      </c>
      <c r="U38" s="1746"/>
      <c r="V38" s="1745">
        <f>ROUND(V13+V37,1)</f>
        <v>0</v>
      </c>
      <c r="W38" s="1746"/>
      <c r="X38" s="1745">
        <f>ROUND(X13+X37,1)</f>
        <v>0</v>
      </c>
      <c r="Y38" s="1707"/>
      <c r="Z38" s="1708"/>
      <c r="AA38" s="1745">
        <f>ROUND(SUM(AA13,AA37),1)</f>
        <v>1.8</v>
      </c>
      <c r="AB38" s="718"/>
      <c r="AC38" s="1747"/>
      <c r="AD38" s="1795">
        <f>ROUND(SUM(AD13,AD37),1)</f>
        <v>-0.4</v>
      </c>
      <c r="AE38" s="2218"/>
      <c r="AF38" s="2209"/>
      <c r="AG38" s="2259">
        <f>ROUND(SUM(AA38-AD38),1)</f>
        <v>2.2000000000000002</v>
      </c>
      <c r="AH38" s="2235"/>
      <c r="AI38" s="2795">
        <f>ROUND(IF(AG38=0,0,AG38/ABS(AD38)),3)</f>
        <v>5.5</v>
      </c>
    </row>
    <row r="39" spans="1:35" s="740" customFormat="1" ht="18.899999999999999" customHeight="1" thickTop="1">
      <c r="A39" s="351" t="s">
        <v>16</v>
      </c>
      <c r="B39" s="1748"/>
      <c r="C39" s="1749"/>
      <c r="D39" s="1748"/>
      <c r="E39" s="1749"/>
      <c r="F39" s="1748"/>
      <c r="G39" s="1749"/>
      <c r="H39" s="1748"/>
      <c r="I39" s="1749"/>
      <c r="J39" s="1748"/>
      <c r="K39" s="1749"/>
      <c r="L39" s="1748"/>
      <c r="M39" s="1749"/>
      <c r="N39" s="1748"/>
      <c r="O39" s="1749"/>
      <c r="P39" s="1748"/>
      <c r="Q39" s="1749"/>
      <c r="R39" s="1748"/>
      <c r="S39" s="1749"/>
      <c r="T39" s="1748"/>
      <c r="U39" s="1749"/>
      <c r="V39" s="1748"/>
      <c r="W39" s="1749"/>
      <c r="X39" s="1748"/>
      <c r="Y39" s="1749"/>
      <c r="Z39" s="1749"/>
      <c r="AA39" s="1748"/>
      <c r="AB39" s="1750"/>
      <c r="AC39" s="1750"/>
      <c r="AD39" s="1750"/>
      <c r="AE39" s="2233"/>
      <c r="AF39" s="2233"/>
      <c r="AG39" s="2220"/>
      <c r="AH39" s="2211"/>
      <c r="AI39" s="2210"/>
    </row>
    <row r="40" spans="1:35" s="740" customFormat="1" ht="18.899999999999999" customHeight="1">
      <c r="B40" s="1253"/>
      <c r="C40" s="1668"/>
      <c r="D40" s="1253"/>
      <c r="E40" s="1253"/>
      <c r="F40" s="1253"/>
      <c r="G40" s="1253"/>
      <c r="H40" s="1253"/>
      <c r="I40" s="1253"/>
      <c r="J40" s="1253"/>
      <c r="K40" s="1253"/>
      <c r="L40" s="1253"/>
      <c r="M40" s="1253"/>
      <c r="N40" s="1253"/>
      <c r="O40" s="1253"/>
      <c r="P40" s="1253"/>
      <c r="Q40" s="1253"/>
      <c r="R40" s="1253"/>
      <c r="S40" s="1253"/>
      <c r="T40" s="1253"/>
      <c r="U40" s="1253"/>
      <c r="V40" s="1253"/>
      <c r="W40" s="1253"/>
      <c r="X40" s="1253"/>
      <c r="Y40" s="1253"/>
      <c r="Z40" s="1750"/>
      <c r="AA40" s="1750"/>
      <c r="AB40" s="1750"/>
      <c r="AC40" s="1750"/>
      <c r="AD40" s="1750"/>
      <c r="AE40" s="2233"/>
      <c r="AF40" s="2233"/>
      <c r="AG40" s="2220"/>
      <c r="AH40" s="2211"/>
      <c r="AI40" s="2210"/>
    </row>
    <row r="41" spans="1:35" ht="15.75" customHeight="1">
      <c r="A41" s="744"/>
      <c r="B41" s="1668"/>
      <c r="C41" s="1668"/>
      <c r="D41" s="1668"/>
      <c r="E41" s="1668"/>
      <c r="F41" s="1668"/>
      <c r="G41" s="1668"/>
      <c r="H41" s="1668"/>
      <c r="I41" s="1668"/>
      <c r="J41" s="1668"/>
      <c r="K41" s="1668"/>
      <c r="L41" s="1668"/>
      <c r="M41" s="1668"/>
      <c r="N41" s="1668"/>
      <c r="O41" s="1668"/>
      <c r="P41" s="1668"/>
      <c r="Q41" s="1668"/>
      <c r="R41" s="1668"/>
      <c r="S41" s="1668"/>
      <c r="T41" s="1668"/>
      <c r="U41" s="1668"/>
      <c r="V41" s="1668"/>
      <c r="W41" s="1668"/>
      <c r="X41" s="1668"/>
      <c r="Y41" s="1668"/>
      <c r="Z41" s="1668"/>
      <c r="AA41" s="367"/>
      <c r="AB41" s="367"/>
      <c r="AC41" s="367"/>
      <c r="AD41" s="1749"/>
      <c r="AE41" s="2213"/>
      <c r="AF41" s="2213"/>
      <c r="AG41" s="2220"/>
    </row>
    <row r="42" spans="1:35">
      <c r="A42" s="740"/>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row>
    <row r="43" spans="1:35" ht="13.5" customHeight="1">
      <c r="A43" s="1343"/>
      <c r="B43" s="1668"/>
      <c r="C43" s="1668"/>
      <c r="D43" s="1668"/>
      <c r="E43" s="1668"/>
      <c r="F43" s="1668"/>
      <c r="G43" s="1668"/>
      <c r="H43" s="1668"/>
      <c r="I43" s="1668"/>
      <c r="J43" s="1668"/>
      <c r="K43" s="1668"/>
      <c r="L43" s="1668"/>
      <c r="M43" s="1668"/>
      <c r="N43" s="1668"/>
      <c r="O43" s="1668"/>
      <c r="P43" s="1668"/>
      <c r="Q43" s="1668"/>
      <c r="R43" s="1668"/>
      <c r="S43" s="1668"/>
      <c r="T43" s="1668"/>
      <c r="U43" s="1668"/>
      <c r="V43" s="1668"/>
      <c r="W43" s="1668"/>
      <c r="X43" s="1668"/>
      <c r="Y43" s="1668"/>
      <c r="Z43" s="1668"/>
      <c r="AA43" s="367"/>
      <c r="AB43" s="367"/>
      <c r="AC43" s="367"/>
      <c r="AD43" s="1749"/>
      <c r="AE43" s="2213"/>
      <c r="AF43" s="2213"/>
      <c r="AG43" s="2220"/>
    </row>
    <row r="44" spans="1:35">
      <c r="A44" s="1343"/>
      <c r="B44" s="1668"/>
      <c r="C44" s="1668"/>
      <c r="D44" s="1668"/>
      <c r="E44" s="1668"/>
      <c r="F44" s="1668"/>
      <c r="G44" s="1668"/>
      <c r="H44" s="1668"/>
      <c r="I44" s="1668"/>
      <c r="J44" s="1668"/>
      <c r="K44" s="1668"/>
      <c r="L44" s="1668"/>
      <c r="M44" s="1668"/>
      <c r="N44" s="1668"/>
      <c r="O44" s="1668"/>
      <c r="P44" s="1668"/>
      <c r="Q44" s="1668"/>
      <c r="R44" s="1668"/>
      <c r="S44" s="1668"/>
      <c r="T44" s="1668"/>
      <c r="U44" s="1668"/>
      <c r="V44" s="1668"/>
      <c r="W44" s="1668"/>
      <c r="X44" s="1668"/>
      <c r="Y44" s="1668"/>
      <c r="Z44" s="1668"/>
      <c r="AA44" s="367"/>
      <c r="AB44" s="367"/>
      <c r="AC44" s="367"/>
      <c r="AD44" s="1749"/>
      <c r="AE44" s="2213"/>
      <c r="AF44" s="2213"/>
      <c r="AG44" s="2220"/>
    </row>
    <row r="45" spans="1:35">
      <c r="A45" s="1343"/>
      <c r="B45" s="1668"/>
      <c r="C45" s="1668"/>
      <c r="D45" s="1668"/>
      <c r="E45" s="1668"/>
      <c r="F45" s="1668"/>
      <c r="G45" s="1668"/>
      <c r="H45" s="1668"/>
      <c r="I45" s="1668"/>
      <c r="J45" s="1668"/>
      <c r="K45" s="1668"/>
      <c r="L45" s="1668"/>
      <c r="M45" s="1668"/>
      <c r="N45" s="1668"/>
      <c r="O45" s="1668"/>
      <c r="P45" s="1668"/>
      <c r="Q45" s="1668"/>
      <c r="R45" s="1668"/>
      <c r="S45" s="1668"/>
      <c r="T45" s="1668"/>
      <c r="U45" s="1668"/>
      <c r="V45" s="1668"/>
      <c r="W45" s="1668"/>
      <c r="X45" s="1668"/>
      <c r="Y45" s="1668"/>
      <c r="Z45" s="1668"/>
      <c r="AA45" s="367"/>
      <c r="AB45" s="367"/>
      <c r="AC45" s="367"/>
      <c r="AD45" s="1749"/>
      <c r="AE45" s="2213"/>
      <c r="AF45" s="2213"/>
    </row>
    <row r="46" spans="1:35">
      <c r="A46" s="1343"/>
      <c r="B46" s="1668"/>
      <c r="C46" s="1668"/>
      <c r="D46" s="1668"/>
      <c r="E46" s="1668"/>
      <c r="F46" s="1668"/>
      <c r="G46" s="1668"/>
      <c r="H46" s="1668"/>
      <c r="I46" s="1668"/>
      <c r="J46" s="1668"/>
      <c r="K46" s="1668"/>
      <c r="L46" s="1668"/>
      <c r="M46" s="1668"/>
      <c r="N46" s="1668"/>
      <c r="O46" s="1668"/>
      <c r="P46" s="1668"/>
      <c r="Q46" s="1668"/>
      <c r="R46" s="1668"/>
      <c r="S46" s="1668"/>
      <c r="T46" s="1668"/>
      <c r="U46" s="1668"/>
      <c r="V46" s="1668"/>
      <c r="W46" s="1668"/>
      <c r="X46" s="1668"/>
      <c r="Y46" s="1668"/>
      <c r="Z46" s="1668"/>
      <c r="AA46" s="367"/>
      <c r="AB46" s="367"/>
      <c r="AC46" s="367"/>
      <c r="AD46" s="1749"/>
      <c r="AE46" s="2213"/>
      <c r="AF46" s="2213"/>
    </row>
    <row r="47" spans="1:35">
      <c r="A47" s="1343"/>
      <c r="B47" s="1343"/>
      <c r="C47" s="1343"/>
      <c r="D47" s="1343"/>
      <c r="E47" s="1343"/>
      <c r="F47" s="1343"/>
      <c r="G47" s="1343"/>
      <c r="H47" s="1343"/>
      <c r="I47" s="1343"/>
      <c r="J47" s="1343"/>
      <c r="K47" s="1343"/>
      <c r="L47" s="1343"/>
      <c r="M47" s="1343"/>
      <c r="N47" s="1343"/>
      <c r="O47" s="1343"/>
      <c r="P47" s="1343"/>
      <c r="Q47" s="1343"/>
      <c r="R47" s="1343"/>
      <c r="S47" s="1343"/>
      <c r="T47" s="1343"/>
      <c r="U47" s="1343"/>
      <c r="V47" s="1343"/>
      <c r="W47" s="1343"/>
      <c r="X47" s="1343"/>
      <c r="Y47" s="1343"/>
      <c r="Z47" s="1343"/>
      <c r="AA47" s="223"/>
      <c r="AB47" s="223"/>
      <c r="AC47" s="223"/>
      <c r="AD47" s="351"/>
    </row>
  </sheetData>
  <customSheetViews>
    <customSheetView guid="{8EE6466D-211E-4E05-9F84-CC0A1C6F79F4}" scale="60" showGridLines="0" outlineSymbols="0" fitToPage="1">
      <selection activeCell="F14" sqref="F14"/>
      <pageMargins left="0.5" right="0.42708333300000001" top="0.46666666666666701" bottom="0.6" header="0" footer="0.25"/>
      <pageSetup scale="43" fitToHeight="0" orientation="landscape" r:id="rId1"/>
      <headerFooter scaleWithDoc="0" alignWithMargins="0">
        <oddFooter>&amp;C&amp;8 36</oddFooter>
      </headerFooter>
    </customSheetView>
  </customSheetViews>
  <mergeCells count="2">
    <mergeCell ref="AC9:AI9"/>
    <mergeCell ref="Z10:AI10"/>
  </mergeCells>
  <pageMargins left="0.5" right="0.42708333300000001" top="0.46666666666666701" bottom="0.6" header="0" footer="0.25"/>
  <pageSetup scale="43" firstPageNumber="36" fitToHeight="0" orientation="landscape" useFirstPageNumber="1" r:id="rId2"/>
  <headerFooter scaleWithDoc="0" alignWithMargins="0">
    <oddFooter>&amp;C&amp;8&amp;P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AI47"/>
  <sheetViews>
    <sheetView zoomScale="70" zoomScaleNormal="70" workbookViewId="0"/>
  </sheetViews>
  <sheetFormatPr defaultColWidth="8.90625" defaultRowHeight="13.2"/>
  <cols>
    <col min="1" max="1" width="46.90625" style="738" customWidth="1"/>
    <col min="2" max="2" width="8.6328125" style="738" customWidth="1"/>
    <col min="3" max="3" width="1.6328125" style="738" customWidth="1"/>
    <col min="4" max="4" width="8.6328125" style="738" customWidth="1"/>
    <col min="5" max="5" width="1.6328125" style="738" customWidth="1"/>
    <col min="6" max="6" width="8.6328125" style="738" customWidth="1"/>
    <col min="7" max="7" width="1.6328125" style="738" customWidth="1"/>
    <col min="8" max="8" width="8.6328125" style="738" customWidth="1"/>
    <col min="9" max="9" width="1.6328125" style="738" customWidth="1"/>
    <col min="10" max="10" width="10.6328125" style="738" customWidth="1"/>
    <col min="11" max="11" width="1.6328125" style="738" customWidth="1"/>
    <col min="12" max="12" width="14.81640625" style="738" bestFit="1" customWidth="1"/>
    <col min="13" max="13" width="1.6328125" style="738" customWidth="1"/>
    <col min="14" max="14" width="11.90625" style="738" bestFit="1" customWidth="1"/>
    <col min="15" max="15" width="1.6328125" style="738" customWidth="1"/>
    <col min="16" max="16" width="13.54296875" style="738" bestFit="1" customWidth="1"/>
    <col min="17" max="17" width="1.6328125" style="738" customWidth="1"/>
    <col min="18" max="18" width="13.54296875" style="738" bestFit="1" customWidth="1"/>
    <col min="19" max="19" width="1.6328125" style="738" customWidth="1"/>
    <col min="20" max="20" width="11" style="738" bestFit="1" customWidth="1"/>
    <col min="21" max="21" width="1.6328125" style="738" customWidth="1"/>
    <col min="22" max="22" width="12.6328125" style="738" bestFit="1" customWidth="1"/>
    <col min="23" max="23" width="1.6328125" style="738" customWidth="1"/>
    <col min="24" max="24" width="8.6328125" style="738" customWidth="1"/>
    <col min="25" max="26" width="1.6328125" style="738" customWidth="1"/>
    <col min="27" max="27" width="10.08984375" style="738" customWidth="1"/>
    <col min="28" max="29" width="1.81640625" style="738" customWidth="1"/>
    <col min="30" max="30" width="10.08984375" style="738" customWidth="1"/>
    <col min="31" max="31" width="1.81640625" style="738" customWidth="1"/>
    <col min="32" max="32" width="2.453125" style="738" customWidth="1"/>
    <col min="33" max="33" width="10.36328125" style="746" bestFit="1" customWidth="1"/>
    <col min="34" max="34" width="1.6328125" style="746" customWidth="1"/>
    <col min="35" max="35" width="11.08984375" style="738" customWidth="1"/>
    <col min="36" max="16384" width="8.90625" style="738"/>
  </cols>
  <sheetData>
    <row r="1" spans="1:35" ht="15">
      <c r="A1" s="1172" t="s">
        <v>1103</v>
      </c>
    </row>
    <row r="2" spans="1:35" ht="15">
      <c r="A2" s="1685"/>
    </row>
    <row r="3" spans="1:35" ht="20.25" customHeight="1">
      <c r="A3" s="1694" t="s">
        <v>0</v>
      </c>
      <c r="B3" s="223"/>
      <c r="C3" s="223"/>
      <c r="D3" s="223"/>
      <c r="E3" s="223"/>
      <c r="F3" s="223"/>
      <c r="G3" s="223"/>
      <c r="H3" s="223"/>
      <c r="I3" s="223"/>
      <c r="J3" s="223"/>
      <c r="K3" s="221"/>
      <c r="L3" s="221"/>
      <c r="M3" s="223"/>
      <c r="N3" s="223"/>
      <c r="O3" s="223"/>
      <c r="P3" s="223"/>
      <c r="Q3" s="223"/>
      <c r="R3" s="223"/>
      <c r="S3" s="223"/>
      <c r="T3" s="223"/>
      <c r="U3" s="223"/>
      <c r="V3" s="223"/>
      <c r="W3" s="223"/>
      <c r="X3" s="223"/>
      <c r="Y3" s="223"/>
      <c r="Z3" s="223"/>
      <c r="AA3" s="223"/>
      <c r="AB3" s="223"/>
      <c r="AC3" s="223"/>
      <c r="AD3" s="223"/>
      <c r="AE3" s="223"/>
      <c r="AF3" s="223"/>
      <c r="AG3" s="745"/>
      <c r="AI3" s="1693" t="s">
        <v>236</v>
      </c>
    </row>
    <row r="4" spans="1:35" ht="20.25" customHeight="1">
      <c r="A4" s="1696" t="s">
        <v>235</v>
      </c>
      <c r="B4" s="223"/>
      <c r="C4" s="223"/>
      <c r="D4" s="223"/>
      <c r="E4" s="223"/>
      <c r="F4" s="223"/>
      <c r="G4" s="223"/>
      <c r="H4" s="221" t="s">
        <v>16</v>
      </c>
      <c r="I4" s="223"/>
      <c r="J4" s="223"/>
      <c r="K4" s="221"/>
      <c r="L4" s="221"/>
      <c r="M4" s="223"/>
      <c r="N4" s="223"/>
      <c r="O4" s="223"/>
      <c r="P4" s="223"/>
      <c r="Q4" s="223"/>
      <c r="R4" s="223"/>
      <c r="S4" s="223"/>
      <c r="T4" s="223"/>
      <c r="U4" s="223"/>
      <c r="V4" s="223"/>
      <c r="W4" s="223"/>
      <c r="X4" s="223" t="s">
        <v>16</v>
      </c>
      <c r="Y4" s="223"/>
      <c r="Z4" s="223"/>
      <c r="AA4" s="223"/>
      <c r="AB4" s="223"/>
      <c r="AC4" s="223"/>
      <c r="AD4" s="223"/>
      <c r="AE4" s="223"/>
      <c r="AF4" s="223"/>
      <c r="AG4" s="745"/>
    </row>
    <row r="5" spans="1:35" ht="20.25" customHeight="1">
      <c r="A5" s="1696" t="s">
        <v>128</v>
      </c>
      <c r="B5" s="223"/>
      <c r="C5" s="223"/>
      <c r="D5" s="223"/>
      <c r="E5" s="223"/>
      <c r="F5" s="223"/>
      <c r="G5" s="223"/>
      <c r="H5" s="223"/>
      <c r="I5" s="223"/>
      <c r="J5" s="223"/>
      <c r="K5" s="221"/>
      <c r="L5" s="221"/>
      <c r="M5" s="223"/>
      <c r="N5" s="223"/>
      <c r="O5" s="223"/>
      <c r="P5" s="223"/>
      <c r="Q5" s="223"/>
      <c r="R5" s="223"/>
      <c r="S5" s="223"/>
      <c r="T5" s="223"/>
      <c r="U5" s="223"/>
      <c r="V5" s="223"/>
      <c r="W5" s="223"/>
      <c r="X5" s="223"/>
      <c r="Y5" s="223"/>
      <c r="Z5" s="223"/>
      <c r="AB5" s="739"/>
      <c r="AC5" s="739"/>
      <c r="AE5" s="1693"/>
      <c r="AG5" s="745"/>
    </row>
    <row r="6" spans="1:35" ht="20.25" customHeight="1">
      <c r="A6" s="1696" t="s">
        <v>1459</v>
      </c>
      <c r="B6" s="223"/>
      <c r="C6" s="223"/>
      <c r="D6" s="223"/>
      <c r="E6" s="223"/>
      <c r="F6" s="223"/>
      <c r="G6" s="223"/>
      <c r="H6" s="223"/>
      <c r="I6" s="223"/>
      <c r="J6" s="223"/>
      <c r="K6" s="221"/>
      <c r="L6" s="221"/>
      <c r="M6" s="223"/>
      <c r="N6" s="223"/>
      <c r="O6" s="223"/>
      <c r="P6" s="223"/>
      <c r="Q6" s="223"/>
      <c r="R6" s="223"/>
      <c r="S6" s="223"/>
      <c r="T6" s="223"/>
      <c r="U6" s="223"/>
      <c r="V6" s="223"/>
      <c r="W6" s="223"/>
      <c r="X6" s="223"/>
      <c r="Y6" s="223"/>
      <c r="Z6" s="223"/>
      <c r="AA6" s="223"/>
      <c r="AB6" s="223"/>
      <c r="AC6" s="223"/>
      <c r="AD6" s="223"/>
      <c r="AE6" s="223"/>
      <c r="AF6" s="223"/>
      <c r="AG6" s="745"/>
    </row>
    <row r="7" spans="1:35" ht="20.25" customHeight="1">
      <c r="A7" s="1694" t="s">
        <v>991</v>
      </c>
      <c r="B7" s="223"/>
      <c r="C7" s="223"/>
      <c r="D7" s="223"/>
      <c r="E7" s="223"/>
      <c r="F7" s="223"/>
      <c r="G7" s="223"/>
      <c r="H7" s="223"/>
      <c r="I7" s="223"/>
      <c r="J7" s="223"/>
      <c r="K7" s="221"/>
      <c r="L7" s="223"/>
      <c r="M7" s="223"/>
      <c r="N7" s="223"/>
      <c r="O7" s="223"/>
      <c r="P7" s="223"/>
      <c r="Q7" s="223"/>
      <c r="R7" s="223"/>
      <c r="S7" s="223"/>
      <c r="T7" s="223"/>
      <c r="U7" s="223"/>
      <c r="V7" s="223"/>
      <c r="W7" s="223"/>
      <c r="X7" s="223"/>
      <c r="Y7" s="223"/>
      <c r="Z7" s="223"/>
      <c r="AA7" s="2210"/>
      <c r="AB7" s="2210"/>
      <c r="AC7" s="2210"/>
      <c r="AD7" s="2210"/>
      <c r="AE7" s="2210"/>
      <c r="AF7" s="2210"/>
      <c r="AG7" s="2211"/>
      <c r="AH7" s="2211"/>
      <c r="AI7" s="2210"/>
    </row>
    <row r="8" spans="1:35" s="740" customFormat="1" ht="18.899999999999999" customHeight="1">
      <c r="A8" s="640"/>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10"/>
      <c r="AB8" s="2210"/>
      <c r="AC8" s="2210"/>
      <c r="AD8" s="2210"/>
      <c r="AE8" s="2210"/>
      <c r="AF8" s="2210"/>
      <c r="AG8" s="2211"/>
      <c r="AH8" s="2211"/>
      <c r="AI8" s="2210"/>
    </row>
    <row r="9" spans="1:35" s="740" customFormat="1" ht="18.899999999999999" customHeight="1">
      <c r="A9" s="223"/>
      <c r="B9" s="223"/>
      <c r="C9" s="223"/>
      <c r="D9" s="223"/>
      <c r="E9" s="223"/>
      <c r="F9" s="223"/>
      <c r="G9" s="223"/>
      <c r="H9" s="221"/>
      <c r="I9" s="221"/>
      <c r="J9" s="221"/>
      <c r="K9" s="223"/>
      <c r="L9" s="223"/>
      <c r="M9" s="223"/>
      <c r="N9" s="223"/>
      <c r="O9" s="223"/>
      <c r="P9" s="223"/>
      <c r="Q9" s="223"/>
      <c r="R9" s="223"/>
      <c r="S9" s="223"/>
      <c r="T9" s="223"/>
      <c r="U9" s="223"/>
      <c r="V9" s="223"/>
      <c r="W9" s="223"/>
      <c r="X9" s="223"/>
      <c r="Y9" s="223"/>
      <c r="Z9" s="223"/>
      <c r="AA9" s="2210"/>
      <c r="AB9" s="2210"/>
      <c r="AC9" s="3418"/>
      <c r="AD9" s="3419"/>
      <c r="AE9" s="3419"/>
      <c r="AF9" s="3419"/>
      <c r="AG9" s="3419"/>
      <c r="AH9" s="3419"/>
      <c r="AI9" s="3419"/>
    </row>
    <row r="10" spans="1:35" s="740" customFormat="1" ht="18.899999999999999" customHeight="1">
      <c r="A10" s="351"/>
      <c r="B10" s="351"/>
      <c r="C10" s="351"/>
      <c r="D10" s="351"/>
      <c r="E10" s="351"/>
      <c r="F10" s="351"/>
      <c r="G10" s="351"/>
      <c r="H10" s="351"/>
      <c r="I10" s="351"/>
      <c r="J10" s="351"/>
      <c r="K10" s="351"/>
      <c r="L10" s="351"/>
      <c r="M10" s="351"/>
      <c r="N10" s="351"/>
      <c r="O10" s="351"/>
      <c r="P10" s="351"/>
      <c r="Q10" s="351"/>
      <c r="R10" s="351"/>
      <c r="S10" s="351"/>
      <c r="T10" s="351"/>
      <c r="U10" s="351"/>
      <c r="V10" s="1697"/>
      <c r="W10" s="1698"/>
      <c r="X10" s="1699"/>
      <c r="Y10" s="1700"/>
      <c r="AA10" s="3417" t="s">
        <v>1465</v>
      </c>
      <c r="AB10" s="3420"/>
      <c r="AC10" s="3420"/>
      <c r="AD10" s="3420"/>
      <c r="AE10" s="3420"/>
      <c r="AF10" s="3420"/>
      <c r="AG10" s="3420"/>
      <c r="AH10" s="3420"/>
      <c r="AI10" s="3420"/>
    </row>
    <row r="11" spans="1:35" s="740" customFormat="1" ht="18.899999999999999" customHeight="1">
      <c r="A11" s="351"/>
      <c r="B11" s="1519">
        <v>2016</v>
      </c>
      <c r="C11" s="460"/>
      <c r="D11" s="460"/>
      <c r="E11" s="460"/>
      <c r="F11" s="460"/>
      <c r="G11" s="460"/>
      <c r="H11" s="460"/>
      <c r="I11" s="460"/>
      <c r="J11" s="460"/>
      <c r="K11" s="460"/>
      <c r="L11" s="460"/>
      <c r="M11" s="460"/>
      <c r="N11" s="460"/>
      <c r="O11" s="460"/>
      <c r="P11" s="460"/>
      <c r="Q11" s="460"/>
      <c r="R11" s="460"/>
      <c r="S11" s="460"/>
      <c r="T11" s="1519">
        <v>2017</v>
      </c>
      <c r="U11" s="460"/>
      <c r="V11" s="460"/>
      <c r="W11" s="460"/>
      <c r="X11" s="460"/>
      <c r="Y11" s="460"/>
      <c r="Z11" s="1520"/>
      <c r="AA11" s="2200"/>
      <c r="AB11" s="2200"/>
      <c r="AC11" s="2200"/>
      <c r="AD11" s="2242"/>
      <c r="AE11" s="2242"/>
      <c r="AF11" s="2200"/>
      <c r="AG11" s="2214" t="s">
        <v>8</v>
      </c>
      <c r="AH11" s="2214"/>
      <c r="AI11" s="2215" t="s">
        <v>9</v>
      </c>
    </row>
    <row r="12" spans="1:35" s="740" customFormat="1" ht="18.899999999999999" customHeight="1">
      <c r="A12" s="351"/>
      <c r="B12" s="1521" t="s">
        <v>129</v>
      </c>
      <c r="C12" s="460"/>
      <c r="D12" s="1701" t="s">
        <v>130</v>
      </c>
      <c r="E12" s="460"/>
      <c r="F12" s="1701" t="s">
        <v>131</v>
      </c>
      <c r="G12" s="460"/>
      <c r="H12" s="1701" t="s">
        <v>132</v>
      </c>
      <c r="I12" s="460"/>
      <c r="J12" s="1702" t="s">
        <v>233</v>
      </c>
      <c r="K12" s="460"/>
      <c r="L12" s="1702" t="s">
        <v>148</v>
      </c>
      <c r="M12" s="460"/>
      <c r="N12" s="1702" t="s">
        <v>149</v>
      </c>
      <c r="O12" s="460"/>
      <c r="P12" s="1701" t="s">
        <v>136</v>
      </c>
      <c r="Q12" s="460"/>
      <c r="R12" s="1701" t="s">
        <v>137</v>
      </c>
      <c r="S12" s="460"/>
      <c r="T12" s="1702" t="s">
        <v>138</v>
      </c>
      <c r="U12" s="460"/>
      <c r="V12" s="1701" t="s">
        <v>139</v>
      </c>
      <c r="W12" s="460"/>
      <c r="X12" s="1702" t="s">
        <v>192</v>
      </c>
      <c r="Y12" s="460"/>
      <c r="Z12" s="460"/>
      <c r="AA12" s="2263">
        <v>2016</v>
      </c>
      <c r="AB12" s="2263"/>
      <c r="AC12" s="2236"/>
      <c r="AD12" s="2264">
        <v>2015</v>
      </c>
      <c r="AE12" s="2236"/>
      <c r="AF12" s="2236"/>
      <c r="AG12" s="2216" t="s">
        <v>13</v>
      </c>
      <c r="AH12" s="2217"/>
      <c r="AI12" s="2216" t="s">
        <v>14</v>
      </c>
    </row>
    <row r="13" spans="1:35" s="740" customFormat="1" ht="18.899999999999999" customHeight="1">
      <c r="A13" s="460" t="s">
        <v>141</v>
      </c>
      <c r="B13" s="1706">
        <v>11.6</v>
      </c>
      <c r="C13" s="715"/>
      <c r="D13" s="1706"/>
      <c r="E13" s="715"/>
      <c r="F13" s="1706"/>
      <c r="G13" s="715"/>
      <c r="H13" s="1706"/>
      <c r="I13" s="1746"/>
      <c r="J13" s="1706"/>
      <c r="K13" s="715"/>
      <c r="L13" s="1706"/>
      <c r="M13" s="1746"/>
      <c r="N13" s="1706"/>
      <c r="O13" s="1746"/>
      <c r="P13" s="1706"/>
      <c r="Q13" s="1746"/>
      <c r="R13" s="1706"/>
      <c r="S13" s="1746"/>
      <c r="T13" s="1706"/>
      <c r="U13" s="1746"/>
      <c r="V13" s="1706"/>
      <c r="W13" s="1746"/>
      <c r="X13" s="1706"/>
      <c r="Y13" s="1707"/>
      <c r="Z13" s="1708"/>
      <c r="AA13" s="2265">
        <f>+B13</f>
        <v>11.6</v>
      </c>
      <c r="AB13" s="2266"/>
      <c r="AC13" s="2267"/>
      <c r="AD13" s="2265">
        <v>11.5</v>
      </c>
      <c r="AE13" s="2243"/>
      <c r="AF13" s="2239"/>
      <c r="AG13" s="2218">
        <f>ROUND(SUM(AA13-AD13),1)</f>
        <v>0.1</v>
      </c>
      <c r="AH13" s="2211"/>
      <c r="AI13" s="2219">
        <f>ROUND(IF(AG13=0,0,AG13/(AD13)),3)</f>
        <v>8.9999999999999993E-3</v>
      </c>
    </row>
    <row r="14" spans="1:35" s="740" customFormat="1" ht="18.899999999999999" customHeight="1">
      <c r="A14" s="351"/>
      <c r="B14" s="719"/>
      <c r="C14" s="719"/>
      <c r="D14" s="719"/>
      <c r="E14" s="719"/>
      <c r="F14" s="719"/>
      <c r="G14" s="719"/>
      <c r="H14" s="1714"/>
      <c r="I14" s="1714"/>
      <c r="J14" s="1714"/>
      <c r="K14" s="719"/>
      <c r="L14" s="1714"/>
      <c r="M14" s="1714"/>
      <c r="N14" s="1714"/>
      <c r="O14" s="1714"/>
      <c r="P14" s="1714"/>
      <c r="Q14" s="1714"/>
      <c r="R14" s="1714"/>
      <c r="S14" s="1714"/>
      <c r="T14" s="1714"/>
      <c r="U14" s="1714"/>
      <c r="V14" s="1714"/>
      <c r="W14" s="1714"/>
      <c r="X14" s="1714"/>
      <c r="Y14" s="1712"/>
      <c r="Z14" s="1713"/>
      <c r="AA14" s="2244"/>
      <c r="AB14" s="2268"/>
      <c r="AC14" s="2269"/>
      <c r="AD14" s="2244"/>
      <c r="AE14" s="2244"/>
      <c r="AF14" s="2240"/>
      <c r="AG14" s="2220"/>
      <c r="AH14" s="2211"/>
      <c r="AI14" s="2210"/>
    </row>
    <row r="15" spans="1:35" s="740" customFormat="1" ht="18.899999999999999" customHeight="1">
      <c r="A15" s="460" t="s">
        <v>15</v>
      </c>
      <c r="B15" s="719"/>
      <c r="C15" s="719"/>
      <c r="D15" s="719"/>
      <c r="E15" s="719"/>
      <c r="F15" s="719"/>
      <c r="G15" s="719"/>
      <c r="H15" s="1714"/>
      <c r="I15" s="1714"/>
      <c r="J15" s="1714"/>
      <c r="K15" s="719"/>
      <c r="L15" s="1714"/>
      <c r="M15" s="1714"/>
      <c r="N15" s="1714"/>
      <c r="O15" s="1714"/>
      <c r="P15" s="1714"/>
      <c r="Q15" s="1714"/>
      <c r="R15" s="1714"/>
      <c r="S15" s="1714"/>
      <c r="T15" s="1714"/>
      <c r="U15" s="1714"/>
      <c r="V15" s="1714"/>
      <c r="W15" s="1714"/>
      <c r="X15" s="1714"/>
      <c r="Y15" s="1712"/>
      <c r="Z15" s="1713"/>
      <c r="AA15" s="2244"/>
      <c r="AB15" s="2268"/>
      <c r="AC15" s="2269"/>
      <c r="AD15" s="2244"/>
      <c r="AE15" s="2244"/>
      <c r="AF15" s="2240"/>
      <c r="AG15" s="2220"/>
      <c r="AH15" s="2211"/>
      <c r="AI15" s="2210"/>
    </row>
    <row r="16" spans="1:35" s="740" customFormat="1" ht="18.899999999999999" customHeight="1">
      <c r="A16" s="1715" t="s">
        <v>185</v>
      </c>
      <c r="B16" s="1716">
        <v>-1.5</v>
      </c>
      <c r="C16" s="441"/>
      <c r="D16" s="1716"/>
      <c r="E16" s="441"/>
      <c r="F16" s="696"/>
      <c r="G16" s="441"/>
      <c r="H16" s="696"/>
      <c r="I16" s="1717"/>
      <c r="J16" s="696"/>
      <c r="K16" s="441"/>
      <c r="L16" s="1732"/>
      <c r="M16" s="1718"/>
      <c r="N16" s="696"/>
      <c r="O16" s="1718"/>
      <c r="P16" s="1716"/>
      <c r="Q16" s="1718"/>
      <c r="R16" s="1732"/>
      <c r="S16" s="1718"/>
      <c r="T16" s="696"/>
      <c r="U16" s="1718"/>
      <c r="V16" s="1732"/>
      <c r="W16" s="1718"/>
      <c r="X16" s="696"/>
      <c r="Y16" s="1719"/>
      <c r="Z16" s="1720"/>
      <c r="AA16" s="2270">
        <f>ROUND(SUM(B16:X16),1)</f>
        <v>-1.5</v>
      </c>
      <c r="AB16" s="2271"/>
      <c r="AC16" s="2272"/>
      <c r="AD16" s="2273">
        <v>-0.3</v>
      </c>
      <c r="AE16" s="2245"/>
      <c r="AF16" s="2203"/>
      <c r="AG16" s="448">
        <f>ROUND(SUM(AA16-AD16),1)</f>
        <v>-1.2</v>
      </c>
      <c r="AH16" s="2211"/>
      <c r="AI16" s="2230">
        <f>ROUND(IF(AG16=0,0,AG16/ABS(AD16)),3)</f>
        <v>-4</v>
      </c>
    </row>
    <row r="17" spans="1:35" s="740" customFormat="1" ht="24" customHeight="1">
      <c r="A17" s="460" t="s">
        <v>156</v>
      </c>
      <c r="B17" s="1733">
        <f>ROUND(SUM(B16),1)</f>
        <v>-1.5</v>
      </c>
      <c r="C17" s="727"/>
      <c r="D17" s="1733">
        <f>ROUND(SUM(D16),1)</f>
        <v>0</v>
      </c>
      <c r="E17" s="727"/>
      <c r="F17" s="1733">
        <f>ROUND(SUM(F16),1)</f>
        <v>0</v>
      </c>
      <c r="G17" s="727"/>
      <c r="H17" s="1733">
        <f>ROUND(SUM(H16),1)</f>
        <v>0</v>
      </c>
      <c r="I17" s="1722"/>
      <c r="J17" s="1733">
        <f>ROUND(SUM(J16),1)</f>
        <v>0</v>
      </c>
      <c r="K17" s="727"/>
      <c r="L17" s="1733">
        <f>ROUND(SUM(L16),1)</f>
        <v>0</v>
      </c>
      <c r="M17" s="1723"/>
      <c r="N17" s="1733">
        <f>ROUND(SUM(N16),1)</f>
        <v>0</v>
      </c>
      <c r="O17" s="1723"/>
      <c r="P17" s="1733">
        <f>ROUND(SUM(P16),1)</f>
        <v>0</v>
      </c>
      <c r="Q17" s="1723"/>
      <c r="R17" s="1733">
        <f>ROUND(SUM(R16),1)</f>
        <v>0</v>
      </c>
      <c r="S17" s="1723"/>
      <c r="T17" s="1733">
        <f>ROUND(SUM(T16),1)</f>
        <v>0</v>
      </c>
      <c r="U17" s="1723"/>
      <c r="V17" s="1733">
        <f>ROUND(SUM(V16),1)</f>
        <v>0</v>
      </c>
      <c r="W17" s="1723"/>
      <c r="X17" s="1733">
        <f>ROUND(SUM(X16),1)</f>
        <v>0</v>
      </c>
      <c r="Y17" s="1724"/>
      <c r="Z17" s="1725"/>
      <c r="AA17" s="2246">
        <f>ROUND(SUM(AA16),1)</f>
        <v>-1.5</v>
      </c>
      <c r="AB17" s="2274"/>
      <c r="AC17" s="2275"/>
      <c r="AD17" s="2246">
        <f>ROUND(SUM(AD16),1)</f>
        <v>-0.3</v>
      </c>
      <c r="AE17" s="2246"/>
      <c r="AF17" s="2203"/>
      <c r="AG17" s="2255">
        <f>ROUND(SUM(AG16),1)</f>
        <v>-1.2</v>
      </c>
      <c r="AH17" s="2256"/>
      <c r="AI17" s="2257">
        <f>ROUND(IF(AG17=0,0,AG17/ABS(AD17)),3)</f>
        <v>-4</v>
      </c>
    </row>
    <row r="18" spans="1:35" s="740" customFormat="1" ht="18.899999999999999" customHeight="1">
      <c r="A18" s="351"/>
      <c r="B18" s="726"/>
      <c r="C18" s="441"/>
      <c r="D18" s="726" t="s">
        <v>16</v>
      </c>
      <c r="E18" s="441"/>
      <c r="F18" s="726"/>
      <c r="G18" s="441"/>
      <c r="H18" s="1726"/>
      <c r="I18" s="1718"/>
      <c r="J18" s="1726"/>
      <c r="K18" s="441"/>
      <c r="L18" s="1727"/>
      <c r="M18" s="1718"/>
      <c r="N18" s="1726"/>
      <c r="O18" s="1718"/>
      <c r="P18" s="1726"/>
      <c r="Q18" s="1718"/>
      <c r="R18" s="1726"/>
      <c r="S18" s="1718"/>
      <c r="T18" s="1726"/>
      <c r="U18" s="1718"/>
      <c r="V18" s="1726"/>
      <c r="W18" s="1718"/>
      <c r="X18" s="1726"/>
      <c r="Y18" s="1719"/>
      <c r="Z18" s="1720"/>
      <c r="AA18" s="2276"/>
      <c r="AB18" s="2271"/>
      <c r="AC18" s="2277"/>
      <c r="AD18" s="2276"/>
      <c r="AE18" s="2224"/>
      <c r="AF18" s="2203"/>
      <c r="AG18" s="2224"/>
      <c r="AH18" s="2211"/>
      <c r="AI18" s="2210"/>
    </row>
    <row r="19" spans="1:35" s="740" customFormat="1" ht="18.899999999999999" customHeight="1">
      <c r="A19" s="351"/>
      <c r="B19" s="441"/>
      <c r="C19" s="441"/>
      <c r="D19" s="441" t="s">
        <v>16</v>
      </c>
      <c r="E19" s="441"/>
      <c r="F19" s="441"/>
      <c r="G19" s="441"/>
      <c r="H19" s="1718"/>
      <c r="I19" s="1718"/>
      <c r="J19" s="1718"/>
      <c r="K19" s="441"/>
      <c r="L19" s="1728"/>
      <c r="M19" s="1718"/>
      <c r="N19" s="1718"/>
      <c r="O19" s="1718"/>
      <c r="P19" s="1718"/>
      <c r="Q19" s="1718"/>
      <c r="R19" s="1718"/>
      <c r="S19" s="1718"/>
      <c r="T19" s="1718"/>
      <c r="U19" s="1718"/>
      <c r="V19" s="1718"/>
      <c r="W19" s="1718"/>
      <c r="X19" s="1718"/>
      <c r="Y19" s="1719"/>
      <c r="Z19" s="1720"/>
      <c r="AA19" s="2247"/>
      <c r="AB19" s="2271"/>
      <c r="AC19" s="2272"/>
      <c r="AD19" s="2247"/>
      <c r="AE19" s="2247"/>
      <c r="AF19" s="2203"/>
      <c r="AG19" s="2224"/>
      <c r="AH19" s="2211"/>
      <c r="AI19" s="2210"/>
    </row>
    <row r="20" spans="1:35" s="740" customFormat="1" ht="18.899999999999999" customHeight="1">
      <c r="A20" s="460" t="s">
        <v>24</v>
      </c>
      <c r="B20" s="441"/>
      <c r="C20" s="441"/>
      <c r="D20" s="441" t="s">
        <v>16</v>
      </c>
      <c r="E20" s="441"/>
      <c r="F20" s="441"/>
      <c r="G20" s="441"/>
      <c r="H20" s="1718"/>
      <c r="I20" s="1718"/>
      <c r="J20" s="1718"/>
      <c r="K20" s="441"/>
      <c r="L20" s="1728"/>
      <c r="M20" s="1718"/>
      <c r="N20" s="1718"/>
      <c r="O20" s="1718"/>
      <c r="P20" s="1718"/>
      <c r="Q20" s="1718"/>
      <c r="R20" s="1718"/>
      <c r="S20" s="1718"/>
      <c r="T20" s="1718"/>
      <c r="U20" s="1718"/>
      <c r="V20" s="1718"/>
      <c r="W20" s="1718"/>
      <c r="X20" s="1718"/>
      <c r="Y20" s="1719"/>
      <c r="Z20" s="1720"/>
      <c r="AA20" s="2247"/>
      <c r="AB20" s="2271"/>
      <c r="AC20" s="2272"/>
      <c r="AD20" s="2247"/>
      <c r="AE20" s="2247"/>
      <c r="AF20" s="2203"/>
      <c r="AG20" s="2224"/>
      <c r="AH20" s="2211"/>
      <c r="AI20" s="2210"/>
    </row>
    <row r="21" spans="1:35" s="740" customFormat="1" ht="18.899999999999999" customHeight="1">
      <c r="A21" s="351" t="s">
        <v>158</v>
      </c>
      <c r="B21" s="443"/>
      <c r="C21" s="441"/>
      <c r="D21" s="441"/>
      <c r="E21" s="441"/>
      <c r="F21" s="441"/>
      <c r="G21" s="441"/>
      <c r="H21" s="1718"/>
      <c r="I21" s="1718"/>
      <c r="J21" s="1718"/>
      <c r="K21" s="441"/>
      <c r="L21" s="1728"/>
      <c r="M21" s="1718"/>
      <c r="N21" s="1718"/>
      <c r="O21" s="1718"/>
      <c r="P21" s="1718"/>
      <c r="Q21" s="1718"/>
      <c r="R21" s="1718"/>
      <c r="S21" s="1718"/>
      <c r="T21" s="1718"/>
      <c r="U21" s="1718"/>
      <c r="V21" s="1718"/>
      <c r="W21" s="1718"/>
      <c r="X21" s="1718"/>
      <c r="Y21" s="1719"/>
      <c r="Z21" s="1720"/>
      <c r="AA21" s="2248"/>
      <c r="AB21" s="2278"/>
      <c r="AC21" s="2279"/>
      <c r="AD21" s="2248"/>
      <c r="AE21" s="2248"/>
      <c r="AF21" s="2204"/>
      <c r="AG21" s="2224"/>
      <c r="AH21" s="2211"/>
      <c r="AI21" s="2210"/>
    </row>
    <row r="22" spans="1:35" s="740" customFormat="1" ht="18.899999999999999" customHeight="1">
      <c r="A22" s="351" t="s">
        <v>226</v>
      </c>
      <c r="B22" s="443">
        <v>0.1</v>
      </c>
      <c r="C22" s="441"/>
      <c r="D22" s="443"/>
      <c r="E22" s="441"/>
      <c r="F22" s="443"/>
      <c r="G22" s="441"/>
      <c r="H22" s="692"/>
      <c r="I22" s="1718"/>
      <c r="J22" s="443"/>
      <c r="K22" s="441"/>
      <c r="L22" s="443"/>
      <c r="M22" s="1718"/>
      <c r="N22" s="443"/>
      <c r="O22" s="1718"/>
      <c r="P22" s="443"/>
      <c r="Q22" s="1718"/>
      <c r="R22" s="443"/>
      <c r="S22" s="1718"/>
      <c r="T22" s="443"/>
      <c r="U22" s="1718"/>
      <c r="V22" s="443"/>
      <c r="W22" s="1718"/>
      <c r="X22" s="692"/>
      <c r="Y22" s="1719"/>
      <c r="Z22" s="1720"/>
      <c r="AA22" s="2250">
        <f>ROUND(SUM(B22:X22),1)</f>
        <v>0.1</v>
      </c>
      <c r="AB22" s="2271"/>
      <c r="AC22" s="2272"/>
      <c r="AD22" s="2249">
        <v>0</v>
      </c>
      <c r="AE22" s="2249"/>
      <c r="AF22" s="2204"/>
      <c r="AG22" s="448">
        <f>ROUND(SUM(AA22-AD22),1)</f>
        <v>0.1</v>
      </c>
      <c r="AH22" s="2211"/>
      <c r="AI22" s="3154">
        <f>ROUND(IF(AD22=0,1,AG22/ABS(AD22)),3)</f>
        <v>1</v>
      </c>
    </row>
    <row r="23" spans="1:35" s="740" customFormat="1" ht="18.899999999999999" customHeight="1">
      <c r="A23" s="1715" t="s">
        <v>177</v>
      </c>
      <c r="B23" s="443">
        <v>0</v>
      </c>
      <c r="C23" s="441"/>
      <c r="D23" s="443"/>
      <c r="E23" s="441"/>
      <c r="F23" s="443"/>
      <c r="G23" s="441"/>
      <c r="H23" s="443"/>
      <c r="I23" s="1718"/>
      <c r="J23" s="443"/>
      <c r="K23" s="441"/>
      <c r="L23" s="443"/>
      <c r="M23" s="1718"/>
      <c r="N23" s="443"/>
      <c r="O23" s="443"/>
      <c r="P23" s="443"/>
      <c r="Q23" s="1718"/>
      <c r="R23" s="443"/>
      <c r="S23" s="1718"/>
      <c r="T23" s="443"/>
      <c r="U23" s="1718"/>
      <c r="V23" s="443"/>
      <c r="W23" s="1718"/>
      <c r="X23" s="443"/>
      <c r="Y23" s="1719"/>
      <c r="Z23" s="1720"/>
      <c r="AA23" s="2250">
        <f>ROUND(SUM(B23:X23),1)</f>
        <v>0</v>
      </c>
      <c r="AB23" s="2271"/>
      <c r="AC23" s="2272"/>
      <c r="AD23" s="2248">
        <v>0</v>
      </c>
      <c r="AE23" s="2248"/>
      <c r="AF23" s="2204"/>
      <c r="AG23" s="448">
        <f>ROUND(SUM(AA23-AD23),1)</f>
        <v>0</v>
      </c>
      <c r="AH23" s="2229"/>
      <c r="AI23" s="2230">
        <f>ROUND(IF(AG23=0,0,AG23/ABS(AD23)),3)</f>
        <v>0</v>
      </c>
    </row>
    <row r="24" spans="1:35" s="740" customFormat="1" ht="18.899999999999999" customHeight="1">
      <c r="A24" s="351" t="s">
        <v>161</v>
      </c>
      <c r="B24" s="1732">
        <v>0</v>
      </c>
      <c r="C24" s="441"/>
      <c r="D24" s="1732"/>
      <c r="E24" s="441"/>
      <c r="F24" s="1732"/>
      <c r="G24" s="441"/>
      <c r="H24" s="1732"/>
      <c r="I24" s="1718"/>
      <c r="J24" s="1732"/>
      <c r="K24" s="441"/>
      <c r="L24" s="1732"/>
      <c r="M24" s="1718"/>
      <c r="N24" s="696"/>
      <c r="O24" s="1718"/>
      <c r="P24" s="1732"/>
      <c r="Q24" s="1718"/>
      <c r="R24" s="1732"/>
      <c r="S24" s="1718"/>
      <c r="T24" s="696"/>
      <c r="U24" s="1718"/>
      <c r="V24" s="1732"/>
      <c r="W24" s="1718"/>
      <c r="X24" s="1732"/>
      <c r="Y24" s="1719"/>
      <c r="Z24" s="1720"/>
      <c r="AA24" s="2270">
        <f>ROUND(SUM(B24:X24),1)</f>
        <v>0</v>
      </c>
      <c r="AB24" s="2271"/>
      <c r="AC24" s="2272"/>
      <c r="AD24" s="2270">
        <v>0</v>
      </c>
      <c r="AE24" s="2250"/>
      <c r="AF24" s="2204"/>
      <c r="AG24" s="448">
        <f>ROUND(SUM(AA24-AD24),1)</f>
        <v>0</v>
      </c>
      <c r="AH24" s="2211"/>
      <c r="AI24" s="2230">
        <f>ROUND(IF(AD24=0,0,AG24/ABS(AD24)),3)</f>
        <v>0</v>
      </c>
    </row>
    <row r="25" spans="1:35" s="740" customFormat="1" ht="22.5" customHeight="1">
      <c r="A25" s="460" t="s">
        <v>162</v>
      </c>
      <c r="B25" s="1754">
        <f>ROUND(SUM(B22:B24),1)</f>
        <v>0.1</v>
      </c>
      <c r="C25" s="727"/>
      <c r="D25" s="1754">
        <f>ROUND(SUM(D22:D24),1)</f>
        <v>0</v>
      </c>
      <c r="E25" s="727"/>
      <c r="F25" s="1754">
        <f>ROUND(SUM(F22:F24),1)</f>
        <v>0</v>
      </c>
      <c r="G25" s="727"/>
      <c r="H25" s="1754">
        <f>ROUND(SUM(H22:H24),1)</f>
        <v>0</v>
      </c>
      <c r="I25" s="1723"/>
      <c r="J25" s="1754">
        <f>ROUND(SUM(J22:J24),1)</f>
        <v>0</v>
      </c>
      <c r="K25" s="727"/>
      <c r="L25" s="1754">
        <f>ROUND(SUM(L22:L24),1)</f>
        <v>0</v>
      </c>
      <c r="M25" s="1723"/>
      <c r="N25" s="1754">
        <f>ROUND(SUM(N22:N24),1)</f>
        <v>0</v>
      </c>
      <c r="O25" s="1740"/>
      <c r="P25" s="1754">
        <f>ROUND(SUM(P22:P24),1)</f>
        <v>0</v>
      </c>
      <c r="Q25" s="1723"/>
      <c r="R25" s="1754">
        <f>ROUND(SUM(R22:R24),1)</f>
        <v>0</v>
      </c>
      <c r="S25" s="1723"/>
      <c r="T25" s="1754">
        <f>ROUND(SUM(T22:T24),1)</f>
        <v>0</v>
      </c>
      <c r="U25" s="1740"/>
      <c r="V25" s="1754">
        <f>ROUND(SUM(V22:V24),1)</f>
        <v>0</v>
      </c>
      <c r="W25" s="1740"/>
      <c r="X25" s="1754">
        <f>ROUND(SUM(X22:X24),1)</f>
        <v>0</v>
      </c>
      <c r="Y25" s="1724"/>
      <c r="Z25" s="1725"/>
      <c r="AA25" s="2251">
        <f>ROUND(SUM(AA22:AA24),1)</f>
        <v>0.1</v>
      </c>
      <c r="AB25" s="2274"/>
      <c r="AC25" s="2275"/>
      <c r="AD25" s="2251">
        <f>ROUND(SUM(AD22:AD24),1)</f>
        <v>0</v>
      </c>
      <c r="AE25" s="2251"/>
      <c r="AF25" s="2204"/>
      <c r="AG25" s="2255">
        <f>ROUND(SUM(AG22:AG24),1)</f>
        <v>0.1</v>
      </c>
      <c r="AH25" s="2226"/>
      <c r="AI25" s="2257">
        <f>ROUND(IF(AD25=0,1,AG25/ABS(AD25)),3)</f>
        <v>1</v>
      </c>
    </row>
    <row r="26" spans="1:35" s="740" customFormat="1" ht="18.899999999999999" customHeight="1">
      <c r="A26" s="351"/>
      <c r="B26" s="726"/>
      <c r="C26" s="441"/>
      <c r="D26" s="726" t="s">
        <v>16</v>
      </c>
      <c r="E26" s="441"/>
      <c r="F26" s="726"/>
      <c r="G26" s="441"/>
      <c r="H26" s="1726"/>
      <c r="I26" s="1718"/>
      <c r="J26" s="1726"/>
      <c r="K26" s="441"/>
      <c r="L26" s="1726"/>
      <c r="M26" s="1718"/>
      <c r="N26" s="1726"/>
      <c r="O26" s="1718"/>
      <c r="P26" s="1726"/>
      <c r="Q26" s="1718"/>
      <c r="R26" s="1726"/>
      <c r="S26" s="1718"/>
      <c r="T26" s="1726"/>
      <c r="U26" s="1718"/>
      <c r="V26" s="1726"/>
      <c r="W26" s="1718"/>
      <c r="X26" s="1726"/>
      <c r="Y26" s="1719"/>
      <c r="Z26" s="1720"/>
      <c r="AA26" s="2276"/>
      <c r="AB26" s="2271"/>
      <c r="AC26" s="2277"/>
      <c r="AD26" s="2276"/>
      <c r="AE26" s="2224"/>
      <c r="AF26" s="2203"/>
      <c r="AG26" s="2224"/>
      <c r="AH26" s="2211"/>
      <c r="AI26" s="2210"/>
    </row>
    <row r="27" spans="1:35" s="740" customFormat="1" ht="18.899999999999999" customHeight="1">
      <c r="A27" s="460" t="s">
        <v>163</v>
      </c>
      <c r="B27" s="441"/>
      <c r="C27" s="441"/>
      <c r="D27" s="448" t="s">
        <v>16</v>
      </c>
      <c r="E27" s="441"/>
      <c r="F27" s="441"/>
      <c r="G27" s="441"/>
      <c r="H27" s="1718"/>
      <c r="I27" s="1718"/>
      <c r="J27" s="1718"/>
      <c r="K27" s="441"/>
      <c r="L27" s="1718"/>
      <c r="M27" s="1718"/>
      <c r="N27" s="1718"/>
      <c r="O27" s="1718"/>
      <c r="P27" s="1718"/>
      <c r="Q27" s="1718"/>
      <c r="R27" s="1718"/>
      <c r="S27" s="1718"/>
      <c r="T27" s="1718"/>
      <c r="U27" s="1718"/>
      <c r="V27" s="1718"/>
      <c r="W27" s="1718"/>
      <c r="X27" s="1718"/>
      <c r="Y27" s="1719"/>
      <c r="Z27" s="1720"/>
      <c r="AA27" s="2247"/>
      <c r="AB27" s="2271"/>
      <c r="AC27" s="2272"/>
      <c r="AD27" s="2247"/>
      <c r="AE27" s="2247"/>
      <c r="AF27" s="2203"/>
      <c r="AG27" s="2224"/>
      <c r="AH27" s="2211"/>
      <c r="AI27" s="2210"/>
    </row>
    <row r="28" spans="1:35" s="740" customFormat="1" ht="18.75" customHeight="1">
      <c r="A28" s="460" t="s">
        <v>46</v>
      </c>
      <c r="B28" s="1735">
        <f>ROUND(B17-B25,1)</f>
        <v>-1.6</v>
      </c>
      <c r="C28" s="727"/>
      <c r="D28" s="1735">
        <f>ROUND(D17-D25,1)</f>
        <v>0</v>
      </c>
      <c r="E28" s="1755"/>
      <c r="F28" s="1735">
        <f>ROUND(F17-F25,1)</f>
        <v>0</v>
      </c>
      <c r="G28" s="1755"/>
      <c r="H28" s="1735">
        <f>ROUND(H17-H25,1)</f>
        <v>0</v>
      </c>
      <c r="I28" s="1756"/>
      <c r="J28" s="1735">
        <f>ROUND(J17-J25,1)</f>
        <v>0</v>
      </c>
      <c r="K28" s="1755"/>
      <c r="L28" s="1735">
        <f>ROUND(L17-L25,1)</f>
        <v>0</v>
      </c>
      <c r="M28" s="1757"/>
      <c r="N28" s="1735">
        <f>ROUND(N17-N25,1)</f>
        <v>0</v>
      </c>
      <c r="O28" s="1757"/>
      <c r="P28" s="1735">
        <f>ROUND(P17-P25,1)</f>
        <v>0</v>
      </c>
      <c r="Q28" s="1757"/>
      <c r="R28" s="1735">
        <f>ROUND(R17-R25,1)</f>
        <v>0</v>
      </c>
      <c r="S28" s="1757"/>
      <c r="T28" s="1735">
        <f>ROUND(T17-T25,1)</f>
        <v>0</v>
      </c>
      <c r="U28" s="1757"/>
      <c r="V28" s="1735">
        <f>ROUND(V17-V25,1)</f>
        <v>0</v>
      </c>
      <c r="W28" s="1757"/>
      <c r="X28" s="1735">
        <f>ROUND(X17-X25,1)</f>
        <v>0</v>
      </c>
      <c r="Y28" s="1724"/>
      <c r="Z28" s="1725"/>
      <c r="AA28" s="2280">
        <f>ROUND(AA17-AA25,1)</f>
        <v>-1.6</v>
      </c>
      <c r="AB28" s="2274"/>
      <c r="AC28" s="2281"/>
      <c r="AD28" s="2280">
        <f>ROUND(AD17-AD25,1)</f>
        <v>-0.3</v>
      </c>
      <c r="AE28" s="2252"/>
      <c r="AF28" s="2204"/>
      <c r="AG28" s="2225">
        <f>ROUND(SUM(AG17-AG25),1)</f>
        <v>-1.3</v>
      </c>
      <c r="AH28" s="2226"/>
      <c r="AI28" s="2227">
        <f>ROUND(IF(AG28=0,0,AG28/ABS(AD28)),3)</f>
        <v>-4.3330000000000002</v>
      </c>
    </row>
    <row r="29" spans="1:35" s="740" customFormat="1" ht="18.899999999999999" customHeight="1">
      <c r="A29" s="351"/>
      <c r="B29" s="448"/>
      <c r="C29" s="441"/>
      <c r="D29" s="448" t="s">
        <v>16</v>
      </c>
      <c r="E29" s="441"/>
      <c r="F29" s="448"/>
      <c r="G29" s="441"/>
      <c r="H29" s="1717"/>
      <c r="I29" s="1718"/>
      <c r="J29" s="1717"/>
      <c r="K29" s="441"/>
      <c r="L29" s="1717"/>
      <c r="M29" s="1718"/>
      <c r="N29" s="1726"/>
      <c r="O29" s="1718"/>
      <c r="P29" s="1717"/>
      <c r="Q29" s="1718"/>
      <c r="R29" s="1726"/>
      <c r="S29" s="1718"/>
      <c r="T29" s="1717"/>
      <c r="U29" s="1718"/>
      <c r="V29" s="1717"/>
      <c r="W29" s="1718"/>
      <c r="X29" s="1726"/>
      <c r="Y29" s="1719"/>
      <c r="Z29" s="1720"/>
      <c r="AA29" s="2224"/>
      <c r="AB29" s="2271"/>
      <c r="AC29" s="2277"/>
      <c r="AD29" s="2224"/>
      <c r="AE29" s="2224"/>
      <c r="AF29" s="2205"/>
      <c r="AG29" s="2224"/>
      <c r="AH29" s="2211"/>
      <c r="AI29" s="2210"/>
    </row>
    <row r="30" spans="1:35" s="740" customFormat="1" ht="18.899999999999999" customHeight="1">
      <c r="A30" s="460" t="s">
        <v>47</v>
      </c>
      <c r="B30" s="441"/>
      <c r="C30" s="441"/>
      <c r="D30" s="441"/>
      <c r="E30" s="441"/>
      <c r="F30" s="441"/>
      <c r="G30" s="441"/>
      <c r="H30" s="1718"/>
      <c r="I30" s="1718"/>
      <c r="J30" s="1718"/>
      <c r="K30" s="441"/>
      <c r="L30" s="1718"/>
      <c r="M30" s="1718"/>
      <c r="N30" s="1718"/>
      <c r="O30" s="1718"/>
      <c r="P30" s="1718"/>
      <c r="Q30" s="1718"/>
      <c r="R30" s="1718"/>
      <c r="S30" s="1718"/>
      <c r="T30" s="1718"/>
      <c r="U30" s="1718"/>
      <c r="V30" s="1718"/>
      <c r="W30" s="1718"/>
      <c r="X30" s="1718"/>
      <c r="Y30" s="1719"/>
      <c r="Z30" s="1720"/>
      <c r="AA30" s="2247"/>
      <c r="AB30" s="2271"/>
      <c r="AC30" s="2272"/>
      <c r="AD30" s="2247"/>
      <c r="AE30" s="2247"/>
      <c r="AF30" s="2205"/>
      <c r="AG30" s="2224"/>
      <c r="AH30" s="2211"/>
      <c r="AI30" s="2210"/>
    </row>
    <row r="31" spans="1:35" s="740" customFormat="1" ht="18.899999999999999" customHeight="1">
      <c r="A31" s="351" t="s">
        <v>188</v>
      </c>
      <c r="B31" s="443">
        <v>0</v>
      </c>
      <c r="C31" s="441"/>
      <c r="D31" s="443"/>
      <c r="E31" s="441"/>
      <c r="F31" s="443"/>
      <c r="G31" s="441"/>
      <c r="H31" s="443"/>
      <c r="I31" s="1718"/>
      <c r="J31" s="443"/>
      <c r="K31" s="441"/>
      <c r="L31" s="443"/>
      <c r="M31" s="1718"/>
      <c r="N31" s="443"/>
      <c r="O31" s="1718"/>
      <c r="P31" s="443"/>
      <c r="Q31" s="1718"/>
      <c r="R31" s="443"/>
      <c r="S31" s="1718"/>
      <c r="T31" s="443"/>
      <c r="U31" s="1718"/>
      <c r="V31" s="443"/>
      <c r="W31" s="1718"/>
      <c r="X31" s="443"/>
      <c r="Y31" s="1719"/>
      <c r="Z31" s="1720"/>
      <c r="AA31" s="2250">
        <f>ROUND(SUM(B31:X31),1)</f>
        <v>0</v>
      </c>
      <c r="AB31" s="2271"/>
      <c r="AC31" s="2272"/>
      <c r="AD31" s="2248">
        <v>0</v>
      </c>
      <c r="AE31" s="2248"/>
      <c r="AF31" s="2206"/>
      <c r="AG31" s="448">
        <f>ROUND(SUM(AA31-AD31),1)</f>
        <v>0</v>
      </c>
      <c r="AH31" s="2229"/>
      <c r="AI31" s="2230">
        <f>ROUND(IF(AG31=0,0,AG31/ABS(AD31)),3)</f>
        <v>0</v>
      </c>
    </row>
    <row r="32" spans="1:35" s="740" customFormat="1" ht="18.899999999999999" customHeight="1">
      <c r="A32" s="351" t="s">
        <v>189</v>
      </c>
      <c r="B32" s="443">
        <v>0</v>
      </c>
      <c r="C32" s="441"/>
      <c r="D32" s="443"/>
      <c r="E32" s="441"/>
      <c r="F32" s="443"/>
      <c r="G32" s="441"/>
      <c r="H32" s="443"/>
      <c r="I32" s="1718"/>
      <c r="J32" s="443"/>
      <c r="K32" s="441"/>
      <c r="L32" s="443"/>
      <c r="M32" s="1717"/>
      <c r="N32" s="443"/>
      <c r="O32" s="1717"/>
      <c r="P32" s="443"/>
      <c r="Q32" s="1717"/>
      <c r="R32" s="443"/>
      <c r="S32" s="1717"/>
      <c r="T32" s="443"/>
      <c r="U32" s="1717"/>
      <c r="V32" s="443"/>
      <c r="W32" s="1717"/>
      <c r="X32" s="443"/>
      <c r="Y32" s="1719"/>
      <c r="Z32" s="1720"/>
      <c r="AA32" s="2250">
        <f>ROUND(SUM(B32:X32),1)</f>
        <v>0</v>
      </c>
      <c r="AB32" s="2282"/>
      <c r="AC32" s="2283"/>
      <c r="AD32" s="2248">
        <v>0</v>
      </c>
      <c r="AE32" s="2248"/>
      <c r="AF32" s="2205"/>
      <c r="AG32" s="448">
        <f>ROUND(SUM(AA32-AD32),1)</f>
        <v>0</v>
      </c>
      <c r="AH32" s="2229"/>
      <c r="AI32" s="2230">
        <f>ROUND(IF(AG32=0,0,AG32/ABS(AD32)),3)</f>
        <v>0</v>
      </c>
    </row>
    <row r="33" spans="1:35" s="740" customFormat="1" ht="22.5" customHeight="1">
      <c r="A33" s="460" t="s">
        <v>215</v>
      </c>
      <c r="B33" s="1758">
        <f>ROUND(SUM(B31:B32),1)</f>
        <v>0</v>
      </c>
      <c r="C33" s="727"/>
      <c r="D33" s="1758">
        <f>ROUND(SUM(D31:D32),1)</f>
        <v>0</v>
      </c>
      <c r="E33" s="727"/>
      <c r="F33" s="1758">
        <f>ROUND(SUM(F31:F32),1)</f>
        <v>0</v>
      </c>
      <c r="G33" s="727"/>
      <c r="H33" s="1758">
        <f>ROUND(SUM(H31:H32),1)</f>
        <v>0</v>
      </c>
      <c r="I33" s="1723"/>
      <c r="J33" s="1758">
        <f>ROUND(SUM(J31:J32),1)</f>
        <v>0</v>
      </c>
      <c r="K33" s="727"/>
      <c r="L33" s="1758">
        <f>ROUND(SUM(L31:L32),1)</f>
        <v>0</v>
      </c>
      <c r="M33" s="1723"/>
      <c r="N33" s="1758">
        <f>ROUND(SUM(N31:N32),1)</f>
        <v>0</v>
      </c>
      <c r="O33" s="1723"/>
      <c r="P33" s="1758">
        <f>ROUND(SUM(P31:P32),1)</f>
        <v>0</v>
      </c>
      <c r="Q33" s="1759"/>
      <c r="R33" s="1758">
        <f>ROUND(SUM(R31:R32),1)</f>
        <v>0</v>
      </c>
      <c r="S33" s="1723"/>
      <c r="T33" s="1758">
        <f>ROUND(SUM(T31:T32),1)</f>
        <v>0</v>
      </c>
      <c r="U33" s="1723"/>
      <c r="V33" s="1758">
        <f>ROUND(SUM(V31:V32),1)</f>
        <v>0</v>
      </c>
      <c r="W33" s="1723"/>
      <c r="X33" s="1758">
        <f>ROUND(SUM(X31:X32),1)</f>
        <v>0</v>
      </c>
      <c r="Y33" s="1724"/>
      <c r="Z33" s="1725"/>
      <c r="AA33" s="2284">
        <f>ROUND(SUM(AA31:AA32),1)</f>
        <v>0</v>
      </c>
      <c r="AB33" s="2285"/>
      <c r="AC33" s="2286"/>
      <c r="AD33" s="2284">
        <f>ROUND(SUM(AD31:AD32),1)</f>
        <v>0</v>
      </c>
      <c r="AE33" s="2253"/>
      <c r="AF33" s="2206"/>
      <c r="AG33" s="2255">
        <f>ROUND(SUM(AG31-AG32),1)</f>
        <v>0</v>
      </c>
      <c r="AH33" s="2236"/>
      <c r="AI33" s="2257">
        <f>ROUND(IF(AG33=0,0,AG33/ABS(AD33)),3)</f>
        <v>0</v>
      </c>
    </row>
    <row r="34" spans="1:35" s="740" customFormat="1" ht="18.899999999999999" customHeight="1">
      <c r="A34" s="351"/>
      <c r="B34" s="726"/>
      <c r="C34" s="441"/>
      <c r="D34" s="726" t="s">
        <v>16</v>
      </c>
      <c r="E34" s="441"/>
      <c r="F34" s="726"/>
      <c r="G34" s="441"/>
      <c r="H34" s="1726"/>
      <c r="I34" s="1718"/>
      <c r="J34" s="1726"/>
      <c r="K34" s="441"/>
      <c r="L34" s="1726"/>
      <c r="M34" s="1718"/>
      <c r="N34" s="1726"/>
      <c r="O34" s="1718"/>
      <c r="P34" s="1726"/>
      <c r="Q34" s="1718"/>
      <c r="R34" s="1726"/>
      <c r="S34" s="1718"/>
      <c r="T34" s="1726"/>
      <c r="U34" s="1718"/>
      <c r="V34" s="1726"/>
      <c r="W34" s="1718"/>
      <c r="X34" s="1726"/>
      <c r="Y34" s="1719"/>
      <c r="Z34" s="1720"/>
      <c r="AA34" s="2276"/>
      <c r="AB34" s="2271"/>
      <c r="AC34" s="2277"/>
      <c r="AD34" s="2276"/>
      <c r="AE34" s="2224"/>
      <c r="AF34" s="2203"/>
      <c r="AG34" s="2224"/>
      <c r="AH34" s="2211"/>
      <c r="AI34" s="2210"/>
    </row>
    <row r="35" spans="1:35" s="740" customFormat="1" ht="18.899999999999999" customHeight="1">
      <c r="A35" s="460" t="s">
        <v>172</v>
      </c>
      <c r="B35" s="441"/>
      <c r="C35" s="441"/>
      <c r="D35" s="441" t="s">
        <v>16</v>
      </c>
      <c r="E35" s="441"/>
      <c r="F35" s="441"/>
      <c r="G35" s="441"/>
      <c r="H35" s="1718"/>
      <c r="I35" s="1718"/>
      <c r="J35" s="1718"/>
      <c r="K35" s="441"/>
      <c r="L35" s="1718"/>
      <c r="M35" s="1718"/>
      <c r="N35" s="1718"/>
      <c r="O35" s="1718"/>
      <c r="P35" s="1718"/>
      <c r="Q35" s="1718"/>
      <c r="R35" s="1718"/>
      <c r="S35" s="1718"/>
      <c r="T35" s="1718"/>
      <c r="U35" s="1718"/>
      <c r="V35" s="1718"/>
      <c r="W35" s="1718"/>
      <c r="X35" s="1718"/>
      <c r="Y35" s="1719"/>
      <c r="Z35" s="1720"/>
      <c r="AA35" s="2247"/>
      <c r="AB35" s="2271"/>
      <c r="AC35" s="2272"/>
      <c r="AD35" s="2247"/>
      <c r="AE35" s="2247"/>
      <c r="AF35" s="2203"/>
      <c r="AG35" s="2224"/>
      <c r="AH35" s="2211"/>
      <c r="AI35" s="2210"/>
    </row>
    <row r="36" spans="1:35" s="740" customFormat="1" ht="18.899999999999999" customHeight="1">
      <c r="A36" s="460" t="s">
        <v>234</v>
      </c>
      <c r="B36" s="441"/>
      <c r="C36" s="441"/>
      <c r="D36" s="441"/>
      <c r="E36" s="441"/>
      <c r="F36" s="441"/>
      <c r="G36" s="441"/>
      <c r="H36" s="1718"/>
      <c r="I36" s="1718"/>
      <c r="J36" s="1718"/>
      <c r="K36" s="441"/>
      <c r="L36" s="1718"/>
      <c r="M36" s="1718"/>
      <c r="N36" s="1718"/>
      <c r="O36" s="1718"/>
      <c r="P36" s="1718"/>
      <c r="Q36" s="1718"/>
      <c r="R36" s="1718"/>
      <c r="S36" s="1718"/>
      <c r="T36" s="1718"/>
      <c r="U36" s="1718"/>
      <c r="V36" s="1717"/>
      <c r="W36" s="1718"/>
      <c r="X36" s="1718"/>
      <c r="Y36" s="1719"/>
      <c r="Z36" s="1720"/>
      <c r="AA36" s="2247"/>
      <c r="AB36" s="2271"/>
      <c r="AC36" s="2272"/>
      <c r="AD36" s="2254"/>
      <c r="AE36" s="2254"/>
      <c r="AF36" s="2207"/>
      <c r="AG36" s="2224"/>
      <c r="AH36" s="2211"/>
      <c r="AI36" s="2210"/>
    </row>
    <row r="37" spans="1:35" s="742" customFormat="1" ht="18.899999999999999" customHeight="1">
      <c r="A37" s="460" t="s">
        <v>174</v>
      </c>
      <c r="B37" s="1733">
        <f>ROUND(B28+B33,1)</f>
        <v>-1.6</v>
      </c>
      <c r="C37" s="727"/>
      <c r="D37" s="1733">
        <f>ROUND(D28+D33,1)</f>
        <v>0</v>
      </c>
      <c r="E37" s="733"/>
      <c r="F37" s="1733">
        <f>ROUND(F28+F33,1)</f>
        <v>0</v>
      </c>
      <c r="G37" s="733"/>
      <c r="H37" s="1733">
        <f>ROUND(H28+H33,1)</f>
        <v>0</v>
      </c>
      <c r="I37" s="1740"/>
      <c r="J37" s="1733">
        <f>ROUND(J28+J33,1)</f>
        <v>0</v>
      </c>
      <c r="K37" s="733"/>
      <c r="L37" s="1733">
        <f>ROUND(L28+L33,1)</f>
        <v>0</v>
      </c>
      <c r="M37" s="1743"/>
      <c r="N37" s="1733">
        <f>ROUND(N28+N33,1)</f>
        <v>0</v>
      </c>
      <c r="O37" s="1743"/>
      <c r="P37" s="1733">
        <f>ROUND(P28+P33,1)</f>
        <v>0</v>
      </c>
      <c r="Q37" s="1743"/>
      <c r="R37" s="1733">
        <f>ROUND(R28+R33,1)</f>
        <v>0</v>
      </c>
      <c r="S37" s="1740"/>
      <c r="T37" s="1733">
        <f>ROUND(T28+T33,1)</f>
        <v>0</v>
      </c>
      <c r="U37" s="1740"/>
      <c r="V37" s="1733">
        <f>ROUND(V28+V33,1)</f>
        <v>0</v>
      </c>
      <c r="W37" s="1740"/>
      <c r="X37" s="1733">
        <f>ROUND(X28+X33,1)</f>
        <v>0</v>
      </c>
      <c r="Y37" s="1724"/>
      <c r="Z37" s="1725"/>
      <c r="AA37" s="2252">
        <f>ROUND(AA28+AA33,1)</f>
        <v>-1.6</v>
      </c>
      <c r="AB37" s="2258"/>
      <c r="AC37" s="2287"/>
      <c r="AD37" s="2252">
        <f>ROUND(AD28+AD33,1)</f>
        <v>-0.3</v>
      </c>
      <c r="AE37" s="2252"/>
      <c r="AF37" s="2208"/>
      <c r="AG37" s="2258">
        <f>ROUND(SUM(AG28+AG33),1)</f>
        <v>-1.3</v>
      </c>
      <c r="AH37" s="2200"/>
      <c r="AI37" s="3232">
        <f>ROUND(IF(AG37=0,0,AG37/ABS(AD37)),3)</f>
        <v>-4.3330000000000002</v>
      </c>
    </row>
    <row r="38" spans="1:35" s="740" customFormat="1" ht="22.5" customHeight="1" thickBot="1">
      <c r="A38" s="460" t="s">
        <v>146</v>
      </c>
      <c r="B38" s="1745">
        <f>ROUND(SUM(B13,B37),1)</f>
        <v>10</v>
      </c>
      <c r="C38" s="715"/>
      <c r="D38" s="1745">
        <f>ROUND(SUM(D13,D37),1)</f>
        <v>0</v>
      </c>
      <c r="E38" s="715"/>
      <c r="F38" s="1745">
        <f>ROUND(SUM(F13,F37),1)</f>
        <v>0</v>
      </c>
      <c r="G38" s="715"/>
      <c r="H38" s="1745">
        <f>ROUND(SUM(H13,H37),1)</f>
        <v>0</v>
      </c>
      <c r="I38" s="1746"/>
      <c r="J38" s="1745">
        <f>ROUND(SUM(J13,J37),1)</f>
        <v>0</v>
      </c>
      <c r="K38" s="715"/>
      <c r="L38" s="1745">
        <f>ROUND(SUM(L13,L37),1)</f>
        <v>0</v>
      </c>
      <c r="M38" s="718"/>
      <c r="N38" s="1745">
        <f>ROUND(SUM(N13,N37),1)</f>
        <v>0</v>
      </c>
      <c r="O38" s="718"/>
      <c r="P38" s="1745">
        <f>ROUND(SUM(P13,P37),1)</f>
        <v>0</v>
      </c>
      <c r="Q38" s="718"/>
      <c r="R38" s="1745">
        <f>ROUND(SUM(R13,R37),1)</f>
        <v>0</v>
      </c>
      <c r="S38" s="1746"/>
      <c r="T38" s="1745">
        <f>ROUND(SUM(T13,T37),1)</f>
        <v>0</v>
      </c>
      <c r="U38" s="1746"/>
      <c r="V38" s="1745">
        <f>ROUND(SUM(V13,V37),1)</f>
        <v>0</v>
      </c>
      <c r="W38" s="1746"/>
      <c r="X38" s="1745">
        <f>ROUND(SUM(X13,X37),1)</f>
        <v>0</v>
      </c>
      <c r="Y38" s="1707"/>
      <c r="Z38" s="1708"/>
      <c r="AA38" s="2288">
        <f>ROUND(SUM(AA13,AA37),1)</f>
        <v>10</v>
      </c>
      <c r="AB38" s="2218"/>
      <c r="AC38" s="2289"/>
      <c r="AD38" s="2259">
        <f>ROUND(SUM(AD13,AD37),1)</f>
        <v>11.2</v>
      </c>
      <c r="AE38" s="2218"/>
      <c r="AF38" s="2209"/>
      <c r="AG38" s="2259">
        <f>ROUND(SUM(AA38-AD38),1)</f>
        <v>-1.2</v>
      </c>
      <c r="AH38" s="2235"/>
      <c r="AI38" s="2260">
        <f>ROUND(IF(AG38=0,0,AG38/ABS(AD38)),3)</f>
        <v>-0.107</v>
      </c>
    </row>
    <row r="39" spans="1:35" s="740" customFormat="1" ht="18.899999999999999" customHeight="1" thickTop="1">
      <c r="A39" s="351" t="s">
        <v>16</v>
      </c>
      <c r="B39" s="1748"/>
      <c r="C39" s="1749"/>
      <c r="D39" s="1748"/>
      <c r="E39" s="1749"/>
      <c r="F39" s="1748"/>
      <c r="G39" s="1749"/>
      <c r="H39" s="1748"/>
      <c r="I39" s="1749"/>
      <c r="J39" s="1748"/>
      <c r="K39" s="1749"/>
      <c r="L39" s="1748"/>
      <c r="M39" s="1749"/>
      <c r="N39" s="1748"/>
      <c r="O39" s="1749"/>
      <c r="P39" s="1748"/>
      <c r="Q39" s="1749"/>
      <c r="R39" s="1748"/>
      <c r="S39" s="1749"/>
      <c r="T39" s="1748"/>
      <c r="U39" s="1749"/>
      <c r="V39" s="1748"/>
      <c r="W39" s="1749"/>
      <c r="X39" s="1748"/>
      <c r="Y39" s="1749"/>
      <c r="Z39" s="1749"/>
      <c r="AA39" s="2290"/>
      <c r="AB39" s="2233"/>
      <c r="AC39" s="2233"/>
      <c r="AD39" s="2233"/>
      <c r="AE39" s="2233"/>
      <c r="AF39" s="2233"/>
      <c r="AG39" s="2220"/>
      <c r="AH39" s="2211"/>
      <c r="AI39" s="2210"/>
    </row>
    <row r="40" spans="1:35" s="740" customFormat="1" ht="18.899999999999999" customHeight="1">
      <c r="B40" s="253"/>
      <c r="C40" s="367"/>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747"/>
      <c r="AH40" s="745"/>
    </row>
    <row r="41" spans="1:35" ht="15.75" customHeight="1">
      <c r="A41" s="744"/>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748"/>
    </row>
    <row r="42" spans="1:35" ht="15">
      <c r="A42" s="740"/>
    </row>
    <row r="43" spans="1:35" ht="13.5" customHeight="1">
      <c r="A43" s="1343"/>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748"/>
    </row>
    <row r="44" spans="1:35" ht="15">
      <c r="A44" s="223"/>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748"/>
    </row>
    <row r="45" spans="1:35" ht="15">
      <c r="A45" s="223"/>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row>
    <row r="46" spans="1:35" ht="15">
      <c r="A46" s="223"/>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row>
    <row r="47" spans="1:35" ht="1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row>
  </sheetData>
  <customSheetViews>
    <customSheetView guid="{8EE6466D-211E-4E05-9F84-CC0A1C6F79F4}" scale="60" showGridLines="0" outlineSymbols="0" fitToPage="1" topLeftCell="A3">
      <selection activeCell="A3" sqref="A3"/>
      <pageMargins left="0.5" right="0.42708333300000001" top="0.46666666666666701" bottom="0.6" header="0" footer="0.25"/>
      <pageSetup scale="42" fitToHeight="0" orientation="landscape" r:id="rId1"/>
      <headerFooter scaleWithDoc="0" alignWithMargins="0">
        <oddFooter>&amp;C&amp;8 37</oddFooter>
      </headerFooter>
    </customSheetView>
  </customSheetViews>
  <mergeCells count="2">
    <mergeCell ref="AC9:AI9"/>
    <mergeCell ref="AA10:AI10"/>
  </mergeCells>
  <pageMargins left="0.5" right="0.42708333300000001" top="0.46666666666666701" bottom="0.6" header="0" footer="0.25"/>
  <pageSetup scale="42" firstPageNumber="37" fitToHeight="0" orientation="landscape" useFirstPageNumber="1" r:id="rId2"/>
  <headerFooter scaleWithDoc="0" alignWithMargins="0">
    <oddFooter>&amp;C&amp;8&amp;P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G71"/>
  <sheetViews>
    <sheetView zoomScale="76" zoomScaleNormal="76" workbookViewId="0"/>
  </sheetViews>
  <sheetFormatPr defaultColWidth="8.90625" defaultRowHeight="10.199999999999999"/>
  <cols>
    <col min="1" max="1" width="38.453125" style="149" customWidth="1"/>
    <col min="2" max="2" width="6.90625" style="149" customWidth="1"/>
    <col min="3" max="3" width="4.1796875" style="149" customWidth="1"/>
    <col min="4" max="4" width="14" style="149" customWidth="1"/>
    <col min="5" max="5" width="1.08984375" style="149" customWidth="1"/>
    <col min="6" max="6" width="13.453125" style="149" customWidth="1"/>
    <col min="7" max="7" width="1.08984375" style="149" customWidth="1"/>
    <col min="8" max="8" width="13.453125" style="1178" customWidth="1"/>
    <col min="9" max="9" width="1.6328125" style="149" customWidth="1"/>
    <col min="10" max="10" width="13.453125" style="149" customWidth="1"/>
    <col min="11" max="11" width="1.08984375" style="149" customWidth="1"/>
    <col min="12" max="12" width="11.6328125" style="149" customWidth="1"/>
    <col min="13" max="13" width="1.08984375" style="149" customWidth="1"/>
    <col min="14" max="14" width="13.54296875" style="149" customWidth="1"/>
    <col min="15" max="15" width="1.08984375" style="149" customWidth="1"/>
    <col min="16" max="16" width="0.6328125" style="149" customWidth="1"/>
    <col min="17" max="17" width="1.08984375" style="149" customWidth="1"/>
    <col min="18" max="18" width="14.453125" style="149" customWidth="1"/>
    <col min="19" max="19" width="1.08984375" style="149" customWidth="1"/>
    <col min="20" max="20" width="14.453125" style="149" customWidth="1"/>
    <col min="21" max="21" width="1.08984375" style="217" customWidth="1"/>
    <col min="22" max="22" width="0.6328125" style="217" customWidth="1"/>
    <col min="23" max="24" width="1.08984375" style="217" customWidth="1"/>
    <col min="25" max="25" width="13.36328125" style="217" customWidth="1"/>
    <col min="26" max="26" width="1.08984375" style="217" customWidth="1"/>
    <col min="27" max="27" width="16.81640625" style="217" bestFit="1" customWidth="1"/>
    <col min="28" max="28" width="1.90625" style="217" customWidth="1"/>
    <col min="29" max="29" width="1.36328125" style="1898" customWidth="1"/>
    <col min="30" max="30" width="13.08984375" style="217" customWidth="1"/>
    <col min="31" max="31" width="3" style="217" customWidth="1"/>
    <col min="32" max="32" width="12" style="217" customWidth="1"/>
    <col min="33" max="16384" width="8.90625" style="217"/>
  </cols>
  <sheetData>
    <row r="1" spans="1:33" ht="15">
      <c r="A1" s="1172" t="s">
        <v>1103</v>
      </c>
    </row>
    <row r="2" spans="1:33" ht="15">
      <c r="A2" s="1172"/>
    </row>
    <row r="3" spans="1:33" ht="24" customHeight="1">
      <c r="A3" s="3390" t="s">
        <v>0</v>
      </c>
      <c r="B3" s="3391"/>
      <c r="C3" s="3391"/>
      <c r="D3" s="3391"/>
      <c r="E3" s="3391"/>
      <c r="F3" s="3391"/>
      <c r="G3" s="3391"/>
      <c r="H3" s="3391"/>
      <c r="I3" s="3391"/>
      <c r="J3" s="3391"/>
      <c r="K3" s="3391"/>
      <c r="L3" s="3391"/>
      <c r="M3" s="3391"/>
      <c r="N3" s="3391"/>
      <c r="O3" s="3391"/>
      <c r="P3" s="3391"/>
      <c r="Q3" s="3391"/>
      <c r="R3" s="3391"/>
      <c r="S3" s="3391"/>
      <c r="T3" s="3391"/>
      <c r="U3" s="3391"/>
      <c r="V3" s="3391"/>
      <c r="W3" s="3391"/>
      <c r="X3" s="3391"/>
      <c r="Y3" s="3391"/>
      <c r="Z3" s="3391"/>
      <c r="AA3" s="3391"/>
      <c r="AB3" s="3391"/>
      <c r="AC3" s="142"/>
      <c r="AF3" s="146" t="s">
        <v>56</v>
      </c>
    </row>
    <row r="4" spans="1:33" ht="21">
      <c r="A4" s="3392" t="s">
        <v>1338</v>
      </c>
      <c r="B4" s="3391"/>
      <c r="C4" s="3391"/>
      <c r="D4" s="3391"/>
      <c r="E4" s="3391"/>
      <c r="F4" s="3391"/>
      <c r="G4" s="3391"/>
      <c r="H4" s="3391"/>
      <c r="I4" s="3391"/>
      <c r="J4" s="3391"/>
      <c r="K4" s="3391"/>
      <c r="L4" s="3391"/>
      <c r="M4" s="3391"/>
      <c r="N4" s="3391"/>
      <c r="O4" s="3391"/>
      <c r="P4" s="3391"/>
      <c r="Q4" s="3391"/>
      <c r="R4" s="3391"/>
      <c r="S4" s="3391"/>
      <c r="T4" s="3391"/>
      <c r="U4" s="3391"/>
      <c r="V4" s="3391"/>
      <c r="W4" s="3391"/>
      <c r="X4" s="3391"/>
      <c r="Y4" s="3391"/>
      <c r="Z4" s="3391"/>
      <c r="AA4" s="3391"/>
      <c r="AB4" s="3391"/>
      <c r="AC4" s="142"/>
      <c r="AF4" s="146" t="s">
        <v>57</v>
      </c>
    </row>
    <row r="5" spans="1:33" ht="21">
      <c r="A5" s="3392" t="s">
        <v>996</v>
      </c>
      <c r="B5" s="3391"/>
      <c r="C5" s="3391"/>
      <c r="D5" s="3391"/>
      <c r="E5" s="3391"/>
      <c r="F5" s="3391"/>
      <c r="G5" s="3391"/>
      <c r="H5" s="3391"/>
      <c r="I5" s="3391"/>
      <c r="J5" s="3391"/>
      <c r="K5" s="3391"/>
      <c r="L5" s="3391"/>
      <c r="M5" s="3391"/>
      <c r="N5" s="3391"/>
      <c r="O5" s="3391"/>
      <c r="P5" s="3391"/>
      <c r="Q5" s="3391"/>
      <c r="R5" s="3391"/>
      <c r="S5" s="3391"/>
      <c r="T5" s="3391"/>
      <c r="U5" s="3391"/>
      <c r="V5" s="3391"/>
      <c r="W5" s="3391"/>
      <c r="X5" s="3391"/>
      <c r="Y5" s="3391"/>
      <c r="Z5" s="3391"/>
      <c r="AA5" s="3391"/>
      <c r="AB5" s="3391"/>
      <c r="AC5" s="142"/>
    </row>
    <row r="6" spans="1:33" ht="23.25" customHeight="1">
      <c r="A6" s="2295" t="s">
        <v>991</v>
      </c>
      <c r="B6" s="2294"/>
      <c r="C6" s="2294"/>
      <c r="D6" s="2294"/>
      <c r="E6" s="2294"/>
      <c r="F6" s="2294"/>
      <c r="G6" s="2294"/>
      <c r="H6" s="2294"/>
      <c r="I6" s="2294"/>
      <c r="J6" s="2294"/>
      <c r="K6" s="2294"/>
      <c r="L6" s="2294"/>
      <c r="M6" s="2294"/>
      <c r="N6" s="2294"/>
      <c r="O6" s="2294"/>
      <c r="P6" s="2294"/>
      <c r="Q6" s="2294"/>
      <c r="R6" s="2294"/>
      <c r="S6" s="2294"/>
      <c r="T6" s="2294"/>
      <c r="U6" s="2294"/>
      <c r="V6" s="2294"/>
      <c r="W6" s="2294"/>
      <c r="X6" s="2294"/>
      <c r="Y6" s="2294"/>
      <c r="Z6" s="2294"/>
      <c r="AA6" s="2294"/>
      <c r="AB6" s="2294"/>
      <c r="AC6" s="142"/>
    </row>
    <row r="7" spans="1:33" ht="23.25" customHeight="1">
      <c r="A7" s="3392"/>
      <c r="B7" s="3391"/>
      <c r="C7" s="3391"/>
      <c r="D7" s="3391"/>
      <c r="E7" s="3391"/>
      <c r="F7" s="3391"/>
      <c r="G7" s="3391"/>
      <c r="H7" s="3391"/>
      <c r="I7" s="3391"/>
      <c r="J7" s="3391"/>
      <c r="K7" s="3391"/>
      <c r="L7" s="3391"/>
      <c r="M7" s="3391"/>
      <c r="N7" s="3391"/>
      <c r="O7" s="3391"/>
      <c r="P7" s="3391"/>
      <c r="Q7" s="3391"/>
      <c r="R7" s="3391"/>
      <c r="S7" s="3391"/>
      <c r="T7" s="3391"/>
      <c r="U7" s="3391"/>
      <c r="V7" s="3391"/>
      <c r="W7" s="3391"/>
      <c r="X7" s="3391"/>
      <c r="Y7" s="3391"/>
      <c r="Z7" s="3391"/>
      <c r="AA7" s="3391"/>
      <c r="AB7" s="3391"/>
      <c r="AC7" s="142"/>
    </row>
    <row r="8" spans="1:33" ht="21">
      <c r="A8" s="143"/>
      <c r="B8" s="143"/>
      <c r="C8" s="143"/>
      <c r="D8" s="143"/>
      <c r="E8" s="143"/>
      <c r="F8" s="143"/>
      <c r="G8" s="143"/>
      <c r="H8" s="1177"/>
      <c r="I8" s="144"/>
      <c r="J8" s="144"/>
      <c r="K8" s="144"/>
      <c r="L8" s="144"/>
      <c r="M8" s="143"/>
      <c r="N8" s="144"/>
      <c r="O8" s="144"/>
      <c r="P8" s="144"/>
      <c r="Q8" s="144"/>
      <c r="R8" s="144"/>
      <c r="S8" s="144"/>
      <c r="T8" s="144"/>
      <c r="U8" s="2161"/>
      <c r="V8" s="2161"/>
      <c r="W8" s="2161"/>
      <c r="X8" s="2161"/>
      <c r="Y8" s="145"/>
      <c r="Z8" s="145"/>
      <c r="AA8" s="146"/>
      <c r="AB8" s="145"/>
      <c r="AC8" s="147"/>
    </row>
    <row r="9" spans="1:33" ht="20.25" customHeight="1">
      <c r="A9" s="143"/>
      <c r="B9" s="143"/>
      <c r="C9" s="143"/>
      <c r="D9" s="143"/>
      <c r="E9" s="143"/>
      <c r="F9" s="143"/>
      <c r="G9" s="143"/>
      <c r="H9" s="1177"/>
      <c r="I9" s="144"/>
      <c r="J9" s="144"/>
      <c r="K9" s="144"/>
      <c r="L9" s="144"/>
      <c r="M9" s="143"/>
      <c r="N9" s="144"/>
      <c r="O9" s="151"/>
      <c r="P9" s="151"/>
      <c r="Q9" s="151"/>
      <c r="R9" s="151"/>
      <c r="S9" s="154"/>
      <c r="T9" s="154"/>
      <c r="U9" s="1898"/>
      <c r="V9" s="1898"/>
      <c r="W9" s="1898"/>
      <c r="X9" s="1897"/>
      <c r="Y9" s="145"/>
      <c r="Z9" s="145"/>
      <c r="AA9" s="146"/>
      <c r="AB9" s="145"/>
      <c r="AC9" s="147"/>
    </row>
    <row r="10" spans="1:33" ht="12" customHeight="1">
      <c r="A10" s="143"/>
      <c r="B10" s="143"/>
      <c r="C10" s="143"/>
      <c r="D10" s="143"/>
      <c r="E10" s="143"/>
      <c r="F10" s="143"/>
      <c r="G10" s="143"/>
      <c r="H10" s="1177"/>
      <c r="I10" s="144"/>
      <c r="J10" s="144"/>
      <c r="K10" s="144"/>
      <c r="L10" s="144"/>
      <c r="M10" s="143"/>
      <c r="N10" s="144"/>
      <c r="O10" s="151"/>
      <c r="P10" s="1899"/>
      <c r="Q10" s="1897"/>
      <c r="R10" s="1897"/>
      <c r="S10" s="1898"/>
      <c r="T10" s="1898"/>
      <c r="U10" s="1898"/>
      <c r="V10" s="1898"/>
      <c r="W10" s="1898"/>
      <c r="X10" s="1897"/>
      <c r="Y10" s="145"/>
      <c r="Z10" s="145"/>
      <c r="AA10" s="150"/>
      <c r="AB10" s="145"/>
      <c r="AC10" s="147"/>
    </row>
    <row r="11" spans="1:33" ht="8.25" customHeight="1">
      <c r="A11" s="144"/>
      <c r="B11" s="143"/>
      <c r="C11" s="143"/>
      <c r="O11" s="144"/>
      <c r="P11" s="1900"/>
      <c r="Q11" s="1897"/>
      <c r="R11" s="1897"/>
      <c r="S11" s="1897"/>
      <c r="T11" s="1897"/>
      <c r="U11" s="1897"/>
      <c r="V11" s="1897"/>
      <c r="W11" s="2161"/>
      <c r="X11" s="2161"/>
      <c r="Y11" s="1951"/>
      <c r="Z11" s="1951"/>
      <c r="AA11" s="1951"/>
      <c r="AB11" s="1951"/>
      <c r="AC11" s="2162"/>
    </row>
    <row r="12" spans="1:33" ht="15.9" customHeight="1">
      <c r="A12" s="143"/>
      <c r="B12" s="143"/>
      <c r="C12" s="152"/>
      <c r="D12" s="3387"/>
      <c r="E12" s="3388"/>
      <c r="F12" s="3388"/>
      <c r="G12" s="3388"/>
      <c r="H12" s="3388"/>
      <c r="I12" s="3388"/>
      <c r="J12" s="3388"/>
      <c r="K12" s="3388"/>
      <c r="L12" s="3388"/>
      <c r="M12" s="3388"/>
      <c r="N12" s="3388"/>
      <c r="O12" s="1897"/>
      <c r="P12" s="1899"/>
      <c r="Q12" s="1897"/>
      <c r="R12" s="3386"/>
      <c r="S12" s="3386"/>
      <c r="T12" s="3386"/>
      <c r="U12" s="3386"/>
      <c r="V12" s="3386"/>
      <c r="W12" s="3386"/>
      <c r="X12" s="3386"/>
      <c r="Y12" s="3386"/>
      <c r="Z12" s="3386"/>
      <c r="AA12" s="3386"/>
      <c r="AB12" s="3386"/>
      <c r="AC12" s="2162"/>
      <c r="AD12" s="1898"/>
      <c r="AE12" s="1898"/>
      <c r="AF12" s="1898"/>
      <c r="AG12" s="1898"/>
    </row>
    <row r="13" spans="1:33" ht="15.9" customHeight="1">
      <c r="A13" s="1176"/>
      <c r="B13" s="1104"/>
      <c r="C13" s="1104"/>
      <c r="D13" s="159" t="s">
        <v>3</v>
      </c>
      <c r="E13" s="159"/>
      <c r="F13" s="159"/>
      <c r="G13" s="160"/>
      <c r="H13" s="1196" t="s">
        <v>1315</v>
      </c>
      <c r="I13" s="159"/>
      <c r="J13" s="159"/>
      <c r="K13" s="154"/>
      <c r="L13" s="3389" t="s">
        <v>5</v>
      </c>
      <c r="M13" s="3389"/>
      <c r="N13" s="3389"/>
      <c r="O13" s="1835"/>
      <c r="P13" s="1901"/>
      <c r="Q13" s="1901"/>
      <c r="R13" s="2613" t="s">
        <v>1337</v>
      </c>
      <c r="S13" s="2613"/>
      <c r="T13" s="2613"/>
      <c r="U13" s="2613"/>
      <c r="V13" s="2613"/>
      <c r="W13" s="2613"/>
      <c r="X13" s="2613"/>
      <c r="Y13" s="2613"/>
      <c r="Z13" s="2613"/>
      <c r="AA13" s="2613"/>
      <c r="AB13" s="2613"/>
      <c r="AC13" s="2322"/>
      <c r="AD13" s="2323"/>
      <c r="AE13" s="2323"/>
      <c r="AF13" s="2323"/>
    </row>
    <row r="14" spans="1:33" ht="15.75" customHeight="1">
      <c r="A14" s="157"/>
      <c r="B14" s="157"/>
      <c r="C14" s="158"/>
      <c r="D14" s="1835" t="s">
        <v>7</v>
      </c>
      <c r="E14" s="1835"/>
      <c r="F14" s="162" t="str">
        <f>'Exhibit A'!F11</f>
        <v>1 MO. ENDED</v>
      </c>
      <c r="G14" s="153"/>
      <c r="H14" s="1835" t="s">
        <v>7</v>
      </c>
      <c r="I14" s="1835"/>
      <c r="J14" s="1835" t="str">
        <f>F14</f>
        <v>1 MO. ENDED</v>
      </c>
      <c r="K14" s="153"/>
      <c r="L14" s="1835" t="s">
        <v>7</v>
      </c>
      <c r="M14" s="1835"/>
      <c r="N14" s="1835" t="str">
        <f>F14</f>
        <v>1 MO. ENDED</v>
      </c>
      <c r="O14" s="1835"/>
      <c r="P14" s="1902"/>
      <c r="Q14" s="1835"/>
      <c r="R14" s="1835" t="s">
        <v>7</v>
      </c>
      <c r="S14" s="1835"/>
      <c r="T14" s="1835" t="str">
        <f>F14</f>
        <v>1 MO. ENDED</v>
      </c>
      <c r="U14" s="1901"/>
      <c r="V14" s="1901"/>
      <c r="W14" s="1901"/>
      <c r="X14" s="1901"/>
      <c r="Y14" s="1901" t="s">
        <v>7</v>
      </c>
      <c r="Z14" s="1901"/>
      <c r="AA14" s="1901" t="str">
        <f>'Exhibit A'!AD11</f>
        <v>1 MO. ENDED</v>
      </c>
      <c r="AB14" s="1901"/>
      <c r="AC14" s="2163"/>
      <c r="AD14" s="24" t="s">
        <v>8</v>
      </c>
      <c r="AE14" s="1174"/>
      <c r="AF14" s="20" t="s">
        <v>9</v>
      </c>
    </row>
    <row r="15" spans="1:33" ht="15.9" customHeight="1">
      <c r="A15" s="157"/>
      <c r="B15" s="157"/>
      <c r="C15" s="157"/>
      <c r="D15" s="163" t="str">
        <f>'Exhibit A'!D12</f>
        <v>APR. 2016</v>
      </c>
      <c r="E15" s="153"/>
      <c r="F15" s="163" t="str">
        <f>'Exhibit A'!F12</f>
        <v>APR. 30, 2016</v>
      </c>
      <c r="G15" s="153"/>
      <c r="H15" s="1836" t="str">
        <f>D15</f>
        <v>APR. 2016</v>
      </c>
      <c r="I15" s="153"/>
      <c r="J15" s="1836" t="str">
        <f>F15</f>
        <v>APR. 30, 2016</v>
      </c>
      <c r="K15" s="153"/>
      <c r="L15" s="1836" t="str">
        <f>D15</f>
        <v>APR. 2016</v>
      </c>
      <c r="M15" s="153"/>
      <c r="N15" s="1836" t="str">
        <f>F15</f>
        <v>APR. 30, 2016</v>
      </c>
      <c r="O15" s="1835"/>
      <c r="P15" s="1902"/>
      <c r="Q15" s="1835"/>
      <c r="R15" s="1836" t="str">
        <f>D15</f>
        <v>APR. 2016</v>
      </c>
      <c r="S15" s="153"/>
      <c r="T15" s="1836" t="str">
        <f>F15</f>
        <v>APR. 30, 2016</v>
      </c>
      <c r="U15" s="1901"/>
      <c r="V15" s="1901"/>
      <c r="W15" s="1901"/>
      <c r="X15" s="1952"/>
      <c r="Y15" s="2164" t="str">
        <f>'Exhibit A'!AB12</f>
        <v>APR. 2015</v>
      </c>
      <c r="Z15" s="1952"/>
      <c r="AA15" s="2164" t="str">
        <f>'Exhibit A'!AD12</f>
        <v>APR. 30, 2015</v>
      </c>
      <c r="AB15" s="1952"/>
      <c r="AC15" s="2163"/>
      <c r="AD15" s="2165" t="s">
        <v>13</v>
      </c>
      <c r="AE15" s="1172"/>
      <c r="AF15" s="25" t="s">
        <v>14</v>
      </c>
    </row>
    <row r="16" spans="1:33" ht="15.9" customHeight="1">
      <c r="A16" s="156" t="s">
        <v>15</v>
      </c>
      <c r="B16" s="157"/>
      <c r="C16" s="157"/>
      <c r="D16" s="1114" t="s">
        <v>16</v>
      </c>
      <c r="E16" s="157"/>
      <c r="F16" s="158"/>
      <c r="G16" s="157"/>
      <c r="H16" s="1104" t="s">
        <v>16</v>
      </c>
      <c r="I16" s="157"/>
      <c r="J16" s="158"/>
      <c r="K16" s="157"/>
      <c r="L16" s="1104" t="s">
        <v>16</v>
      </c>
      <c r="M16" s="157"/>
      <c r="N16" s="158"/>
      <c r="O16" s="158"/>
      <c r="P16" s="1903"/>
      <c r="Q16" s="164"/>
      <c r="R16" s="158"/>
      <c r="S16" s="158"/>
      <c r="T16" s="158"/>
      <c r="U16" s="165"/>
      <c r="V16" s="165"/>
      <c r="W16" s="2166"/>
      <c r="X16" s="165"/>
      <c r="Y16" s="165"/>
      <c r="Z16" s="177"/>
      <c r="AA16" s="165"/>
      <c r="AB16" s="165"/>
      <c r="AC16" s="1955"/>
      <c r="AD16" s="33"/>
      <c r="AE16" s="2"/>
      <c r="AF16" s="19"/>
    </row>
    <row r="17" spans="1:32" ht="18" customHeight="1">
      <c r="A17" s="157" t="s">
        <v>17</v>
      </c>
      <c r="B17" s="166">
        <v>-4</v>
      </c>
      <c r="C17" s="157"/>
      <c r="D17" s="1115">
        <f>+'Exhibit A'!D14</f>
        <v>4786.5</v>
      </c>
      <c r="E17" s="167" t="s">
        <v>16</v>
      </c>
      <c r="F17" s="167">
        <f>+'Exhibit A'!F14</f>
        <v>4786.5</v>
      </c>
      <c r="G17" s="167"/>
      <c r="H17" s="1235">
        <f>+'Exhibit G state'!D16</f>
        <v>1.3</v>
      </c>
      <c r="I17" s="167"/>
      <c r="J17" s="2085">
        <f>'Exhibit G state'!AE16</f>
        <v>1.3</v>
      </c>
      <c r="K17" s="167"/>
      <c r="L17" s="1105">
        <f>+'Exhibit A'!L14</f>
        <v>1595.9</v>
      </c>
      <c r="M17" s="167"/>
      <c r="N17" s="167">
        <f>+'Exhibit A'!N14</f>
        <v>1595.9</v>
      </c>
      <c r="O17" s="169"/>
      <c r="P17" s="1904"/>
      <c r="Q17" s="170"/>
      <c r="R17" s="167">
        <f t="shared" ref="R17:R22" si="0">ROUND(SUM(D17+H17+L17),1)</f>
        <v>6383.7</v>
      </c>
      <c r="S17" s="167"/>
      <c r="T17" s="168">
        <f t="shared" ref="T17:T22" si="1">ROUND(SUM(F17+J17+N17),1)</f>
        <v>6383.7</v>
      </c>
      <c r="U17" s="1908"/>
      <c r="V17" s="1908"/>
      <c r="W17" s="2167"/>
      <c r="X17" s="1908"/>
      <c r="Y17" s="1908">
        <v>6718.4</v>
      </c>
      <c r="Z17" s="1908" t="s">
        <v>16</v>
      </c>
      <c r="AA17" s="1908">
        <f>'Exhibit F'!AF28+'Exhibit G state'!AH16+'Exhibit H'!AD16</f>
        <v>6718.4</v>
      </c>
      <c r="AB17" s="1953"/>
      <c r="AC17" s="1956"/>
      <c r="AD17" s="2168">
        <f t="shared" ref="AD17:AD22" si="2">ROUND(SUM(T17-AA17),1)</f>
        <v>-334.7</v>
      </c>
      <c r="AE17" s="44"/>
      <c r="AF17" s="45">
        <f>ROUND(+AD17/AA17,3)</f>
        <v>-0.05</v>
      </c>
    </row>
    <row r="18" spans="1:32" ht="18" customHeight="1">
      <c r="A18" s="157" t="s">
        <v>18</v>
      </c>
      <c r="B18" s="166" t="s">
        <v>16</v>
      </c>
      <c r="C18" s="157"/>
      <c r="D18" s="1106">
        <f>+'Exhibit A'!D15</f>
        <v>547</v>
      </c>
      <c r="E18" s="171"/>
      <c r="F18" s="171">
        <f>+'Exhibit A'!F15</f>
        <v>547</v>
      </c>
      <c r="G18" s="171"/>
      <c r="H18" s="1236">
        <f>+'Exhibit G state'!D28</f>
        <v>185.4</v>
      </c>
      <c r="I18" s="171"/>
      <c r="J18" s="2076">
        <f>'Exhibit G state'!AE28</f>
        <v>185.4</v>
      </c>
      <c r="K18" s="171"/>
      <c r="L18" s="1106">
        <f>+'Exhibit A'!L15</f>
        <v>498.2</v>
      </c>
      <c r="M18" s="171"/>
      <c r="N18" s="171">
        <f>+'Exhibit A'!N15</f>
        <v>498.2</v>
      </c>
      <c r="O18" s="172"/>
      <c r="P18" s="1905"/>
      <c r="Q18" s="173"/>
      <c r="R18" s="171">
        <f t="shared" si="0"/>
        <v>1230.5999999999999</v>
      </c>
      <c r="S18" s="171"/>
      <c r="T18" s="174">
        <f t="shared" si="1"/>
        <v>1230.5999999999999</v>
      </c>
      <c r="U18" s="196"/>
      <c r="V18" s="196"/>
      <c r="W18" s="1910"/>
      <c r="X18" s="196"/>
      <c r="Y18" s="196">
        <v>1190.5</v>
      </c>
      <c r="Z18" s="196" t="s">
        <v>16</v>
      </c>
      <c r="AA18" s="196">
        <f>'Exhibit F'!AF37+'Exhibit G state'!AH28+'Exhibit H'!AD20</f>
        <v>1190.5</v>
      </c>
      <c r="AB18" s="165"/>
      <c r="AC18" s="1955"/>
      <c r="AD18" s="53">
        <f t="shared" si="2"/>
        <v>40.1</v>
      </c>
      <c r="AE18" s="2"/>
      <c r="AF18" s="45">
        <f t="shared" ref="AF18:AF23" si="3">ROUND(+AD18/AA18,3)</f>
        <v>3.4000000000000002E-2</v>
      </c>
    </row>
    <row r="19" spans="1:32" ht="18" customHeight="1">
      <c r="A19" s="157" t="s">
        <v>19</v>
      </c>
      <c r="B19" s="178"/>
      <c r="C19" s="157"/>
      <c r="D19" s="1106">
        <f>+'Exhibit A'!D16</f>
        <v>158</v>
      </c>
      <c r="E19" s="171"/>
      <c r="F19" s="171">
        <f>+'Exhibit A'!F16</f>
        <v>158</v>
      </c>
      <c r="G19" s="171"/>
      <c r="H19" s="1236">
        <f>+'Exhibit G state'!D35</f>
        <v>73.3</v>
      </c>
      <c r="I19" s="171"/>
      <c r="J19" s="2076">
        <f>'Exhibit G state'!AE35</f>
        <v>73.3</v>
      </c>
      <c r="K19" s="171"/>
      <c r="L19" s="1106">
        <f>+'Exhibit A'!L16</f>
        <v>0</v>
      </c>
      <c r="M19" s="171"/>
      <c r="N19" s="171">
        <f>+'Exhibit A'!N16</f>
        <v>0</v>
      </c>
      <c r="O19" s="179"/>
      <c r="P19" s="1906"/>
      <c r="Q19" s="180"/>
      <c r="R19" s="171">
        <f t="shared" si="0"/>
        <v>231.3</v>
      </c>
      <c r="S19" s="171"/>
      <c r="T19" s="174">
        <f t="shared" si="1"/>
        <v>231.3</v>
      </c>
      <c r="U19" s="196"/>
      <c r="V19" s="196"/>
      <c r="W19" s="2169"/>
      <c r="X19" s="1909"/>
      <c r="Y19" s="196">
        <v>263.8</v>
      </c>
      <c r="Z19" s="196" t="s">
        <v>16</v>
      </c>
      <c r="AA19" s="196">
        <f>'Exhibit F'!AF44+'Exhibit G state'!AH35</f>
        <v>263.8</v>
      </c>
      <c r="AB19" s="165"/>
      <c r="AC19" s="1955"/>
      <c r="AD19" s="53">
        <f t="shared" si="2"/>
        <v>-32.5</v>
      </c>
      <c r="AE19" s="2"/>
      <c r="AF19" s="45">
        <f t="shared" si="3"/>
        <v>-0.123</v>
      </c>
    </row>
    <row r="20" spans="1:32" ht="18" customHeight="1">
      <c r="A20" s="157" t="s">
        <v>20</v>
      </c>
      <c r="B20" s="181"/>
      <c r="C20" s="157"/>
      <c r="D20" s="1106">
        <f>+'Exhibit A'!D17</f>
        <v>75.599999999999994</v>
      </c>
      <c r="E20" s="171"/>
      <c r="F20" s="171">
        <f>+'Exhibit A'!F17</f>
        <v>75.599999999999994</v>
      </c>
      <c r="G20" s="171"/>
      <c r="H20" s="1236">
        <f>+'Exhibit G state'!D38</f>
        <v>116.6</v>
      </c>
      <c r="I20" s="171"/>
      <c r="J20" s="2076">
        <f>'Exhibit G state'!AE38</f>
        <v>116.6</v>
      </c>
      <c r="K20" s="171"/>
      <c r="L20" s="1106">
        <f>+'Exhibit A'!L17</f>
        <v>90.4</v>
      </c>
      <c r="M20" s="171"/>
      <c r="N20" s="171">
        <f>+'Exhibit A'!N17</f>
        <v>90.4</v>
      </c>
      <c r="O20" s="172"/>
      <c r="P20" s="1905"/>
      <c r="Q20" s="173"/>
      <c r="R20" s="171">
        <f t="shared" si="0"/>
        <v>282.60000000000002</v>
      </c>
      <c r="S20" s="171"/>
      <c r="T20" s="174">
        <f t="shared" si="1"/>
        <v>282.60000000000002</v>
      </c>
      <c r="U20" s="196"/>
      <c r="V20" s="196"/>
      <c r="W20" s="1910"/>
      <c r="X20" s="196"/>
      <c r="Y20" s="196">
        <v>368.7</v>
      </c>
      <c r="Z20" s="196" t="s">
        <v>16</v>
      </c>
      <c r="AA20" s="196">
        <f>'Exhibit F'!AF52+'Exhibit G state'!AH38+'Exhibit H'!AD23</f>
        <v>368.7</v>
      </c>
      <c r="AB20" s="165"/>
      <c r="AC20" s="1955"/>
      <c r="AD20" s="53">
        <f t="shared" si="2"/>
        <v>-86.1</v>
      </c>
      <c r="AE20" s="2"/>
      <c r="AF20" s="45">
        <f t="shared" si="3"/>
        <v>-0.23400000000000001</v>
      </c>
    </row>
    <row r="21" spans="1:32" ht="18" customHeight="1">
      <c r="A21" s="157" t="s">
        <v>21</v>
      </c>
      <c r="B21" s="182"/>
      <c r="C21" s="157"/>
      <c r="D21" s="1106">
        <f>+'Exhibit A'!D18</f>
        <v>68.3</v>
      </c>
      <c r="E21" s="171"/>
      <c r="F21" s="171">
        <f>+'Exhibit A'!F18</f>
        <v>68.3</v>
      </c>
      <c r="G21" s="171"/>
      <c r="H21" s="1236">
        <f>+'Exhibit G state'!D82</f>
        <v>1278.3</v>
      </c>
      <c r="I21" s="171"/>
      <c r="J21" s="2076">
        <f>'Exhibit G state'!AE82</f>
        <v>1278.3</v>
      </c>
      <c r="K21" s="171"/>
      <c r="L21" s="1106">
        <f>+'Exhibit A'!L18</f>
        <v>10.7</v>
      </c>
      <c r="M21" s="171"/>
      <c r="N21" s="171">
        <f>+'Exhibit A'!N18</f>
        <v>10.7</v>
      </c>
      <c r="O21" s="172"/>
      <c r="P21" s="1905"/>
      <c r="Q21" s="173"/>
      <c r="R21" s="171">
        <f t="shared" si="0"/>
        <v>1357.3</v>
      </c>
      <c r="S21" s="171"/>
      <c r="T21" s="174">
        <f t="shared" si="1"/>
        <v>1357.3</v>
      </c>
      <c r="U21" s="196"/>
      <c r="V21" s="196"/>
      <c r="W21" s="1910"/>
      <c r="X21" s="196"/>
      <c r="Y21" s="196">
        <v>608.6</v>
      </c>
      <c r="Z21" s="196" t="s">
        <v>16</v>
      </c>
      <c r="AA21" s="196">
        <f>+'Exhibit F'!AF89+'Exhibit G state'!AH82+'Exhibit H'!AD43</f>
        <v>608.6</v>
      </c>
      <c r="AB21" s="165"/>
      <c r="AC21" s="1955"/>
      <c r="AD21" s="53">
        <f t="shared" si="2"/>
        <v>748.7</v>
      </c>
      <c r="AE21" s="2"/>
      <c r="AF21" s="45">
        <f t="shared" si="3"/>
        <v>1.23</v>
      </c>
    </row>
    <row r="22" spans="1:32" ht="18" customHeight="1">
      <c r="A22" s="157" t="s">
        <v>22</v>
      </c>
      <c r="B22" s="182"/>
      <c r="C22" s="157"/>
      <c r="D22" s="1106">
        <f>+'Exhibit A'!D19</f>
        <v>0</v>
      </c>
      <c r="E22" s="171"/>
      <c r="F22" s="171">
        <f>+'Exhibit A'!F19</f>
        <v>0</v>
      </c>
      <c r="G22" s="171"/>
      <c r="H22" s="1236">
        <f>+'Exhibit G state'!D84</f>
        <v>14.8</v>
      </c>
      <c r="I22" s="171"/>
      <c r="J22" s="2076">
        <f>'Exhibit G state'!AE84</f>
        <v>14.8</v>
      </c>
      <c r="K22" s="171"/>
      <c r="L22" s="1106">
        <f>+'Exhibit A'!L19</f>
        <v>0</v>
      </c>
      <c r="M22" s="176"/>
      <c r="N22" s="171">
        <f>+'Exhibit A'!N19</f>
        <v>0</v>
      </c>
      <c r="O22" s="179"/>
      <c r="P22" s="1906"/>
      <c r="Q22" s="180"/>
      <c r="R22" s="176">
        <f t="shared" si="0"/>
        <v>14.8</v>
      </c>
      <c r="S22" s="179"/>
      <c r="T22" s="174">
        <f t="shared" si="1"/>
        <v>14.8</v>
      </c>
      <c r="U22" s="196"/>
      <c r="V22" s="196"/>
      <c r="W22" s="2169"/>
      <c r="X22" s="2170"/>
      <c r="Y22" s="196">
        <v>0</v>
      </c>
      <c r="Z22" s="196" t="s">
        <v>16</v>
      </c>
      <c r="AA22" s="196">
        <f>+'Exhibit F'!AF91+'Exhibit G state'!AH84+'Exhibit H'!AD45</f>
        <v>0</v>
      </c>
      <c r="AB22" s="165"/>
      <c r="AC22" s="1955"/>
      <c r="AD22" s="53">
        <f t="shared" si="2"/>
        <v>14.8</v>
      </c>
      <c r="AE22" s="2"/>
      <c r="AF22" s="45">
        <f>ROUND(IF(AA22=0,1,AD22/ABS(AA22)),3)</f>
        <v>1</v>
      </c>
    </row>
    <row r="23" spans="1:32" ht="18" customHeight="1">
      <c r="A23" s="156" t="s">
        <v>23</v>
      </c>
      <c r="B23" s="157"/>
      <c r="C23" s="157"/>
      <c r="D23" s="183">
        <f>ROUND(SUM(D17:D22),1)</f>
        <v>5635.4</v>
      </c>
      <c r="E23" s="184"/>
      <c r="F23" s="185">
        <f>ROUND(SUM(F17:F22),1)</f>
        <v>5635.4</v>
      </c>
      <c r="G23" s="184"/>
      <c r="H23" s="183">
        <f>ROUND(SUM(H17:H22),1)</f>
        <v>1669.7</v>
      </c>
      <c r="I23" s="184"/>
      <c r="J23" s="183">
        <f>ROUND(SUM(J17:J22),1)</f>
        <v>1669.7</v>
      </c>
      <c r="K23" s="184"/>
      <c r="L23" s="183">
        <f>ROUND(SUM(L17:L22),1)</f>
        <v>2195.1999999999998</v>
      </c>
      <c r="M23" s="184"/>
      <c r="N23" s="183">
        <f>ROUND(SUM(N17:N22),1)</f>
        <v>2195.1999999999998</v>
      </c>
      <c r="O23" s="186"/>
      <c r="P23" s="202"/>
      <c r="Q23" s="187"/>
      <c r="R23" s="183">
        <f>ROUND(SUM(R17:R22),1)</f>
        <v>9500.2999999999993</v>
      </c>
      <c r="S23" s="186"/>
      <c r="T23" s="183">
        <f>ROUND(SUM(T17:T22),1)</f>
        <v>9500.2999999999993</v>
      </c>
      <c r="U23" s="204"/>
      <c r="V23" s="204"/>
      <c r="W23" s="2171"/>
      <c r="X23" s="204"/>
      <c r="Y23" s="2172">
        <f>ROUND(SUM(Y17:Y22),1)</f>
        <v>9150</v>
      </c>
      <c r="Z23" s="200"/>
      <c r="AA23" s="2172">
        <f>ROUND(SUM(AA17:AA22),1)</f>
        <v>9150</v>
      </c>
      <c r="AB23" s="205"/>
      <c r="AC23" s="1957"/>
      <c r="AD23" s="2173">
        <f>ROUND(SUM(AD17:AD22),1)</f>
        <v>350.3</v>
      </c>
      <c r="AE23" s="71"/>
      <c r="AF23" s="72">
        <f t="shared" si="3"/>
        <v>3.7999999999999999E-2</v>
      </c>
    </row>
    <row r="24" spans="1:32" ht="15.9" customHeight="1">
      <c r="A24" s="156"/>
      <c r="B24" s="157"/>
      <c r="C24" s="157"/>
      <c r="D24" s="1107"/>
      <c r="E24" s="171"/>
      <c r="F24" s="172"/>
      <c r="G24" s="171"/>
      <c r="H24" s="1107"/>
      <c r="I24" s="171"/>
      <c r="J24" s="172"/>
      <c r="K24" s="171"/>
      <c r="L24" s="1107"/>
      <c r="M24" s="171"/>
      <c r="N24" s="172"/>
      <c r="O24" s="172"/>
      <c r="P24" s="1905"/>
      <c r="Q24" s="173"/>
      <c r="R24" s="172"/>
      <c r="S24" s="172"/>
      <c r="T24" s="172"/>
      <c r="U24" s="197"/>
      <c r="V24" s="197"/>
      <c r="W24" s="1910"/>
      <c r="X24" s="197"/>
      <c r="Y24" s="197"/>
      <c r="Z24" s="196"/>
      <c r="AA24" s="197"/>
      <c r="AB24" s="165"/>
      <c r="AC24" s="1955"/>
      <c r="AD24" s="54"/>
      <c r="AE24" s="2"/>
      <c r="AF24" s="19"/>
    </row>
    <row r="25" spans="1:32" ht="15.9" customHeight="1">
      <c r="A25" s="156" t="s">
        <v>24</v>
      </c>
      <c r="B25" s="157"/>
      <c r="C25" s="157"/>
      <c r="D25" s="1106"/>
      <c r="E25" s="171"/>
      <c r="F25" s="171"/>
      <c r="G25" s="171"/>
      <c r="H25" s="1106"/>
      <c r="I25" s="171"/>
      <c r="J25" s="171"/>
      <c r="K25" s="171"/>
      <c r="L25" s="1106"/>
      <c r="M25" s="171"/>
      <c r="N25" s="171"/>
      <c r="O25" s="172"/>
      <c r="P25" s="1905"/>
      <c r="Q25" s="173"/>
      <c r="R25" s="171"/>
      <c r="S25" s="171"/>
      <c r="T25" s="171"/>
      <c r="U25" s="196"/>
      <c r="V25" s="196"/>
      <c r="W25" s="1910"/>
      <c r="X25" s="196"/>
      <c r="Y25" s="196"/>
      <c r="Z25" s="196"/>
      <c r="AA25" s="196"/>
      <c r="AB25" s="165"/>
      <c r="AC25" s="1955"/>
      <c r="AD25" s="53"/>
      <c r="AE25" s="2"/>
      <c r="AF25" s="19"/>
    </row>
    <row r="26" spans="1:32" ht="15.9" customHeight="1">
      <c r="A26" s="157" t="s">
        <v>25</v>
      </c>
      <c r="B26" s="181" t="s">
        <v>1082</v>
      </c>
      <c r="C26" s="157"/>
      <c r="D26" s="1108"/>
      <c r="E26" s="176"/>
      <c r="F26" s="175"/>
      <c r="G26" s="171"/>
      <c r="H26" s="1108"/>
      <c r="I26" s="176"/>
      <c r="J26" s="175"/>
      <c r="K26" s="171"/>
      <c r="L26" s="1108"/>
      <c r="M26" s="171"/>
      <c r="N26" s="176"/>
      <c r="O26" s="172"/>
      <c r="P26" s="1905"/>
      <c r="Q26" s="173"/>
      <c r="R26" s="176"/>
      <c r="S26" s="176"/>
      <c r="T26" s="176"/>
      <c r="U26" s="196"/>
      <c r="V26" s="196"/>
      <c r="W26" s="1910"/>
      <c r="X26" s="1909"/>
      <c r="Y26" s="196"/>
      <c r="Z26" s="196"/>
      <c r="AA26" s="196"/>
      <c r="AB26" s="165"/>
      <c r="AC26" s="1955"/>
      <c r="AD26" s="2174"/>
      <c r="AE26" s="2"/>
      <c r="AF26" s="76"/>
    </row>
    <row r="27" spans="1:32" ht="18" customHeight="1">
      <c r="A27" s="1678" t="s">
        <v>26</v>
      </c>
      <c r="B27" s="157"/>
      <c r="C27" s="157"/>
      <c r="D27" s="1116">
        <f>+'Exhibit A'!D24</f>
        <v>828.1</v>
      </c>
      <c r="E27" s="171"/>
      <c r="F27" s="188">
        <f>+'Exhibit A'!F24</f>
        <v>828.1</v>
      </c>
      <c r="G27" s="171"/>
      <c r="H27" s="1116">
        <f>+'Exhibit G state'!D90</f>
        <v>1.4</v>
      </c>
      <c r="I27" s="171"/>
      <c r="J27" s="188">
        <f>+'Exhibit G state'!AE90</f>
        <v>1.4</v>
      </c>
      <c r="K27" s="171"/>
      <c r="L27" s="1108">
        <f>+'Exhibit A'!L24</f>
        <v>0</v>
      </c>
      <c r="M27" s="171"/>
      <c r="N27" s="176">
        <f>+'Exhibit A'!N24</f>
        <v>0</v>
      </c>
      <c r="O27" s="179"/>
      <c r="P27" s="1906"/>
      <c r="Q27" s="180"/>
      <c r="R27" s="174">
        <f>ROUND(SUM(D27+H27+L27),1)</f>
        <v>829.5</v>
      </c>
      <c r="S27" s="174"/>
      <c r="T27" s="174">
        <f>ROUND(SUM(F27+J27+N27),1)</f>
        <v>829.5</v>
      </c>
      <c r="U27" s="196"/>
      <c r="V27" s="196"/>
      <c r="W27" s="2169"/>
      <c r="X27" s="1909"/>
      <c r="Y27" s="196">
        <v>571.70000000000005</v>
      </c>
      <c r="Z27" s="196" t="s">
        <v>16</v>
      </c>
      <c r="AA27" s="196">
        <f>+'Exhibit F'!AF97+'Exhibit G state'!AH90</f>
        <v>571.70000000000005</v>
      </c>
      <c r="AB27" s="165"/>
      <c r="AC27" s="1955"/>
      <c r="AD27" s="53">
        <f>ROUND(SUM(T27-AA27),1)</f>
        <v>257.8</v>
      </c>
      <c r="AE27" s="2"/>
      <c r="AF27" s="45">
        <f>ROUND(+AD27/AA27,3)</f>
        <v>0.45100000000000001</v>
      </c>
    </row>
    <row r="28" spans="1:32" ht="18" customHeight="1">
      <c r="A28" s="1678" t="s">
        <v>27</v>
      </c>
      <c r="B28" s="181"/>
      <c r="C28" s="157"/>
      <c r="D28" s="1116">
        <f>+'Exhibit A'!D25</f>
        <v>0.1</v>
      </c>
      <c r="E28" s="171"/>
      <c r="F28" s="188">
        <f>+'Exhibit A'!F25</f>
        <v>0.1</v>
      </c>
      <c r="G28" s="171"/>
      <c r="H28" s="1116">
        <f>+'Exhibit G state'!D91</f>
        <v>0</v>
      </c>
      <c r="I28" s="174"/>
      <c r="J28" s="188">
        <f>+'Exhibit G state'!AE91</f>
        <v>0</v>
      </c>
      <c r="K28" s="171"/>
      <c r="L28" s="1108">
        <f>+'Exhibit A'!L25</f>
        <v>0</v>
      </c>
      <c r="M28" s="171"/>
      <c r="N28" s="176">
        <f>+'Exhibit A'!N25</f>
        <v>0</v>
      </c>
      <c r="O28" s="179"/>
      <c r="P28" s="1906"/>
      <c r="Q28" s="180"/>
      <c r="R28" s="174">
        <f t="shared" ref="R28:R35" si="4">ROUND(SUM(D28+H28+L28),1)</f>
        <v>0.1</v>
      </c>
      <c r="S28" s="174"/>
      <c r="T28" s="174">
        <f t="shared" ref="T28:T35" si="5">ROUND(SUM(F28+J28+N28),1)</f>
        <v>0.1</v>
      </c>
      <c r="U28" s="196"/>
      <c r="V28" s="196"/>
      <c r="W28" s="2169"/>
      <c r="X28" s="1909"/>
      <c r="Y28" s="1111">
        <v>0</v>
      </c>
      <c r="Z28" s="196" t="s">
        <v>16</v>
      </c>
      <c r="AA28" s="196">
        <f>+'Exhibit F'!AF98+'Exhibit G state'!AH91</f>
        <v>0</v>
      </c>
      <c r="AB28" s="165"/>
      <c r="AC28" s="1955"/>
      <c r="AD28" s="53">
        <f>ROUND(SUM(T28-AA28),1)</f>
        <v>0.1</v>
      </c>
      <c r="AE28" s="2"/>
      <c r="AF28" s="45">
        <f>ROUND(IF(AA28=0,1,AD28/ABS(AA28)),3)</f>
        <v>1</v>
      </c>
    </row>
    <row r="29" spans="1:32" ht="18" customHeight="1">
      <c r="A29" s="1678" t="s">
        <v>28</v>
      </c>
      <c r="B29" s="189"/>
      <c r="C29" s="157"/>
      <c r="D29" s="1116">
        <f>+'Exhibit A'!D26</f>
        <v>2.1</v>
      </c>
      <c r="E29" s="171"/>
      <c r="F29" s="188">
        <f>+'Exhibit A'!F26</f>
        <v>2.1</v>
      </c>
      <c r="G29" s="171"/>
      <c r="H29" s="1116">
        <f>+'Exhibit G state'!D92</f>
        <v>9.6999999999999993</v>
      </c>
      <c r="I29" s="171"/>
      <c r="J29" s="188">
        <f>+'Exhibit G state'!AE92</f>
        <v>9.6999999999999993</v>
      </c>
      <c r="K29" s="171"/>
      <c r="L29" s="1108">
        <f>+'Exhibit A'!L26</f>
        <v>0</v>
      </c>
      <c r="M29" s="171"/>
      <c r="N29" s="176">
        <f>+'Exhibit A'!N26</f>
        <v>0</v>
      </c>
      <c r="O29" s="179"/>
      <c r="P29" s="1906"/>
      <c r="Q29" s="180"/>
      <c r="R29" s="174">
        <f t="shared" si="4"/>
        <v>11.8</v>
      </c>
      <c r="S29" s="174"/>
      <c r="T29" s="174">
        <f t="shared" si="5"/>
        <v>11.8</v>
      </c>
      <c r="U29" s="196"/>
      <c r="V29" s="196"/>
      <c r="W29" s="2169"/>
      <c r="X29" s="1909"/>
      <c r="Y29" s="196">
        <v>14.3</v>
      </c>
      <c r="Z29" s="196" t="s">
        <v>16</v>
      </c>
      <c r="AA29" s="196">
        <f>+'Exhibit F'!AF99+'Exhibit G state'!AH92</f>
        <v>14.3</v>
      </c>
      <c r="AB29" s="165"/>
      <c r="AC29" s="1955"/>
      <c r="AD29" s="53">
        <f>ROUND(SUM(T29-AA29),1)</f>
        <v>-2.5</v>
      </c>
      <c r="AE29" s="2"/>
      <c r="AF29" s="45">
        <f>ROUND(+AD29/AA29,3)</f>
        <v>-0.17499999999999999</v>
      </c>
    </row>
    <row r="30" spans="1:32" ht="18" customHeight="1">
      <c r="A30" s="1678" t="s">
        <v>29</v>
      </c>
      <c r="B30" s="189"/>
      <c r="C30" s="157"/>
      <c r="D30" s="1116"/>
      <c r="E30" s="171"/>
      <c r="F30" s="188"/>
      <c r="G30" s="171"/>
      <c r="H30" s="1116"/>
      <c r="I30" s="171"/>
      <c r="J30" s="188"/>
      <c r="K30" s="171"/>
      <c r="L30" s="1108"/>
      <c r="M30" s="171"/>
      <c r="N30" s="176"/>
      <c r="O30" s="179"/>
      <c r="P30" s="1906"/>
      <c r="Q30" s="180"/>
      <c r="R30" s="1118" t="s">
        <v>16</v>
      </c>
      <c r="S30" s="174"/>
      <c r="T30" s="1118" t="s">
        <v>16</v>
      </c>
      <c r="U30" s="196"/>
      <c r="V30" s="196"/>
      <c r="W30" s="2169"/>
      <c r="X30" s="1909"/>
      <c r="Y30" s="1111"/>
      <c r="Z30" s="196" t="s">
        <v>16</v>
      </c>
      <c r="AA30" s="1111" t="s">
        <v>16</v>
      </c>
      <c r="AB30" s="165"/>
      <c r="AC30" s="1955"/>
      <c r="AD30" s="53"/>
      <c r="AE30" s="2"/>
      <c r="AF30" s="45"/>
    </row>
    <row r="31" spans="1:32" ht="18" customHeight="1">
      <c r="A31" s="1679" t="s">
        <v>30</v>
      </c>
      <c r="B31" s="182"/>
      <c r="C31" s="157"/>
      <c r="D31" s="1116">
        <f>+'Exhibit A'!D28</f>
        <v>990.1</v>
      </c>
      <c r="E31" s="171"/>
      <c r="F31" s="188">
        <f>+'Exhibit A'!F28</f>
        <v>990.1</v>
      </c>
      <c r="G31" s="171"/>
      <c r="H31" s="1116">
        <f>+'Exhibit G state'!D94</f>
        <v>335.2</v>
      </c>
      <c r="I31" s="171"/>
      <c r="J31" s="188">
        <f>+'Exhibit G state'!AE94</f>
        <v>335.2</v>
      </c>
      <c r="K31" s="171"/>
      <c r="L31" s="1108">
        <f>+'Exhibit A'!L28</f>
        <v>0</v>
      </c>
      <c r="M31" s="171"/>
      <c r="N31" s="176">
        <f>+'Exhibit A'!N28</f>
        <v>0</v>
      </c>
      <c r="O31" s="179"/>
      <c r="P31" s="1906"/>
      <c r="Q31" s="180"/>
      <c r="R31" s="174">
        <f t="shared" si="4"/>
        <v>1325.3</v>
      </c>
      <c r="S31" s="174"/>
      <c r="T31" s="174">
        <f t="shared" si="5"/>
        <v>1325.3</v>
      </c>
      <c r="U31" s="196"/>
      <c r="V31" s="196"/>
      <c r="W31" s="2169"/>
      <c r="X31" s="1909"/>
      <c r="Y31" s="196">
        <v>1633.2</v>
      </c>
      <c r="Z31" s="196" t="s">
        <v>16</v>
      </c>
      <c r="AA31" s="196">
        <f>+'Exhibit F'!AF101+'Exhibit G state'!AH94</f>
        <v>1633.1999999999998</v>
      </c>
      <c r="AB31" s="165"/>
      <c r="AC31" s="1955"/>
      <c r="AD31" s="53">
        <f t="shared" ref="AD31:AD36" si="6">ROUND(SUM(T31-AA31),1)</f>
        <v>-307.89999999999998</v>
      </c>
      <c r="AE31" s="2"/>
      <c r="AF31" s="45">
        <f t="shared" ref="AF31:AF36" si="7">ROUND(+AD31/AA31,3)</f>
        <v>-0.189</v>
      </c>
    </row>
    <row r="32" spans="1:32" ht="18" customHeight="1">
      <c r="A32" s="1678" t="s">
        <v>31</v>
      </c>
      <c r="B32" s="189"/>
      <c r="C32" s="157"/>
      <c r="D32" s="1116">
        <f>+'Exhibit A'!D29</f>
        <v>24.7</v>
      </c>
      <c r="E32" s="171"/>
      <c r="F32" s="188">
        <f>+'Exhibit A'!F29</f>
        <v>24.7</v>
      </c>
      <c r="G32" s="171"/>
      <c r="H32" s="1116">
        <f>+'Exhibit G state'!D95</f>
        <v>149.80000000000001</v>
      </c>
      <c r="I32" s="171"/>
      <c r="J32" s="188">
        <f>+'Exhibit G state'!AE95</f>
        <v>149.80000000000001</v>
      </c>
      <c r="K32" s="171"/>
      <c r="L32" s="1108">
        <f>+'Exhibit A'!L29</f>
        <v>0</v>
      </c>
      <c r="M32" s="171"/>
      <c r="N32" s="176">
        <f>+'Exhibit A'!N29</f>
        <v>0</v>
      </c>
      <c r="O32" s="179"/>
      <c r="P32" s="1906"/>
      <c r="Q32" s="180"/>
      <c r="R32" s="174">
        <f t="shared" si="4"/>
        <v>174.5</v>
      </c>
      <c r="S32" s="174"/>
      <c r="T32" s="174">
        <f t="shared" si="5"/>
        <v>174.5</v>
      </c>
      <c r="U32" s="196"/>
      <c r="V32" s="196"/>
      <c r="W32" s="2169"/>
      <c r="X32" s="1909"/>
      <c r="Y32" s="196">
        <v>98.8</v>
      </c>
      <c r="Z32" s="196" t="s">
        <v>16</v>
      </c>
      <c r="AA32" s="196">
        <f>+'Exhibit F'!AF102+'Exhibit G state'!AH95</f>
        <v>98.8</v>
      </c>
      <c r="AB32" s="165"/>
      <c r="AC32" s="1955"/>
      <c r="AD32" s="53">
        <f t="shared" si="6"/>
        <v>75.7</v>
      </c>
      <c r="AE32" s="2"/>
      <c r="AF32" s="45">
        <f t="shared" si="7"/>
        <v>0.76600000000000001</v>
      </c>
    </row>
    <row r="33" spans="1:32" ht="18" customHeight="1">
      <c r="A33" s="1678" t="s">
        <v>32</v>
      </c>
      <c r="B33" s="157"/>
      <c r="C33" s="157"/>
      <c r="D33" s="1116">
        <f>+'Exhibit A'!D30</f>
        <v>7.2</v>
      </c>
      <c r="E33" s="171"/>
      <c r="F33" s="188">
        <f>+'Exhibit A'!F30</f>
        <v>7.2</v>
      </c>
      <c r="G33" s="171"/>
      <c r="H33" s="1116">
        <f>+'Exhibit G state'!D96</f>
        <v>11.8</v>
      </c>
      <c r="I33" s="171"/>
      <c r="J33" s="188">
        <f>+'Exhibit G state'!AE96</f>
        <v>11.8</v>
      </c>
      <c r="K33" s="171"/>
      <c r="L33" s="1108">
        <f>+'Exhibit A'!L30</f>
        <v>0</v>
      </c>
      <c r="M33" s="171"/>
      <c r="N33" s="176">
        <f>+'Exhibit A'!N30</f>
        <v>0</v>
      </c>
      <c r="O33" s="179"/>
      <c r="P33" s="1906"/>
      <c r="Q33" s="180"/>
      <c r="R33" s="174">
        <f t="shared" si="4"/>
        <v>19</v>
      </c>
      <c r="S33" s="174"/>
      <c r="T33" s="174">
        <f t="shared" si="5"/>
        <v>19</v>
      </c>
      <c r="U33" s="196"/>
      <c r="V33" s="196"/>
      <c r="W33" s="2169"/>
      <c r="X33" s="1909"/>
      <c r="Y33" s="196">
        <v>14.6</v>
      </c>
      <c r="Z33" s="196" t="s">
        <v>16</v>
      </c>
      <c r="AA33" s="196">
        <f>+'Exhibit F'!AF103+'Exhibit G state'!AH96</f>
        <v>14.6</v>
      </c>
      <c r="AB33" s="165"/>
      <c r="AC33" s="1955"/>
      <c r="AD33" s="53">
        <f t="shared" si="6"/>
        <v>4.4000000000000004</v>
      </c>
      <c r="AE33" s="2"/>
      <c r="AF33" s="45">
        <f t="shared" si="7"/>
        <v>0.30099999999999999</v>
      </c>
    </row>
    <row r="34" spans="1:32" ht="18" customHeight="1">
      <c r="A34" s="1678" t="s">
        <v>33</v>
      </c>
      <c r="B34" s="157"/>
      <c r="C34" s="157"/>
      <c r="D34" s="1116">
        <f>+'Exhibit A'!D31</f>
        <v>122.9</v>
      </c>
      <c r="E34" s="171"/>
      <c r="F34" s="188">
        <f>+'Exhibit A'!F31</f>
        <v>122.9</v>
      </c>
      <c r="G34" s="171"/>
      <c r="H34" s="1116">
        <f>+'Exhibit G state'!D97</f>
        <v>0.4</v>
      </c>
      <c r="I34" s="171"/>
      <c r="J34" s="188">
        <f>+'Exhibit G state'!AE97</f>
        <v>0.4</v>
      </c>
      <c r="K34" s="171"/>
      <c r="L34" s="1108">
        <f>+'Exhibit A'!L31</f>
        <v>0</v>
      </c>
      <c r="M34" s="171"/>
      <c r="N34" s="176">
        <f>+'Exhibit A'!N31</f>
        <v>0</v>
      </c>
      <c r="O34" s="179"/>
      <c r="P34" s="1906"/>
      <c r="Q34" s="180"/>
      <c r="R34" s="174">
        <f t="shared" si="4"/>
        <v>123.3</v>
      </c>
      <c r="S34" s="174"/>
      <c r="T34" s="174">
        <f t="shared" si="5"/>
        <v>123.3</v>
      </c>
      <c r="U34" s="196"/>
      <c r="V34" s="196"/>
      <c r="W34" s="2169"/>
      <c r="X34" s="1909"/>
      <c r="Y34" s="196">
        <v>132.69999999999999</v>
      </c>
      <c r="Z34" s="196" t="s">
        <v>16</v>
      </c>
      <c r="AA34" s="196">
        <f>+'Exhibit F'!AF104+'Exhibit G state'!AH97</f>
        <v>132.69999999999999</v>
      </c>
      <c r="AB34" s="165"/>
      <c r="AC34" s="1955"/>
      <c r="AD34" s="53">
        <f t="shared" si="6"/>
        <v>-9.4</v>
      </c>
      <c r="AE34" s="2"/>
      <c r="AF34" s="45">
        <f t="shared" si="7"/>
        <v>-7.0999999999999994E-2</v>
      </c>
    </row>
    <row r="35" spans="1:32" ht="18" customHeight="1">
      <c r="A35" s="1678" t="s">
        <v>34</v>
      </c>
      <c r="B35" s="157"/>
      <c r="C35" s="157"/>
      <c r="D35" s="1116">
        <f>+'Exhibit A'!D32</f>
        <v>2.2000000000000002</v>
      </c>
      <c r="E35" s="171"/>
      <c r="F35" s="188">
        <f>+'Exhibit A'!F32</f>
        <v>2.2000000000000002</v>
      </c>
      <c r="G35" s="171"/>
      <c r="H35" s="1116">
        <f>+'Exhibit G state'!D98</f>
        <v>0.1</v>
      </c>
      <c r="I35" s="171"/>
      <c r="J35" s="188">
        <f>+'Exhibit G state'!AE98</f>
        <v>0.1</v>
      </c>
      <c r="K35" s="171"/>
      <c r="L35" s="1108">
        <f>+'Exhibit A'!L32</f>
        <v>0</v>
      </c>
      <c r="M35" s="171"/>
      <c r="N35" s="176">
        <f>+'Exhibit A'!N32</f>
        <v>0</v>
      </c>
      <c r="O35" s="179"/>
      <c r="P35" s="1906"/>
      <c r="Q35" s="180"/>
      <c r="R35" s="174">
        <f t="shared" si="4"/>
        <v>2.2999999999999998</v>
      </c>
      <c r="S35" s="174"/>
      <c r="T35" s="174">
        <f t="shared" si="5"/>
        <v>2.2999999999999998</v>
      </c>
      <c r="U35" s="196"/>
      <c r="V35" s="196"/>
      <c r="W35" s="2169"/>
      <c r="X35" s="1909"/>
      <c r="Y35" s="1111">
        <v>4.5999999999999996</v>
      </c>
      <c r="Z35" s="196" t="s">
        <v>16</v>
      </c>
      <c r="AA35" s="196">
        <f>+'Exhibit F'!AF105+'Exhibit G state'!AH98</f>
        <v>4.5999999999999996</v>
      </c>
      <c r="AB35" s="165"/>
      <c r="AC35" s="1955"/>
      <c r="AD35" s="53">
        <f t="shared" si="6"/>
        <v>-2.2999999999999998</v>
      </c>
      <c r="AE35" s="2"/>
      <c r="AF35" s="45">
        <f t="shared" si="7"/>
        <v>-0.5</v>
      </c>
    </row>
    <row r="36" spans="1:32" ht="18" customHeight="1">
      <c r="A36" s="1678" t="s">
        <v>35</v>
      </c>
      <c r="B36" s="157"/>
      <c r="C36" s="157"/>
      <c r="D36" s="1116">
        <f>+'Exhibit A'!D33</f>
        <v>0</v>
      </c>
      <c r="E36" s="171"/>
      <c r="F36" s="188">
        <f>+'Exhibit A'!F33</f>
        <v>0</v>
      </c>
      <c r="G36" s="171"/>
      <c r="H36" s="1116">
        <f>+'Exhibit G state'!D99</f>
        <v>192.1</v>
      </c>
      <c r="I36" s="171"/>
      <c r="J36" s="188">
        <f>+'Exhibit G state'!AE99</f>
        <v>192.1</v>
      </c>
      <c r="K36" s="171"/>
      <c r="L36" s="1108">
        <f>+'Exhibit A'!L33</f>
        <v>0</v>
      </c>
      <c r="M36" s="171"/>
      <c r="N36" s="176">
        <f>+'Exhibit A'!N33</f>
        <v>0</v>
      </c>
      <c r="O36" s="179"/>
      <c r="P36" s="1906"/>
      <c r="Q36" s="180"/>
      <c r="R36" s="190">
        <f>ROUND(SUM(D36+H36+L36),1)</f>
        <v>192.1</v>
      </c>
      <c r="S36" s="174"/>
      <c r="T36" s="190">
        <f>ROUND(SUM(F36+J36+N36),1)</f>
        <v>192.1</v>
      </c>
      <c r="U36" s="196"/>
      <c r="V36" s="196"/>
      <c r="W36" s="2169"/>
      <c r="X36" s="1909"/>
      <c r="Y36" s="2649">
        <v>125.3</v>
      </c>
      <c r="Z36" s="196" t="s">
        <v>16</v>
      </c>
      <c r="AA36" s="197">
        <f>+'Exhibit F'!AF106+'Exhibit G state'!AH99</f>
        <v>125.3</v>
      </c>
      <c r="AB36" s="165"/>
      <c r="AC36" s="1955"/>
      <c r="AD36" s="53">
        <f t="shared" si="6"/>
        <v>66.8</v>
      </c>
      <c r="AE36" s="2"/>
      <c r="AF36" s="45">
        <f t="shared" si="7"/>
        <v>0.53300000000000003</v>
      </c>
    </row>
    <row r="37" spans="1:32" ht="18" customHeight="1">
      <c r="A37" s="156" t="s">
        <v>36</v>
      </c>
      <c r="B37" s="157"/>
      <c r="C37" s="157"/>
      <c r="D37" s="183">
        <f>ROUND(SUM(D27:D36),1)</f>
        <v>1977.4</v>
      </c>
      <c r="E37" s="184"/>
      <c r="F37" s="183">
        <f>ROUND(SUM(F27:F36),1)</f>
        <v>1977.4</v>
      </c>
      <c r="G37" s="184"/>
      <c r="H37" s="183">
        <f>ROUND(SUM(H27:H36),1)</f>
        <v>700.5</v>
      </c>
      <c r="I37" s="184"/>
      <c r="J37" s="183">
        <f>ROUND(SUM(J27:J36),1)</f>
        <v>700.5</v>
      </c>
      <c r="K37" s="184"/>
      <c r="L37" s="191">
        <f>ROUND(SUM(L27:L36),1)</f>
        <v>0</v>
      </c>
      <c r="M37" s="184"/>
      <c r="N37" s="192">
        <f>ROUND(SUM(N27:N36),1)</f>
        <v>0</v>
      </c>
      <c r="O37" s="193"/>
      <c r="P37" s="1907"/>
      <c r="Q37" s="194"/>
      <c r="R37" s="183">
        <f>ROUND(SUM(R27:R36),1)</f>
        <v>2677.9</v>
      </c>
      <c r="S37" s="193"/>
      <c r="T37" s="183">
        <f>ROUND(SUM(T27:T36),1)</f>
        <v>2677.9</v>
      </c>
      <c r="U37" s="204"/>
      <c r="V37" s="204"/>
      <c r="W37" s="2175"/>
      <c r="X37" s="2176"/>
      <c r="Y37" s="2172">
        <f>ROUND(SUM(Y27:Y36),1)</f>
        <v>2595.1999999999998</v>
      </c>
      <c r="Z37" s="200"/>
      <c r="AA37" s="2172">
        <f>ROUND(SUM(AA27:AA36),1)</f>
        <v>2595.1999999999998</v>
      </c>
      <c r="AB37" s="205"/>
      <c r="AC37" s="1957"/>
      <c r="AD37" s="2173">
        <f>ROUND(SUM(AD27:AD36),1)</f>
        <v>82.7</v>
      </c>
      <c r="AE37" s="71"/>
      <c r="AF37" s="72">
        <f>ROUND(+AD37/AA37,3)</f>
        <v>3.2000000000000001E-2</v>
      </c>
    </row>
    <row r="38" spans="1:32" ht="18" customHeight="1">
      <c r="A38" s="157" t="s">
        <v>37</v>
      </c>
      <c r="B38" s="189"/>
      <c r="C38" s="157"/>
      <c r="D38" s="1106"/>
      <c r="E38" s="171"/>
      <c r="F38" s="171"/>
      <c r="G38" s="171"/>
      <c r="H38" s="1106"/>
      <c r="I38" s="171"/>
      <c r="J38" s="171"/>
      <c r="K38" s="171"/>
      <c r="L38" s="1106"/>
      <c r="M38" s="171"/>
      <c r="N38" s="171"/>
      <c r="O38" s="172"/>
      <c r="P38" s="1905"/>
      <c r="Q38" s="173"/>
      <c r="R38" s="171"/>
      <c r="S38" s="171"/>
      <c r="T38" s="171"/>
      <c r="U38" s="196"/>
      <c r="V38" s="196"/>
      <c r="W38" s="1910"/>
      <c r="X38" s="196"/>
      <c r="Y38" s="196"/>
      <c r="Z38" s="196"/>
      <c r="AA38" s="196"/>
      <c r="AB38" s="165"/>
      <c r="AC38" s="1955"/>
      <c r="AD38" s="53"/>
      <c r="AE38" s="2"/>
      <c r="AF38" s="19"/>
    </row>
    <row r="39" spans="1:32" ht="18" customHeight="1">
      <c r="A39" s="157" t="s">
        <v>38</v>
      </c>
      <c r="B39" s="181"/>
      <c r="C39" s="157"/>
      <c r="D39" s="1106">
        <f>+'Exhibit A'!D36</f>
        <v>474.9</v>
      </c>
      <c r="E39" s="171"/>
      <c r="F39" s="188">
        <f>+'Exhibit A'!F36</f>
        <v>474.9</v>
      </c>
      <c r="G39" s="171"/>
      <c r="H39" s="1106">
        <f>+'Exhibit G state'!D102</f>
        <v>551.1</v>
      </c>
      <c r="I39" s="171"/>
      <c r="J39" s="188">
        <f>+'Exhibit G state'!AE102</f>
        <v>551.1</v>
      </c>
      <c r="K39" s="171"/>
      <c r="L39" s="1109">
        <f>+'Exhibit A'!L36</f>
        <v>0</v>
      </c>
      <c r="M39" s="174"/>
      <c r="N39" s="176">
        <f>+'Exhibit A'!N36</f>
        <v>0</v>
      </c>
      <c r="O39" s="179"/>
      <c r="P39" s="1906"/>
      <c r="Q39" s="180"/>
      <c r="R39" s="174">
        <f>ROUND(SUM(D39+H39+L39),1)</f>
        <v>1026</v>
      </c>
      <c r="S39" s="176"/>
      <c r="T39" s="171">
        <f>ROUND(SUM(F39+J39+N39),1)</f>
        <v>1026</v>
      </c>
      <c r="U39" s="196"/>
      <c r="V39" s="196"/>
      <c r="W39" s="2169"/>
      <c r="X39" s="1909"/>
      <c r="Y39" s="196">
        <v>1186.9000000000001</v>
      </c>
      <c r="Z39" s="196" t="s">
        <v>16</v>
      </c>
      <c r="AA39" s="196">
        <f>+'Exhibit F'!AF109+'Exhibit G state'!AH102</f>
        <v>1186.9000000000001</v>
      </c>
      <c r="AB39" s="165"/>
      <c r="AC39" s="1955"/>
      <c r="AD39" s="53">
        <f t="shared" ref="AD39:AD44" si="8">ROUND(SUM(T39-AA39),1)</f>
        <v>-160.9</v>
      </c>
      <c r="AE39" s="2"/>
      <c r="AF39" s="45">
        <f t="shared" ref="AF39:AF43" si="9">ROUND(+AD39/AA39,3)</f>
        <v>-0.13600000000000001</v>
      </c>
    </row>
    <row r="40" spans="1:32" ht="18" customHeight="1">
      <c r="A40" s="157" t="s">
        <v>39</v>
      </c>
      <c r="B40" s="189"/>
      <c r="C40" s="157"/>
      <c r="D40" s="1106">
        <f>+'Exhibit A'!D37</f>
        <v>102.9</v>
      </c>
      <c r="E40" s="171"/>
      <c r="F40" s="188">
        <f>+'Exhibit A'!F37</f>
        <v>102.9</v>
      </c>
      <c r="G40" s="171"/>
      <c r="H40" s="1106">
        <f>+'Exhibit G state'!D103</f>
        <v>214.5</v>
      </c>
      <c r="I40" s="171"/>
      <c r="J40" s="188">
        <f>+'Exhibit G state'!AE103</f>
        <v>214.5</v>
      </c>
      <c r="K40" s="171"/>
      <c r="L40" s="1109">
        <f>+'Exhibit A'!L37</f>
        <v>0.5</v>
      </c>
      <c r="M40" s="174"/>
      <c r="N40" s="176">
        <f>+'Exhibit A'!N37</f>
        <v>0.5</v>
      </c>
      <c r="O40" s="172"/>
      <c r="P40" s="1905"/>
      <c r="Q40" s="173"/>
      <c r="R40" s="174">
        <f>ROUND(SUM(D40+H40+L40),1)</f>
        <v>317.89999999999998</v>
      </c>
      <c r="S40" s="176"/>
      <c r="T40" s="171">
        <f>ROUND(SUM(F40+J40+N40),1)</f>
        <v>317.89999999999998</v>
      </c>
      <c r="U40" s="196"/>
      <c r="V40" s="196"/>
      <c r="W40" s="1910"/>
      <c r="X40" s="196"/>
      <c r="Y40" s="196">
        <v>291.89999999999998</v>
      </c>
      <c r="Z40" s="196" t="s">
        <v>16</v>
      </c>
      <c r="AA40" s="196">
        <f>+'Exhibit F'!AF110+'Exhibit G state'!AH103+'Exhibit H'!AD51</f>
        <v>291.89999999999998</v>
      </c>
      <c r="AB40" s="165"/>
      <c r="AC40" s="1955"/>
      <c r="AD40" s="53">
        <f t="shared" si="8"/>
        <v>26</v>
      </c>
      <c r="AE40" s="2"/>
      <c r="AF40" s="45">
        <f t="shared" si="9"/>
        <v>8.8999999999999996E-2</v>
      </c>
    </row>
    <row r="41" spans="1:32" ht="18" customHeight="1">
      <c r="A41" s="157" t="s">
        <v>40</v>
      </c>
      <c r="B41" s="166"/>
      <c r="C41" s="157"/>
      <c r="D41" s="1106">
        <f>+'Exhibit A'!D38</f>
        <v>2439.6999999999998</v>
      </c>
      <c r="E41" s="171"/>
      <c r="F41" s="188">
        <f>+'Exhibit A'!F38</f>
        <v>2439.6999999999998</v>
      </c>
      <c r="G41" s="171"/>
      <c r="H41" s="1106">
        <f>+'Exhibit G state'!D104</f>
        <v>179</v>
      </c>
      <c r="I41" s="171"/>
      <c r="J41" s="188">
        <f>+'Exhibit G state'!AE104</f>
        <v>179</v>
      </c>
      <c r="K41" s="171"/>
      <c r="L41" s="1109">
        <f>+'Exhibit A'!L38</f>
        <v>0</v>
      </c>
      <c r="M41" s="171"/>
      <c r="N41" s="176">
        <f>+'Exhibit A'!N38</f>
        <v>0</v>
      </c>
      <c r="O41" s="179"/>
      <c r="P41" s="1906"/>
      <c r="Q41" s="180"/>
      <c r="R41" s="174">
        <f>ROUND(SUM(D41+H41+L41),1)</f>
        <v>2618.6999999999998</v>
      </c>
      <c r="S41" s="176"/>
      <c r="T41" s="171">
        <f>ROUND(SUM(F41+J41+N41),1)</f>
        <v>2618.6999999999998</v>
      </c>
      <c r="U41" s="196"/>
      <c r="V41" s="196"/>
      <c r="W41" s="2169"/>
      <c r="X41" s="1909"/>
      <c r="Y41" s="196">
        <v>650.4</v>
      </c>
      <c r="Z41" s="196" t="s">
        <v>16</v>
      </c>
      <c r="AA41" s="196">
        <f>+'Exhibit F'!AF111+'Exhibit G state'!AH104</f>
        <v>650.4</v>
      </c>
      <c r="AB41" s="165"/>
      <c r="AC41" s="1955"/>
      <c r="AD41" s="53">
        <f t="shared" si="8"/>
        <v>1968.3</v>
      </c>
      <c r="AE41" s="2"/>
      <c r="AF41" s="45">
        <f t="shared" si="9"/>
        <v>3.0259999999999998</v>
      </c>
    </row>
    <row r="42" spans="1:32" ht="18" customHeight="1">
      <c r="A42" s="157" t="s">
        <v>41</v>
      </c>
      <c r="B42" s="157"/>
      <c r="C42" s="157"/>
      <c r="D42" s="1106"/>
      <c r="E42" s="171"/>
      <c r="F42" s="171"/>
      <c r="G42" s="171"/>
      <c r="H42" s="1106"/>
      <c r="I42" s="171"/>
      <c r="J42" s="171"/>
      <c r="K42" s="171"/>
      <c r="L42" s="1106"/>
      <c r="M42" s="171"/>
      <c r="N42" s="171"/>
      <c r="O42" s="172"/>
      <c r="P42" s="1905"/>
      <c r="Q42" s="173"/>
      <c r="R42" s="1118" t="s">
        <v>16</v>
      </c>
      <c r="S42" s="171"/>
      <c r="T42" s="1106" t="s">
        <v>16</v>
      </c>
      <c r="U42" s="196"/>
      <c r="V42" s="196"/>
      <c r="W42" s="1910"/>
      <c r="X42" s="196"/>
      <c r="Y42" s="1111"/>
      <c r="Z42" s="196"/>
      <c r="AA42" s="1111" t="s">
        <v>16</v>
      </c>
      <c r="AB42" s="165"/>
      <c r="AC42" s="1955"/>
      <c r="AD42" s="53"/>
      <c r="AE42" s="2"/>
      <c r="AF42" s="45"/>
    </row>
    <row r="43" spans="1:32" ht="18" customHeight="1">
      <c r="A43" s="157" t="s">
        <v>42</v>
      </c>
      <c r="B43" s="181"/>
      <c r="C43" s="157"/>
      <c r="D43" s="1109">
        <v>0</v>
      </c>
      <c r="E43" s="171"/>
      <c r="F43" s="176">
        <v>0</v>
      </c>
      <c r="G43" s="171"/>
      <c r="H43" s="1109">
        <v>0</v>
      </c>
      <c r="I43" s="171"/>
      <c r="J43" s="176">
        <v>0</v>
      </c>
      <c r="K43" s="171"/>
      <c r="L43" s="1109">
        <f>+'Exhibit A'!L40</f>
        <v>113.3</v>
      </c>
      <c r="M43" s="174"/>
      <c r="N43" s="176">
        <f>+'Exhibit A'!N40</f>
        <v>113.3</v>
      </c>
      <c r="O43" s="172"/>
      <c r="P43" s="1905"/>
      <c r="Q43" s="173"/>
      <c r="R43" s="174">
        <f>ROUND(SUM(D43+H43+L43),1)</f>
        <v>113.3</v>
      </c>
      <c r="S43" s="171"/>
      <c r="T43" s="171">
        <f>ROUND(SUM(F43+J43+N43),1)</f>
        <v>113.3</v>
      </c>
      <c r="U43" s="196"/>
      <c r="V43" s="196"/>
      <c r="W43" s="1910"/>
      <c r="X43" s="196"/>
      <c r="Y43" s="196">
        <v>165.9</v>
      </c>
      <c r="Z43" s="196" t="s">
        <v>16</v>
      </c>
      <c r="AA43" s="196">
        <f>+'Exhibit H'!AD53</f>
        <v>165.9</v>
      </c>
      <c r="AB43" s="165"/>
      <c r="AC43" s="1955"/>
      <c r="AD43" s="53">
        <f t="shared" si="8"/>
        <v>-52.6</v>
      </c>
      <c r="AE43" s="2"/>
      <c r="AF43" s="45">
        <f t="shared" si="9"/>
        <v>-0.317</v>
      </c>
    </row>
    <row r="44" spans="1:32" ht="18" customHeight="1">
      <c r="A44" s="157" t="s">
        <v>43</v>
      </c>
      <c r="B44" s="181" t="s">
        <v>1083</v>
      </c>
      <c r="C44" s="157"/>
      <c r="D44" s="1117">
        <v>0</v>
      </c>
      <c r="E44" s="174"/>
      <c r="F44" s="179">
        <v>0</v>
      </c>
      <c r="G44" s="171"/>
      <c r="H44" s="1106">
        <f>+'Exhibit G state'!D105</f>
        <v>0.1</v>
      </c>
      <c r="I44" s="171"/>
      <c r="J44" s="188">
        <f>+'Exhibit G state'!AE105</f>
        <v>0.1</v>
      </c>
      <c r="K44" s="171"/>
      <c r="L44" s="1109">
        <f>+'Exhibit A'!L41</f>
        <v>0</v>
      </c>
      <c r="M44" s="176"/>
      <c r="N44" s="176">
        <f>+'Exhibit A'!N41</f>
        <v>0</v>
      </c>
      <c r="O44" s="179"/>
      <c r="P44" s="1906"/>
      <c r="Q44" s="180"/>
      <c r="R44" s="171">
        <f>ROUND(SUM(D44+H44+L44),1)</f>
        <v>0.1</v>
      </c>
      <c r="S44" s="179"/>
      <c r="T44" s="171">
        <f>ROUND(SUM(F44+J44+N44),1)</f>
        <v>0.1</v>
      </c>
      <c r="U44" s="196"/>
      <c r="V44" s="196"/>
      <c r="W44" s="2169"/>
      <c r="X44" s="2170"/>
      <c r="Y44" s="1111">
        <v>0</v>
      </c>
      <c r="Z44" s="196" t="s">
        <v>16</v>
      </c>
      <c r="AA44" s="196">
        <f>'Exhibit G state'!AH105</f>
        <v>0</v>
      </c>
      <c r="AB44" s="165"/>
      <c r="AC44" s="1955"/>
      <c r="AD44" s="53">
        <f t="shared" si="8"/>
        <v>0.1</v>
      </c>
      <c r="AE44" s="2"/>
      <c r="AF44" s="45">
        <f>ROUND(IF(AA44=0,1,AD44/ABS(AA44)),3)</f>
        <v>1</v>
      </c>
    </row>
    <row r="45" spans="1:32" ht="18" customHeight="1">
      <c r="A45" s="156" t="s">
        <v>60</v>
      </c>
      <c r="B45" s="157"/>
      <c r="C45" s="157"/>
      <c r="D45" s="183">
        <f>ROUND(SUM(+D39+D40+D41+D37),1)</f>
        <v>4994.8999999999996</v>
      </c>
      <c r="E45" s="184"/>
      <c r="F45" s="183">
        <f>ROUND(SUM(+F39+F40+F41+F37),1)</f>
        <v>4994.8999999999996</v>
      </c>
      <c r="G45" s="184"/>
      <c r="H45" s="183">
        <f>ROUND(SUM(H37:H44),1)</f>
        <v>1645.2</v>
      </c>
      <c r="I45" s="184"/>
      <c r="J45" s="183">
        <f>ROUND(SUM(J37:J44),1)</f>
        <v>1645.2</v>
      </c>
      <c r="K45" s="184"/>
      <c r="L45" s="183">
        <f>ROUND(SUM(L37:L44),1)</f>
        <v>113.8</v>
      </c>
      <c r="M45" s="184"/>
      <c r="N45" s="183">
        <f>ROUND(SUM(N37:N44),1)</f>
        <v>113.8</v>
      </c>
      <c r="O45" s="186"/>
      <c r="P45" s="202"/>
      <c r="Q45" s="187"/>
      <c r="R45" s="183">
        <f>ROUND(SUM(R37:R44),1)</f>
        <v>6753.9</v>
      </c>
      <c r="S45" s="186"/>
      <c r="T45" s="183">
        <f>ROUND(SUM(T37:T44),1)</f>
        <v>6753.9</v>
      </c>
      <c r="U45" s="204"/>
      <c r="V45" s="204"/>
      <c r="W45" s="2171"/>
      <c r="X45" s="204"/>
      <c r="Y45" s="2172">
        <f>ROUND(SUM(Y37:Y44),1)</f>
        <v>4890.3</v>
      </c>
      <c r="Z45" s="200"/>
      <c r="AA45" s="2172">
        <f>ROUND(SUM(AA37:AA44),1)</f>
        <v>4890.3</v>
      </c>
      <c r="AB45" s="205"/>
      <c r="AC45" s="1957"/>
      <c r="AD45" s="3142">
        <f>ROUND(SUM(AD37:AD44),1)</f>
        <v>1863.6</v>
      </c>
      <c r="AE45" s="71"/>
      <c r="AF45" s="2745">
        <f>ROUND(+AD45/AA45,3)</f>
        <v>0.38100000000000001</v>
      </c>
    </row>
    <row r="46" spans="1:32" ht="15.9" customHeight="1">
      <c r="A46" s="156"/>
      <c r="B46" s="157"/>
      <c r="C46" s="157"/>
      <c r="D46" s="1107"/>
      <c r="E46" s="171"/>
      <c r="F46" s="172"/>
      <c r="G46" s="171"/>
      <c r="H46" s="1107"/>
      <c r="I46" s="171"/>
      <c r="J46" s="172"/>
      <c r="K46" s="171"/>
      <c r="L46" s="1107"/>
      <c r="M46" s="171"/>
      <c r="N46" s="172"/>
      <c r="O46" s="172"/>
      <c r="P46" s="1905"/>
      <c r="Q46" s="173"/>
      <c r="R46" s="172"/>
      <c r="S46" s="172"/>
      <c r="T46" s="172"/>
      <c r="U46" s="197"/>
      <c r="V46" s="197"/>
      <c r="W46" s="1910"/>
      <c r="X46" s="197"/>
      <c r="Y46" s="197"/>
      <c r="Z46" s="196"/>
      <c r="AA46" s="197"/>
      <c r="AB46" s="165"/>
      <c r="AC46" s="1955"/>
      <c r="AD46" s="54"/>
      <c r="AE46" s="2"/>
      <c r="AF46" s="19"/>
    </row>
    <row r="47" spans="1:32" ht="15.9" customHeight="1">
      <c r="A47" s="156" t="s">
        <v>45</v>
      </c>
      <c r="B47" s="156"/>
      <c r="C47" s="157"/>
      <c r="D47" s="1106"/>
      <c r="E47" s="171"/>
      <c r="F47" s="171"/>
      <c r="G47" s="171"/>
      <c r="H47" s="1106"/>
      <c r="I47" s="171"/>
      <c r="J47" s="171"/>
      <c r="K47" s="171"/>
      <c r="L47" s="1106"/>
      <c r="M47" s="171"/>
      <c r="N47" s="171"/>
      <c r="O47" s="172"/>
      <c r="P47" s="1905"/>
      <c r="Q47" s="173"/>
      <c r="R47" s="171"/>
      <c r="S47" s="171"/>
      <c r="T47" s="171"/>
      <c r="U47" s="196"/>
      <c r="V47" s="196"/>
      <c r="W47" s="1910"/>
      <c r="X47" s="196"/>
      <c r="Y47" s="196"/>
      <c r="Z47" s="196"/>
      <c r="AA47" s="196"/>
      <c r="AB47" s="165"/>
      <c r="AC47" s="1955"/>
      <c r="AD47" s="53"/>
      <c r="AE47" s="2"/>
      <c r="AF47" s="19"/>
    </row>
    <row r="48" spans="1:32" ht="15.9" customHeight="1">
      <c r="A48" s="156" t="s">
        <v>46</v>
      </c>
      <c r="B48" s="156"/>
      <c r="C48" s="157"/>
      <c r="D48" s="195">
        <f>ROUND(SUM(D23-D45),1)</f>
        <v>640.5</v>
      </c>
      <c r="E48" s="184"/>
      <c r="F48" s="195">
        <f>ROUND(SUM(F23-F45),1)</f>
        <v>640.5</v>
      </c>
      <c r="G48" s="184"/>
      <c r="H48" s="195">
        <f>ROUND(SUM(H23-H45),1)</f>
        <v>24.5</v>
      </c>
      <c r="I48" s="184"/>
      <c r="J48" s="195">
        <f>ROUND(SUM(J23-J45),1)</f>
        <v>24.5</v>
      </c>
      <c r="K48" s="184"/>
      <c r="L48" s="195">
        <f>ROUND(SUM(L23-L45),1)</f>
        <v>2081.4</v>
      </c>
      <c r="M48" s="184" t="s">
        <v>16</v>
      </c>
      <c r="N48" s="195">
        <f>ROUND(SUM(N23-N45),1)</f>
        <v>2081.4</v>
      </c>
      <c r="O48" s="186"/>
      <c r="P48" s="202"/>
      <c r="Q48" s="187"/>
      <c r="R48" s="195">
        <f>ROUND(SUM(+R23-R45),1)</f>
        <v>2746.4</v>
      </c>
      <c r="S48" s="186"/>
      <c r="T48" s="195">
        <f>ROUND(SUM(+T23-T45),1)</f>
        <v>2746.4</v>
      </c>
      <c r="U48" s="204"/>
      <c r="V48" s="204"/>
      <c r="W48" s="2171"/>
      <c r="X48" s="204"/>
      <c r="Y48" s="2067">
        <f>ROUND(SUM(Y23-Y45),1)</f>
        <v>4259.7</v>
      </c>
      <c r="Z48" s="200" t="s">
        <v>16</v>
      </c>
      <c r="AA48" s="2067">
        <f>ROUND(SUM(AA23-AA45),1)</f>
        <v>4259.7</v>
      </c>
      <c r="AB48" s="205"/>
      <c r="AC48" s="1957"/>
      <c r="AD48" s="2067">
        <f>ROUND(SUM(AD23-AD45),1)</f>
        <v>-1513.3</v>
      </c>
      <c r="AE48" s="94"/>
      <c r="AF48" s="2766">
        <f>ROUND(+AD48/AA48,3)</f>
        <v>-0.35499999999999998</v>
      </c>
    </row>
    <row r="49" spans="1:32" ht="15.9" customHeight="1">
      <c r="A49" s="157"/>
      <c r="B49" s="157"/>
      <c r="C49" s="157"/>
      <c r="D49" s="1107"/>
      <c r="E49" s="171"/>
      <c r="F49" s="172"/>
      <c r="G49" s="171"/>
      <c r="H49" s="1107"/>
      <c r="I49" s="171"/>
      <c r="J49" s="172"/>
      <c r="K49" s="171"/>
      <c r="L49" s="1107"/>
      <c r="M49" s="171"/>
      <c r="N49" s="172"/>
      <c r="O49" s="172"/>
      <c r="P49" s="1905"/>
      <c r="Q49" s="173"/>
      <c r="R49" s="172"/>
      <c r="S49" s="172"/>
      <c r="T49" s="172"/>
      <c r="U49" s="197"/>
      <c r="V49" s="197"/>
      <c r="W49" s="1910"/>
      <c r="X49" s="197"/>
      <c r="Y49" s="197"/>
      <c r="Z49" s="196"/>
      <c r="AA49" s="197"/>
      <c r="AB49" s="165"/>
      <c r="AC49" s="1955"/>
      <c r="AD49" s="54"/>
      <c r="AE49" s="2"/>
      <c r="AF49" s="19"/>
    </row>
    <row r="50" spans="1:32" ht="15.9" customHeight="1">
      <c r="A50" s="156" t="s">
        <v>47</v>
      </c>
      <c r="B50" s="156"/>
      <c r="C50" s="157"/>
      <c r="D50" s="1106"/>
      <c r="E50" s="171"/>
      <c r="F50" s="171"/>
      <c r="G50" s="171"/>
      <c r="H50" s="1106"/>
      <c r="I50" s="171"/>
      <c r="J50" s="171"/>
      <c r="K50" s="171"/>
      <c r="L50" s="1106"/>
      <c r="M50" s="171"/>
      <c r="N50" s="171"/>
      <c r="O50" s="172"/>
      <c r="P50" s="1905"/>
      <c r="Q50" s="173"/>
      <c r="R50" s="171"/>
      <c r="S50" s="171"/>
      <c r="T50" s="171"/>
      <c r="U50" s="196"/>
      <c r="V50" s="196"/>
      <c r="W50" s="1910"/>
      <c r="X50" s="196"/>
      <c r="Y50" s="196"/>
      <c r="Z50" s="196"/>
      <c r="AA50" s="196"/>
      <c r="AB50" s="165"/>
      <c r="AC50" s="1955"/>
      <c r="AD50" s="53"/>
      <c r="AE50" s="2"/>
      <c r="AF50" s="19"/>
    </row>
    <row r="51" spans="1:32" ht="18" customHeight="1">
      <c r="A51" s="177" t="s">
        <v>49</v>
      </c>
      <c r="B51" s="3036" t="s">
        <v>1503</v>
      </c>
      <c r="C51" s="177"/>
      <c r="D51" s="1111">
        <f>+'Exhibit A'!D49</f>
        <v>2116.1</v>
      </c>
      <c r="E51" s="171"/>
      <c r="F51" s="171">
        <f>+'Exhibit A'!F49</f>
        <v>2116.1</v>
      </c>
      <c r="G51" s="196"/>
      <c r="H51" s="1111">
        <f>+'Exhibit G state'!D113</f>
        <v>560</v>
      </c>
      <c r="I51" s="196"/>
      <c r="J51" s="171">
        <f>+'Exhibit G state'!AE113-'Exhibit G state'!AB113</f>
        <v>560</v>
      </c>
      <c r="K51" s="197"/>
      <c r="L51" s="1110">
        <f>+'Exhibit A'!L49</f>
        <v>357.9</v>
      </c>
      <c r="M51" s="197"/>
      <c r="N51" s="179">
        <f>+'Exhibit A'!N49</f>
        <v>357.9</v>
      </c>
      <c r="O51" s="172"/>
      <c r="P51" s="1905"/>
      <c r="Q51" s="173"/>
      <c r="R51" s="176">
        <f>ROUND(SUM(L51+H51+D51),1)</f>
        <v>3034</v>
      </c>
      <c r="S51" s="171"/>
      <c r="T51" s="176">
        <f>ROUND(SUM(F51+J51+N51),1)</f>
        <v>3034</v>
      </c>
      <c r="U51" s="196"/>
      <c r="V51" s="196"/>
      <c r="W51" s="1910"/>
      <c r="X51" s="196"/>
      <c r="Y51" s="1111">
        <v>4552</v>
      </c>
      <c r="Z51" s="196" t="s">
        <v>16</v>
      </c>
      <c r="AA51" s="196">
        <v>4552</v>
      </c>
      <c r="AB51" s="165"/>
      <c r="AC51" s="1955"/>
      <c r="AD51" s="53">
        <f>ROUND(SUM(T51-AA51),1)</f>
        <v>-1518</v>
      </c>
      <c r="AE51" s="99"/>
      <c r="AF51" s="45">
        <f>ROUND(SUM(+AD51/AA51),3)</f>
        <v>-0.33300000000000002</v>
      </c>
    </row>
    <row r="52" spans="1:32" ht="18" customHeight="1">
      <c r="A52" s="177" t="s">
        <v>50</v>
      </c>
      <c r="B52" s="3036" t="s">
        <v>1503</v>
      </c>
      <c r="C52" s="177"/>
      <c r="D52" s="1111">
        <f>+'Exhibit A'!D50</f>
        <v>-798</v>
      </c>
      <c r="E52" s="196"/>
      <c r="F52" s="171">
        <f>+'Exhibit A'!F50</f>
        <v>-798</v>
      </c>
      <c r="G52" s="196"/>
      <c r="H52" s="1111">
        <f>+'Exhibit G state'!D114</f>
        <v>-4.4000000000000004</v>
      </c>
      <c r="I52" s="196"/>
      <c r="J52" s="174">
        <f>'Exhibit G state'!AE114</f>
        <v>-4.4000000000000004</v>
      </c>
      <c r="K52" s="196"/>
      <c r="L52" s="1110">
        <f>+'Exhibit A'!L50</f>
        <v>-2274.1</v>
      </c>
      <c r="M52" s="197"/>
      <c r="N52" s="179">
        <f>+'Exhibit A'!N50</f>
        <v>-2274.1</v>
      </c>
      <c r="O52" s="197"/>
      <c r="P52" s="1905"/>
      <c r="Q52" s="198"/>
      <c r="R52" s="174">
        <f>ROUND(SUM(D52+H52+L52),1)</f>
        <v>-3076.5</v>
      </c>
      <c r="S52" s="197"/>
      <c r="T52" s="171">
        <f>ROUND(SUM(F52+J52+N52),1)</f>
        <v>-3076.5</v>
      </c>
      <c r="U52" s="196"/>
      <c r="V52" s="196"/>
      <c r="W52" s="1910"/>
      <c r="X52" s="197"/>
      <c r="Y52" s="196">
        <v>-4396.1000000000004</v>
      </c>
      <c r="Z52" s="196" t="s">
        <v>16</v>
      </c>
      <c r="AA52" s="196">
        <v>-4396.1000000000004</v>
      </c>
      <c r="AB52" s="165"/>
      <c r="AC52" s="1955"/>
      <c r="AD52" s="101">
        <f>-ROUND(SUM(T52-AA52),1)</f>
        <v>-1319.6</v>
      </c>
      <c r="AE52" s="2"/>
      <c r="AF52" s="105">
        <f>ROUND(SUM(-AD52/AA52),3)</f>
        <v>-0.3</v>
      </c>
    </row>
    <row r="53" spans="1:32" ht="18" customHeight="1">
      <c r="A53" s="156" t="s">
        <v>51</v>
      </c>
      <c r="B53" s="156"/>
      <c r="C53" s="157"/>
      <c r="D53" s="183">
        <f>ROUND(SUM(D51:D52),1)</f>
        <v>1318.1</v>
      </c>
      <c r="E53" s="184"/>
      <c r="F53" s="183">
        <f>ROUND(SUM(F51:F52),1)</f>
        <v>1318.1</v>
      </c>
      <c r="G53" s="184"/>
      <c r="H53" s="183">
        <f>ROUND(SUM(H51:H52),1)</f>
        <v>555.6</v>
      </c>
      <c r="I53" s="184"/>
      <c r="J53" s="183">
        <f>ROUND(SUM(J51:J52),1)</f>
        <v>555.6</v>
      </c>
      <c r="K53" s="184"/>
      <c r="L53" s="183">
        <f>ROUND(SUM(L51:L52),1)</f>
        <v>-1916.2</v>
      </c>
      <c r="M53" s="184"/>
      <c r="N53" s="183">
        <f>ROUND(SUM(N51:N52),1)</f>
        <v>-1916.2</v>
      </c>
      <c r="O53" s="186"/>
      <c r="P53" s="202"/>
      <c r="Q53" s="187"/>
      <c r="R53" s="183">
        <f>ROUND(SUM(R51:R52),1)</f>
        <v>-42.5</v>
      </c>
      <c r="S53" s="186"/>
      <c r="T53" s="183">
        <f>ROUND(SUM(T51:T52),1)</f>
        <v>-42.5</v>
      </c>
      <c r="U53" s="204"/>
      <c r="V53" s="204"/>
      <c r="W53" s="2171"/>
      <c r="X53" s="204"/>
      <c r="Y53" s="2177">
        <f>ROUND(SUM(+Y51+Y52),1)</f>
        <v>155.9</v>
      </c>
      <c r="Z53" s="200"/>
      <c r="AA53" s="2177">
        <f>ROUND(SUM(+AA51+AA52),1)</f>
        <v>155.9</v>
      </c>
      <c r="AB53" s="205"/>
      <c r="AC53" s="1957"/>
      <c r="AD53" s="2177">
        <f>ROUND(SUM(+AD51-AD52),1)</f>
        <v>-198.4</v>
      </c>
      <c r="AE53" s="71"/>
      <c r="AF53" s="108">
        <f>-ROUND(SUM(-AD53/AA53),3)</f>
        <v>-1.2729999999999999</v>
      </c>
    </row>
    <row r="54" spans="1:32" ht="15.9" customHeight="1">
      <c r="A54" s="157"/>
      <c r="B54" s="157"/>
      <c r="C54" s="157"/>
      <c r="D54" s="1107"/>
      <c r="E54" s="171"/>
      <c r="F54" s="172"/>
      <c r="G54" s="171"/>
      <c r="H54" s="1107"/>
      <c r="I54" s="171"/>
      <c r="J54" s="172"/>
      <c r="K54" s="171"/>
      <c r="L54" s="1107"/>
      <c r="M54" s="171"/>
      <c r="N54" s="172"/>
      <c r="O54" s="172"/>
      <c r="P54" s="1905"/>
      <c r="Q54" s="173"/>
      <c r="R54" s="172"/>
      <c r="S54" s="172"/>
      <c r="T54" s="172"/>
      <c r="U54" s="197"/>
      <c r="V54" s="197"/>
      <c r="W54" s="1910"/>
      <c r="X54" s="197"/>
      <c r="Y54" s="197"/>
      <c r="Z54" s="196"/>
      <c r="AA54" s="197"/>
      <c r="AB54" s="165"/>
      <c r="AC54" s="1955"/>
      <c r="AD54" s="54"/>
      <c r="AE54" s="2"/>
      <c r="AF54" s="19"/>
    </row>
    <row r="55" spans="1:32" ht="18" customHeight="1">
      <c r="A55" s="155" t="s">
        <v>45</v>
      </c>
      <c r="B55" s="156"/>
      <c r="C55" s="157"/>
      <c r="D55" s="1106"/>
      <c r="E55" s="171"/>
      <c r="F55" s="171"/>
      <c r="G55" s="171"/>
      <c r="H55" s="1106"/>
      <c r="I55" s="171"/>
      <c r="J55" s="171"/>
      <c r="K55" s="171"/>
      <c r="L55" s="1106"/>
      <c r="M55" s="171"/>
      <c r="N55" s="171"/>
      <c r="O55" s="172"/>
      <c r="P55" s="1905"/>
      <c r="Q55" s="173"/>
      <c r="R55" s="171"/>
      <c r="S55" s="171"/>
      <c r="T55" s="171"/>
      <c r="U55" s="196"/>
      <c r="V55" s="196"/>
      <c r="W55" s="1910"/>
      <c r="X55" s="196"/>
      <c r="Y55" s="196"/>
      <c r="Z55" s="196"/>
      <c r="AA55" s="196"/>
      <c r="AB55" s="165"/>
      <c r="AC55" s="1955"/>
      <c r="AD55" s="53"/>
      <c r="AE55" s="2"/>
      <c r="AF55" s="109"/>
    </row>
    <row r="56" spans="1:32" ht="18" customHeight="1">
      <c r="A56" s="155" t="s">
        <v>61</v>
      </c>
      <c r="B56" s="155"/>
      <c r="C56" s="177"/>
      <c r="D56" s="1111"/>
      <c r="E56" s="171"/>
      <c r="F56" s="171"/>
      <c r="G56" s="171"/>
      <c r="H56" s="1106"/>
      <c r="I56" s="171"/>
      <c r="J56" s="171"/>
      <c r="K56" s="171"/>
      <c r="L56" s="1106"/>
      <c r="M56" s="171"/>
      <c r="N56" s="171"/>
      <c r="O56" s="172"/>
      <c r="P56" s="1905"/>
      <c r="Q56" s="173"/>
      <c r="R56" s="171"/>
      <c r="S56" s="171"/>
      <c r="T56" s="171"/>
      <c r="U56" s="196"/>
      <c r="V56" s="196"/>
      <c r="W56" s="1910"/>
      <c r="X56" s="196"/>
      <c r="Y56" s="196" t="s">
        <v>16</v>
      </c>
      <c r="Z56" s="196"/>
      <c r="AA56" s="196"/>
      <c r="AB56" s="165"/>
      <c r="AC56" s="1955"/>
      <c r="AD56" s="53"/>
      <c r="AE56" s="2"/>
      <c r="AF56" s="19"/>
    </row>
    <row r="57" spans="1:32" ht="18" customHeight="1">
      <c r="A57" s="155" t="s">
        <v>62</v>
      </c>
      <c r="B57" s="155"/>
      <c r="C57" s="177"/>
      <c r="D57" s="200">
        <f>ROUND(SUM(D48+D53),1)</f>
        <v>1958.6</v>
      </c>
      <c r="E57" s="200"/>
      <c r="F57" s="200">
        <f>ROUND(SUM(F48)+SUM(F53),1)</f>
        <v>1958.6</v>
      </c>
      <c r="G57" s="200"/>
      <c r="H57" s="200">
        <f>ROUND(SUM(H48+H53),1)</f>
        <v>580.1</v>
      </c>
      <c r="I57" s="200"/>
      <c r="J57" s="200">
        <f>ROUND(SUM(J48)+SUM(J53),1)</f>
        <v>580.1</v>
      </c>
      <c r="K57" s="200"/>
      <c r="L57" s="200">
        <f>ROUND(SUM(L48+L53),1)</f>
        <v>165.2</v>
      </c>
      <c r="M57" s="201"/>
      <c r="N57" s="201">
        <f>ROUND(SUM(N48+N53),1)</f>
        <v>165.2</v>
      </c>
      <c r="O57" s="202"/>
      <c r="P57" s="202"/>
      <c r="Q57" s="203"/>
      <c r="R57" s="201">
        <f>ROUND(SUM(+R48+R53),1)</f>
        <v>2703.9</v>
      </c>
      <c r="S57" s="201"/>
      <c r="T57" s="201">
        <f>ROUND(SUM(T48+T53),1)</f>
        <v>2703.9</v>
      </c>
      <c r="U57" s="201"/>
      <c r="V57" s="201"/>
      <c r="W57" s="1911"/>
      <c r="X57" s="201"/>
      <c r="Y57" s="200">
        <f>ROUND(SUM(Y48)+SUM(Y53),1)</f>
        <v>4415.6000000000004</v>
      </c>
      <c r="Z57" s="200"/>
      <c r="AA57" s="200">
        <f>ROUND(SUM(AA48)+SUM(AA53),1)</f>
        <v>4415.6000000000004</v>
      </c>
      <c r="AB57" s="205"/>
      <c r="AC57" s="1957"/>
      <c r="AD57" s="2798">
        <f>ROUND(SUM(+AD48+AD53),1)</f>
        <v>-1711.7</v>
      </c>
      <c r="AE57" s="71"/>
      <c r="AF57" s="2831">
        <f>ROUND(SUM(AD57/AA57),3)</f>
        <v>-0.38800000000000001</v>
      </c>
    </row>
    <row r="58" spans="1:32" ht="15.9" customHeight="1">
      <c r="A58" s="156"/>
      <c r="B58" s="156"/>
      <c r="C58" s="157"/>
      <c r="D58" s="1106"/>
      <c r="E58" s="171"/>
      <c r="F58" s="172"/>
      <c r="G58" s="171"/>
      <c r="H58" s="1106"/>
      <c r="I58" s="171"/>
      <c r="J58" s="171"/>
      <c r="K58" s="171"/>
      <c r="L58" s="1111"/>
      <c r="M58" s="196"/>
      <c r="N58" s="196"/>
      <c r="O58" s="197"/>
      <c r="P58" s="1905"/>
      <c r="Q58" s="198"/>
      <c r="R58" s="196"/>
      <c r="S58" s="196"/>
      <c r="T58" s="196"/>
      <c r="U58" s="196"/>
      <c r="V58" s="196"/>
      <c r="W58" s="1910"/>
      <c r="X58" s="196"/>
      <c r="Y58" s="196"/>
      <c r="Z58" s="196"/>
      <c r="AA58" s="196"/>
      <c r="AB58" s="165"/>
      <c r="AC58" s="1955"/>
      <c r="AD58" s="53"/>
      <c r="AE58" s="2"/>
      <c r="AF58" s="19"/>
    </row>
    <row r="59" spans="1:32" ht="18" customHeight="1">
      <c r="A59" s="206" t="s">
        <v>54</v>
      </c>
      <c r="B59" s="182"/>
      <c r="C59" s="157"/>
      <c r="D59" s="195">
        <f>+'Exhibit A'!D57</f>
        <v>8934.1</v>
      </c>
      <c r="E59" s="184"/>
      <c r="F59" s="195">
        <f>+'Exhibit A'!F57</f>
        <v>8934.1</v>
      </c>
      <c r="G59" s="184"/>
      <c r="H59" s="195">
        <v>3547.4</v>
      </c>
      <c r="I59" s="184"/>
      <c r="J59" s="195">
        <v>3547.4</v>
      </c>
      <c r="K59" s="184"/>
      <c r="L59" s="195">
        <f>+'Exhibit A'!L57</f>
        <v>159.69999999999999</v>
      </c>
      <c r="M59" s="184"/>
      <c r="N59" s="195">
        <f>+'Exhibit A'!N57</f>
        <v>159.69999999999999</v>
      </c>
      <c r="O59" s="186"/>
      <c r="P59" s="202"/>
      <c r="Q59" s="187"/>
      <c r="R59" s="195">
        <f>ROUND(SUM(D59+H59+L59),1)</f>
        <v>12641.2</v>
      </c>
      <c r="S59" s="186"/>
      <c r="T59" s="195">
        <f>ROUND(SUM(F59+J59+N59),1)</f>
        <v>12641.2</v>
      </c>
      <c r="U59" s="204"/>
      <c r="V59" s="204"/>
      <c r="W59" s="2171"/>
      <c r="X59" s="204"/>
      <c r="Y59" s="2067">
        <v>9890.7999999999993</v>
      </c>
      <c r="Z59" s="200" t="s">
        <v>16</v>
      </c>
      <c r="AA59" s="2067">
        <v>9890.7999999999993</v>
      </c>
      <c r="AB59" s="205"/>
      <c r="AC59" s="1957"/>
      <c r="AD59" s="93">
        <f>ROUND(SUM(T59-AA59),1)</f>
        <v>2750.4</v>
      </c>
      <c r="AE59" s="71"/>
      <c r="AF59" s="95">
        <f>ROUND(+AD59/AA59,3)</f>
        <v>0.27800000000000002</v>
      </c>
    </row>
    <row r="60" spans="1:32" ht="15.9" customHeight="1">
      <c r="A60" s="177"/>
      <c r="B60" s="157"/>
      <c r="C60" s="157"/>
      <c r="D60" s="1112"/>
      <c r="E60" s="157"/>
      <c r="F60" s="158"/>
      <c r="G60" s="157"/>
      <c r="H60" s="1104"/>
      <c r="I60" s="157"/>
      <c r="J60" s="158"/>
      <c r="K60" s="157"/>
      <c r="L60" s="1112"/>
      <c r="M60" s="157"/>
      <c r="N60" s="158"/>
      <c r="O60" s="158"/>
      <c r="P60" s="1903"/>
      <c r="Q60" s="164"/>
      <c r="R60" s="158"/>
      <c r="S60" s="158"/>
      <c r="T60" s="158"/>
      <c r="U60" s="165"/>
      <c r="V60" s="165"/>
      <c r="W60" s="2166"/>
      <c r="X60" s="165"/>
      <c r="Y60" s="165"/>
      <c r="Z60" s="177"/>
      <c r="AA60" s="165"/>
      <c r="AB60" s="165"/>
      <c r="AC60" s="1955"/>
      <c r="AD60" s="54"/>
      <c r="AE60" s="2"/>
      <c r="AF60" s="19"/>
    </row>
    <row r="61" spans="1:32" ht="18" customHeight="1" thickBot="1">
      <c r="A61" s="207" t="s">
        <v>63</v>
      </c>
      <c r="B61" s="208" t="s">
        <v>16</v>
      </c>
      <c r="C61" s="157"/>
      <c r="D61" s="209">
        <f>ROUND(SUM(D57+D59),1)</f>
        <v>10892.7</v>
      </c>
      <c r="E61" s="210"/>
      <c r="F61" s="209">
        <f>ROUND(SUM(F57+F59),1)</f>
        <v>10892.7</v>
      </c>
      <c r="G61" s="210"/>
      <c r="H61" s="209">
        <f>ROUND(SUM(H57+H59),1)</f>
        <v>4127.5</v>
      </c>
      <c r="I61" s="210"/>
      <c r="J61" s="209">
        <f>ROUND(SUM(J57)+SUM(J59),1)</f>
        <v>4127.5</v>
      </c>
      <c r="K61" s="210"/>
      <c r="L61" s="209">
        <f>ROUND(SUM(L57+L59),1)</f>
        <v>324.89999999999998</v>
      </c>
      <c r="M61" s="212"/>
      <c r="N61" s="211">
        <f>ROUND(SUM(N57+N59),1)</f>
        <v>324.89999999999998</v>
      </c>
      <c r="O61" s="213"/>
      <c r="P61" s="213"/>
      <c r="Q61" s="2324"/>
      <c r="R61" s="211">
        <f>ROUND(SUM(R57+R59),1)</f>
        <v>15345.1</v>
      </c>
      <c r="S61" s="213"/>
      <c r="T61" s="211">
        <f>ROUND(SUM(T57+T59),1)</f>
        <v>15345.1</v>
      </c>
      <c r="U61" s="213"/>
      <c r="V61" s="213"/>
      <c r="W61" s="1912"/>
      <c r="X61" s="213"/>
      <c r="Y61" s="209">
        <f>ROUND(SUM(Y57+Y59),1)</f>
        <v>14306.4</v>
      </c>
      <c r="Z61" s="210"/>
      <c r="AA61" s="209">
        <f>ROUND(SUM(AA57+AA59),1)</f>
        <v>14306.4</v>
      </c>
      <c r="AB61" s="214"/>
      <c r="AC61" s="1958"/>
      <c r="AD61" s="119">
        <f>ROUND(SUM(AD57+AD59),1)</f>
        <v>1038.7</v>
      </c>
      <c r="AE61" s="71"/>
      <c r="AF61" s="127">
        <f>ROUND(+AD61/AA61,3)</f>
        <v>7.2999999999999995E-2</v>
      </c>
    </row>
    <row r="62" spans="1:32" ht="15.6" thickTop="1">
      <c r="A62" s="215"/>
      <c r="B62" s="215"/>
      <c r="C62" s="215"/>
      <c r="D62" s="216"/>
      <c r="E62" s="216"/>
      <c r="F62" s="216"/>
      <c r="G62" s="216"/>
      <c r="H62" s="1179"/>
      <c r="I62" s="216"/>
      <c r="J62" s="216"/>
      <c r="K62" s="216"/>
      <c r="L62" s="216"/>
      <c r="M62" s="216"/>
      <c r="N62" s="216"/>
      <c r="O62" s="216"/>
      <c r="P62" s="2325"/>
      <c r="Q62" s="216"/>
      <c r="R62" s="216"/>
      <c r="S62" s="216"/>
      <c r="T62" s="216"/>
      <c r="U62" s="1954"/>
      <c r="V62" s="1954"/>
      <c r="W62" s="1954"/>
      <c r="X62" s="1954"/>
      <c r="Y62" s="1954"/>
      <c r="Z62" s="1954"/>
      <c r="AA62" s="1954"/>
      <c r="AB62" s="1954"/>
      <c r="AC62" s="1954"/>
      <c r="AD62" s="133"/>
      <c r="AE62" s="2"/>
      <c r="AF62" s="134"/>
    </row>
    <row r="63" spans="1:32">
      <c r="A63" s="154"/>
      <c r="B63" s="154"/>
      <c r="C63" s="154"/>
      <c r="D63" s="154"/>
      <c r="E63" s="154"/>
      <c r="F63" s="154"/>
      <c r="G63" s="154"/>
      <c r="H63" s="1180"/>
      <c r="I63" s="154"/>
      <c r="J63" s="154"/>
      <c r="K63" s="154"/>
      <c r="L63" s="154"/>
      <c r="M63" s="154"/>
      <c r="N63" s="154"/>
      <c r="O63" s="154"/>
      <c r="P63" s="154"/>
      <c r="Q63" s="154"/>
      <c r="R63" s="154"/>
      <c r="S63" s="154"/>
      <c r="T63" s="154"/>
      <c r="U63" s="1898"/>
      <c r="V63" s="1898"/>
      <c r="W63" s="1898"/>
      <c r="X63" s="1898"/>
      <c r="Y63" s="1898"/>
      <c r="Z63" s="1898"/>
      <c r="AA63" s="1898"/>
      <c r="AB63" s="1898"/>
    </row>
    <row r="64" spans="1:32" ht="18" customHeight="1">
      <c r="A64" s="1113" t="s">
        <v>1372</v>
      </c>
      <c r="B64" s="154"/>
      <c r="C64" s="154"/>
      <c r="D64" s="154"/>
      <c r="E64" s="154"/>
      <c r="F64" s="154"/>
      <c r="G64" s="154"/>
      <c r="H64" s="1180"/>
      <c r="I64" s="154"/>
      <c r="J64" s="154"/>
      <c r="K64" s="154"/>
      <c r="L64" s="154"/>
      <c r="M64" s="154"/>
      <c r="N64" s="154"/>
      <c r="O64" s="154"/>
      <c r="P64" s="154"/>
      <c r="Q64" s="154"/>
      <c r="R64" s="154"/>
      <c r="S64" s="154"/>
      <c r="T64" s="154"/>
      <c r="U64" s="1898"/>
      <c r="V64" s="1898"/>
      <c r="W64" s="1898"/>
      <c r="X64" s="1898"/>
      <c r="Y64" s="1898"/>
      <c r="Z64" s="1898"/>
      <c r="AA64" s="1898"/>
      <c r="AB64" s="1898"/>
    </row>
    <row r="65" spans="1:28" ht="18" customHeight="1">
      <c r="A65" s="2326" t="s">
        <v>1371</v>
      </c>
      <c r="B65" s="154"/>
      <c r="C65" s="154"/>
      <c r="D65" s="154"/>
      <c r="E65" s="154"/>
      <c r="F65" s="154"/>
      <c r="G65" s="154"/>
      <c r="H65" s="1180"/>
      <c r="I65" s="154"/>
      <c r="J65" s="154"/>
      <c r="K65" s="154"/>
      <c r="L65" s="154"/>
      <c r="M65" s="154"/>
      <c r="N65" s="154"/>
      <c r="O65" s="154"/>
      <c r="P65" s="154"/>
      <c r="Q65" s="154"/>
      <c r="R65" s="154"/>
      <c r="S65" s="154"/>
      <c r="T65" s="154"/>
      <c r="U65" s="1898"/>
      <c r="V65" s="1898"/>
      <c r="W65" s="1898"/>
      <c r="X65" s="1898"/>
      <c r="Y65" s="1898"/>
      <c r="Z65" s="1898"/>
      <c r="AA65" s="1898"/>
      <c r="AB65" s="1898"/>
    </row>
    <row r="66" spans="1:28" ht="15">
      <c r="A66" s="1114"/>
      <c r="B66" s="154"/>
      <c r="C66" s="154"/>
      <c r="D66" s="154"/>
      <c r="E66" s="154"/>
      <c r="F66" s="154"/>
      <c r="G66" s="154"/>
      <c r="H66" s="1180"/>
      <c r="I66" s="154"/>
      <c r="J66" s="154"/>
      <c r="K66" s="154"/>
      <c r="L66" s="154"/>
      <c r="M66" s="154"/>
      <c r="N66" s="154"/>
      <c r="O66" s="154"/>
      <c r="P66" s="154"/>
      <c r="Q66" s="154"/>
      <c r="R66" s="154"/>
      <c r="S66" s="154"/>
      <c r="T66" s="154"/>
      <c r="U66" s="1898"/>
      <c r="V66" s="1898"/>
      <c r="W66" s="1898"/>
      <c r="X66" s="1898"/>
      <c r="Y66" s="1898"/>
      <c r="Z66" s="1898"/>
      <c r="AA66" s="1898"/>
      <c r="AB66" s="1898"/>
    </row>
    <row r="67" spans="1:28" ht="15.6">
      <c r="A67" s="218"/>
      <c r="B67" s="219"/>
      <c r="C67" s="199"/>
      <c r="D67" s="220"/>
      <c r="E67" s="220"/>
      <c r="F67" s="220"/>
      <c r="G67" s="220"/>
      <c r="H67" s="1181"/>
      <c r="I67" s="220"/>
      <c r="J67" s="220"/>
      <c r="K67" s="220"/>
      <c r="L67" s="220"/>
      <c r="M67" s="154"/>
      <c r="N67" s="154"/>
      <c r="O67" s="154"/>
      <c r="P67" s="154"/>
      <c r="Q67" s="154"/>
      <c r="R67" s="154"/>
      <c r="S67" s="154"/>
      <c r="T67" s="154"/>
      <c r="U67" s="1898"/>
      <c r="V67" s="1898"/>
      <c r="W67" s="1898"/>
      <c r="X67" s="1898"/>
      <c r="Y67" s="1898"/>
      <c r="Z67" s="1898"/>
      <c r="AA67" s="1898"/>
      <c r="AB67" s="1898"/>
    </row>
    <row r="68" spans="1:28" ht="15">
      <c r="A68" s="161"/>
      <c r="B68" s="161"/>
      <c r="C68" s="161"/>
      <c r="D68" s="1113"/>
      <c r="E68" s="161"/>
      <c r="F68" s="161"/>
      <c r="G68" s="161"/>
      <c r="H68" s="1182"/>
      <c r="I68" s="161"/>
      <c r="J68" s="161"/>
      <c r="K68" s="161"/>
      <c r="L68" s="1113"/>
      <c r="M68" s="154"/>
      <c r="N68" s="154"/>
      <c r="O68" s="154"/>
      <c r="P68" s="154"/>
      <c r="Q68" s="154"/>
      <c r="R68" s="154"/>
      <c r="S68" s="154"/>
      <c r="T68" s="154"/>
      <c r="U68" s="1898"/>
      <c r="V68" s="1898"/>
      <c r="W68" s="1898"/>
      <c r="X68" s="1898"/>
      <c r="Y68" s="1898"/>
      <c r="Z68" s="1898"/>
      <c r="AA68" s="1898"/>
      <c r="AB68" s="1898"/>
    </row>
    <row r="69" spans="1:28" ht="15">
      <c r="A69" s="161"/>
      <c r="B69" s="161"/>
      <c r="C69" s="161"/>
      <c r="D69" s="1113"/>
      <c r="E69" s="161"/>
      <c r="F69" s="161"/>
      <c r="G69" s="161"/>
      <c r="H69" s="1182"/>
      <c r="I69" s="161"/>
      <c r="J69" s="161"/>
      <c r="K69" s="161"/>
      <c r="L69" s="1113"/>
      <c r="M69" s="154"/>
      <c r="N69" s="154"/>
      <c r="O69" s="154"/>
      <c r="P69" s="154"/>
      <c r="Q69" s="154"/>
      <c r="R69" s="154"/>
      <c r="S69" s="154"/>
      <c r="T69" s="154"/>
      <c r="U69" s="1898"/>
      <c r="V69" s="1898"/>
      <c r="W69" s="1898"/>
      <c r="X69" s="1898"/>
      <c r="Y69" s="1898"/>
      <c r="Z69" s="1898"/>
      <c r="AA69" s="1898"/>
      <c r="AB69" s="1898"/>
    </row>
    <row r="70" spans="1:28" ht="15">
      <c r="A70" s="161"/>
      <c r="B70" s="161"/>
      <c r="C70" s="161"/>
      <c r="D70" s="1113"/>
      <c r="E70" s="161"/>
      <c r="F70" s="161"/>
      <c r="G70" s="161"/>
      <c r="H70" s="1182"/>
      <c r="I70" s="161"/>
      <c r="J70" s="161"/>
      <c r="K70" s="161"/>
      <c r="L70" s="1113"/>
      <c r="M70" s="154"/>
      <c r="N70" s="154"/>
      <c r="O70" s="154"/>
      <c r="P70" s="154"/>
      <c r="Q70" s="154"/>
      <c r="R70" s="154"/>
      <c r="S70" s="154"/>
      <c r="T70" s="154"/>
      <c r="U70" s="1898"/>
      <c r="V70" s="1898"/>
      <c r="W70" s="1898"/>
      <c r="X70" s="1898"/>
      <c r="Y70" s="1898"/>
      <c r="Z70" s="1898"/>
      <c r="AA70" s="1898"/>
      <c r="AB70" s="1898"/>
    </row>
    <row r="71" spans="1:28" ht="19.5" customHeight="1">
      <c r="A71" s="148"/>
    </row>
  </sheetData>
  <customSheetViews>
    <customSheetView guid="{8EE6466D-211E-4E05-9F84-CC0A1C6F79F4}" scale="60" showGridLines="0" outlineSymbols="0" topLeftCell="A22">
      <selection activeCell="AA33" sqref="AA33"/>
      <pageMargins left="0.4" right="0.2" top="0.37" bottom="0.27" header="0" footer="0.25"/>
      <pageSetup scale="46" orientation="landscape" r:id="rId1"/>
      <headerFooter scaleWithDoc="0" alignWithMargins="0">
        <oddFooter>&amp;C&amp;8 3</oddFooter>
      </headerFooter>
    </customSheetView>
  </customSheetViews>
  <mergeCells count="7">
    <mergeCell ref="R12:AB12"/>
    <mergeCell ref="D12:N12"/>
    <mergeCell ref="L13:N13"/>
    <mergeCell ref="A3:AB3"/>
    <mergeCell ref="A4:AB4"/>
    <mergeCell ref="A5:AB5"/>
    <mergeCell ref="A7:AB7"/>
  </mergeCells>
  <pageMargins left="0.4" right="0.2" top="0.37" bottom="0.27" header="0" footer="0.25"/>
  <pageSetup scale="46" firstPageNumber="3" orientation="landscape" useFirstPageNumber="1" r:id="rId2"/>
  <headerFooter scaleWithDoc="0" alignWithMargins="0">
    <oddFooter>&amp;C&amp;8&amp;P</oddFooter>
  </headerFooter>
  <ignoredErrors>
    <ignoredError sqref="AE17:AF17 AD54:AF56 AD24:AG26 AE18:AE22 AD27:AE27 AD30:AF30 AE28:AE29 AD38:AG38 AE31:AE36 AD17:AD22 AD28:AD29 AD31:AD36 AD46:AG47 AE39:AE44 AD39:AD44 AE51:AF52 AD51 AD60:AF60 AD49:AG50 AE48 AG17 AG18:AG22 AF18:AF21 AD23:AE23 AG23 AG27 AG28:AG29 AG31:AG36 AG30 AF29 AF31:AF37 AD37:AE37 AG37 AG39:AG44 AF39:AF43 AE45 AG45 AG48 AD59:AF59 AD61:AF61 AE53:AF53 AD58:AF58 AE57:AF57 AF23 AF27" unlockedFormula="1"/>
    <ignoredError sqref="B44 B26"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168"/>
  <sheetViews>
    <sheetView zoomScale="70" zoomScaleNormal="70" workbookViewId="0"/>
  </sheetViews>
  <sheetFormatPr defaultColWidth="8.90625" defaultRowHeight="15.6"/>
  <cols>
    <col min="1" max="1" width="56.81640625" style="1275" customWidth="1"/>
    <col min="2" max="2" width="2.36328125" style="1275" customWidth="1"/>
    <col min="3" max="3" width="19" style="1437" customWidth="1"/>
    <col min="4" max="4" width="1.6328125" style="1275" customWidth="1"/>
    <col min="5" max="5" width="16.453125" style="1275" customWidth="1"/>
    <col min="6" max="6" width="1.54296875" style="1275" customWidth="1"/>
    <col min="7" max="7" width="16.54296875" style="1275" customWidth="1"/>
    <col min="8" max="8" width="1.54296875" style="1275" customWidth="1"/>
    <col min="9" max="9" width="16.54296875" style="1275" customWidth="1"/>
    <col min="10" max="10" width="1.54296875" style="1275" customWidth="1"/>
    <col min="11" max="11" width="20.1796875" style="1275" customWidth="1"/>
    <col min="12" max="12" width="9.08984375" style="1275" bestFit="1" customWidth="1"/>
    <col min="13" max="13" width="2.54296875" style="1275" customWidth="1"/>
    <col min="14" max="15" width="9" style="1275" bestFit="1" customWidth="1"/>
    <col min="16" max="16384" width="8.90625" style="1275"/>
  </cols>
  <sheetData>
    <row r="1" spans="1:14">
      <c r="A1" s="1172" t="s">
        <v>1103</v>
      </c>
    </row>
    <row r="2" spans="1:14">
      <c r="A2" s="1689"/>
    </row>
    <row r="3" spans="1:14" ht="17.399999999999999">
      <c r="A3" s="1604" t="s">
        <v>0</v>
      </c>
      <c r="B3" s="796"/>
      <c r="C3" s="796"/>
      <c r="D3" s="796"/>
      <c r="E3" s="796"/>
      <c r="F3" s="796"/>
      <c r="G3" s="796"/>
      <c r="H3" s="796"/>
      <c r="I3" s="796"/>
      <c r="J3" s="796"/>
      <c r="K3" s="1606" t="s">
        <v>238</v>
      </c>
      <c r="L3" s="796"/>
    </row>
    <row r="4" spans="1:14" ht="17.399999999999999">
      <c r="A4" s="1604" t="s">
        <v>237</v>
      </c>
      <c r="B4" s="796"/>
      <c r="C4" s="796" t="s">
        <v>16</v>
      </c>
      <c r="D4" s="796"/>
      <c r="E4" s="796"/>
      <c r="F4" s="796"/>
      <c r="G4" s="796"/>
      <c r="H4" s="796"/>
      <c r="I4" s="796"/>
      <c r="J4" s="796"/>
      <c r="L4" s="797"/>
    </row>
    <row r="5" spans="1:14" ht="17.399999999999999">
      <c r="A5" s="1604" t="s">
        <v>239</v>
      </c>
      <c r="B5" s="796"/>
      <c r="C5" s="796"/>
      <c r="D5" s="796"/>
      <c r="E5" s="796"/>
      <c r="F5" s="796"/>
      <c r="G5" s="796"/>
      <c r="H5" s="796"/>
      <c r="I5" s="796"/>
      <c r="J5" s="796"/>
      <c r="K5" s="798"/>
      <c r="L5" s="798"/>
    </row>
    <row r="6" spans="1:14" ht="17.399999999999999">
      <c r="A6" s="1605" t="s">
        <v>240</v>
      </c>
      <c r="B6" s="796"/>
      <c r="C6" s="796"/>
      <c r="D6" s="796"/>
      <c r="E6" s="796"/>
      <c r="F6" s="796"/>
      <c r="G6" s="796"/>
      <c r="H6" s="796"/>
      <c r="I6" s="796"/>
      <c r="J6" s="796"/>
      <c r="K6" s="799"/>
      <c r="L6" s="799"/>
    </row>
    <row r="7" spans="1:14" ht="17.399999999999999">
      <c r="A7" s="1605" t="s">
        <v>1482</v>
      </c>
      <c r="B7" s="796"/>
      <c r="C7" s="796"/>
      <c r="D7" s="796"/>
      <c r="E7" s="796" t="s">
        <v>16</v>
      </c>
      <c r="F7" s="796"/>
      <c r="G7" s="796"/>
      <c r="H7" s="796"/>
      <c r="I7" s="796"/>
      <c r="J7" s="796"/>
      <c r="K7" s="796"/>
      <c r="L7" s="796"/>
    </row>
    <row r="8" spans="1:14" ht="17.399999999999999">
      <c r="A8" s="1604" t="s">
        <v>993</v>
      </c>
      <c r="B8" s="1427" t="s">
        <v>241</v>
      </c>
      <c r="C8" s="1428"/>
      <c r="D8" s="1428"/>
      <c r="E8" s="1428"/>
      <c r="F8" s="1428"/>
      <c r="G8" s="1428"/>
      <c r="H8" s="1428"/>
      <c r="I8" s="1428"/>
      <c r="J8" s="1428"/>
      <c r="K8" s="1428"/>
      <c r="L8" s="1428"/>
    </row>
    <row r="9" spans="1:14">
      <c r="A9" s="1428"/>
      <c r="B9" s="1428"/>
      <c r="C9" s="800" t="s">
        <v>242</v>
      </c>
      <c r="D9" s="795"/>
      <c r="E9" s="795"/>
      <c r="F9" s="795"/>
      <c r="G9" s="801"/>
      <c r="H9" s="795"/>
      <c r="I9" s="802" t="s">
        <v>243</v>
      </c>
      <c r="J9" s="795"/>
      <c r="K9" s="802" t="s">
        <v>242</v>
      </c>
      <c r="L9" s="802"/>
    </row>
    <row r="10" spans="1:14">
      <c r="A10" s="1428"/>
      <c r="B10" s="1428"/>
      <c r="C10" s="2628" t="s">
        <v>1483</v>
      </c>
      <c r="D10" s="795"/>
      <c r="E10" s="803" t="s">
        <v>244</v>
      </c>
      <c r="F10" s="801"/>
      <c r="G10" s="804" t="s">
        <v>245</v>
      </c>
      <c r="H10" s="801"/>
      <c r="I10" s="804" t="s">
        <v>246</v>
      </c>
      <c r="J10" s="801"/>
      <c r="K10" s="805" t="s">
        <v>1462</v>
      </c>
      <c r="L10" s="806"/>
    </row>
    <row r="11" spans="1:14">
      <c r="A11" s="1428"/>
      <c r="B11" s="1428"/>
      <c r="C11" s="806"/>
      <c r="D11" s="795"/>
      <c r="E11" s="802"/>
      <c r="F11" s="801"/>
      <c r="G11" s="802"/>
      <c r="H11" s="801"/>
      <c r="I11" s="802"/>
      <c r="J11" s="801"/>
      <c r="K11" s="1522"/>
      <c r="L11" s="806"/>
    </row>
    <row r="12" spans="1:14">
      <c r="A12" s="807" t="s">
        <v>151</v>
      </c>
      <c r="B12" s="1428"/>
      <c r="C12" s="1429"/>
      <c r="D12" s="1428"/>
      <c r="E12" s="1430"/>
      <c r="F12" s="1428"/>
      <c r="G12" s="1431"/>
      <c r="H12" s="1428"/>
      <c r="I12" s="1431"/>
      <c r="J12" s="1428"/>
      <c r="K12" s="1429"/>
      <c r="L12" s="1429"/>
    </row>
    <row r="13" spans="1:14">
      <c r="A13" s="1432" t="s">
        <v>247</v>
      </c>
      <c r="B13" s="1430"/>
      <c r="C13" s="1433">
        <v>0</v>
      </c>
      <c r="D13" s="1430"/>
      <c r="E13" s="2178">
        <v>8.0000000000000002E-3</v>
      </c>
      <c r="F13" s="2179"/>
      <c r="G13" s="2178">
        <v>1976.7339999999999</v>
      </c>
      <c r="H13" s="2179"/>
      <c r="I13" s="2178">
        <v>1976.7260000000001</v>
      </c>
      <c r="J13" s="1430"/>
      <c r="K13" s="1570">
        <f>ROUND(SUM(C13)+SUM(E13)-SUM(G13)+SUM(I13),3)</f>
        <v>0</v>
      </c>
      <c r="L13" s="1434"/>
    </row>
    <row r="14" spans="1:14">
      <c r="A14" s="1432" t="s">
        <v>248</v>
      </c>
      <c r="B14" s="1432"/>
      <c r="C14" s="1435">
        <v>0</v>
      </c>
      <c r="D14" s="1157"/>
      <c r="E14" s="2180">
        <v>5467.82</v>
      </c>
      <c r="F14" s="2181"/>
      <c r="G14" s="2180">
        <v>2849.9609999999998</v>
      </c>
      <c r="H14" s="2181"/>
      <c r="I14" s="2180">
        <v>8212.2109999999993</v>
      </c>
      <c r="J14" s="1432"/>
      <c r="K14" s="1436">
        <f>ROUND(SUM(C14)+SUM(E14)-SUM(G14)+SUM(I14),3)</f>
        <v>10830.07</v>
      </c>
      <c r="L14" s="1435"/>
      <c r="M14" s="1437"/>
      <c r="N14" s="1437"/>
    </row>
    <row r="15" spans="1:14">
      <c r="A15" s="1438" t="s">
        <v>249</v>
      </c>
      <c r="B15" s="1428"/>
      <c r="C15" s="1438">
        <v>1257.7629999999999</v>
      </c>
      <c r="D15" s="1436"/>
      <c r="E15" s="2182">
        <v>0</v>
      </c>
      <c r="F15" s="2183"/>
      <c r="G15" s="2182">
        <v>0</v>
      </c>
      <c r="H15" s="2183"/>
      <c r="I15" s="2182">
        <v>-1257.7629999999999</v>
      </c>
      <c r="J15" s="1436"/>
      <c r="K15" s="1436">
        <f t="shared" ref="K15:K21" si="0">ROUND(SUM(C15)+SUM(E15)-SUM(G15)+SUM(I15),3)</f>
        <v>0</v>
      </c>
      <c r="L15" s="1435"/>
      <c r="M15" s="1437"/>
      <c r="N15" s="1437"/>
    </row>
    <row r="16" spans="1:14">
      <c r="A16" s="1428" t="s">
        <v>250</v>
      </c>
      <c r="B16" s="1428"/>
      <c r="C16" s="1438">
        <v>20.623999999999999</v>
      </c>
      <c r="D16" s="1436"/>
      <c r="E16" s="2182">
        <v>0</v>
      </c>
      <c r="F16" s="2183"/>
      <c r="G16" s="2182">
        <v>0</v>
      </c>
      <c r="H16" s="2183"/>
      <c r="I16" s="2182">
        <v>-20.623999999999999</v>
      </c>
      <c r="J16" s="1436"/>
      <c r="K16" s="1436">
        <f t="shared" si="0"/>
        <v>0</v>
      </c>
      <c r="L16" s="1435"/>
      <c r="M16" s="1437"/>
      <c r="N16" s="1437"/>
    </row>
    <row r="17" spans="1:14">
      <c r="A17" s="1428" t="s">
        <v>251</v>
      </c>
      <c r="B17" s="1428"/>
      <c r="C17" s="1438">
        <v>0</v>
      </c>
      <c r="D17" s="1436"/>
      <c r="E17" s="2182">
        <v>0</v>
      </c>
      <c r="F17" s="2183"/>
      <c r="G17" s="2182">
        <v>0</v>
      </c>
      <c r="H17" s="2183"/>
      <c r="I17" s="2182">
        <v>0</v>
      </c>
      <c r="J17" s="1436"/>
      <c r="K17" s="1436">
        <f t="shared" si="0"/>
        <v>0</v>
      </c>
      <c r="L17" s="1435"/>
      <c r="M17" s="1437"/>
      <c r="N17" s="1437"/>
    </row>
    <row r="18" spans="1:14">
      <c r="A18" s="1428" t="s">
        <v>252</v>
      </c>
      <c r="B18" s="1428"/>
      <c r="C18" s="1439">
        <v>63.283999999999999</v>
      </c>
      <c r="D18" s="1436"/>
      <c r="E18" s="2182">
        <v>0</v>
      </c>
      <c r="F18" s="2183"/>
      <c r="G18" s="2182">
        <v>0.64200000000000002</v>
      </c>
      <c r="H18" s="2183"/>
      <c r="I18" s="2182">
        <v>0</v>
      </c>
      <c r="J18" s="1436"/>
      <c r="K18" s="1436">
        <f t="shared" si="0"/>
        <v>62.642000000000003</v>
      </c>
      <c r="L18" s="1436"/>
      <c r="M18" s="1437"/>
      <c r="N18" s="1437"/>
    </row>
    <row r="19" spans="1:14">
      <c r="A19" s="1428" t="s">
        <v>253</v>
      </c>
      <c r="B19" s="1428"/>
      <c r="C19" s="1435">
        <v>539.54399999999998</v>
      </c>
      <c r="D19" s="1439"/>
      <c r="E19" s="2182">
        <v>0</v>
      </c>
      <c r="F19" s="2184"/>
      <c r="G19" s="2182">
        <v>0</v>
      </c>
      <c r="H19" s="2184"/>
      <c r="I19" s="2182">
        <v>-539.54399999999998</v>
      </c>
      <c r="J19" s="1439"/>
      <c r="K19" s="1436">
        <f t="shared" si="0"/>
        <v>0</v>
      </c>
      <c r="L19" s="1435"/>
      <c r="M19" s="1437"/>
      <c r="N19" s="1437"/>
    </row>
    <row r="20" spans="1:14">
      <c r="A20" s="1438" t="s">
        <v>254</v>
      </c>
      <c r="B20" s="1429"/>
      <c r="C20" s="1435">
        <v>7052.8890000000001</v>
      </c>
      <c r="D20" s="1439"/>
      <c r="E20" s="2182">
        <v>0</v>
      </c>
      <c r="F20" s="2184"/>
      <c r="G20" s="2182">
        <v>0</v>
      </c>
      <c r="H20" s="2184"/>
      <c r="I20" s="2182">
        <v>-7052.8890000000001</v>
      </c>
      <c r="J20" s="1439"/>
      <c r="K20" s="1436">
        <f t="shared" si="0"/>
        <v>0</v>
      </c>
      <c r="L20" s="1435"/>
      <c r="M20" s="1437"/>
      <c r="N20" s="1437"/>
    </row>
    <row r="21" spans="1:14">
      <c r="A21" s="1438" t="s">
        <v>255</v>
      </c>
      <c r="B21" s="1428"/>
      <c r="C21" s="1435">
        <v>0</v>
      </c>
      <c r="D21" s="1436"/>
      <c r="E21" s="2182">
        <v>167.55600000000001</v>
      </c>
      <c r="F21" s="2183"/>
      <c r="G21" s="2182">
        <v>167.55600000000001</v>
      </c>
      <c r="H21" s="2183"/>
      <c r="I21" s="2182">
        <v>0</v>
      </c>
      <c r="J21" s="1436"/>
      <c r="K21" s="1436">
        <f t="shared" si="0"/>
        <v>0</v>
      </c>
      <c r="L21" s="1435"/>
      <c r="M21" s="1437"/>
      <c r="N21" s="1437"/>
    </row>
    <row r="22" spans="1:14">
      <c r="A22" s="1440" t="s">
        <v>256</v>
      </c>
      <c r="B22" s="1428"/>
      <c r="C22" s="1435">
        <v>0</v>
      </c>
      <c r="D22" s="1436"/>
      <c r="E22" s="2182">
        <v>0</v>
      </c>
      <c r="F22" s="2183"/>
      <c r="G22" s="2182">
        <v>0</v>
      </c>
      <c r="H22" s="2183"/>
      <c r="I22" s="2182">
        <v>0</v>
      </c>
      <c r="J22" s="1157"/>
      <c r="K22" s="1435">
        <f>ROUND(SUM(C22)+SUM(E22)-SUM(G22)+SUM(I22),3)</f>
        <v>0</v>
      </c>
      <c r="L22" s="1435"/>
      <c r="M22" s="1437"/>
      <c r="N22" s="1437"/>
    </row>
    <row r="23" spans="1:14" ht="22.5" customHeight="1">
      <c r="A23" s="808" t="s">
        <v>257</v>
      </c>
      <c r="B23" s="1428"/>
      <c r="C23" s="809">
        <f>ROUND(SUM(C13:C22),3)</f>
        <v>8934.1039999999994</v>
      </c>
      <c r="D23" s="800"/>
      <c r="E23" s="810">
        <f>ROUND(SUM(E13:E22),3)</f>
        <v>5635.384</v>
      </c>
      <c r="F23" s="811"/>
      <c r="G23" s="810">
        <f>ROUND(SUM(G13:G22),3)</f>
        <v>4994.893</v>
      </c>
      <c r="H23" s="811"/>
      <c r="I23" s="810">
        <f>ROUND(SUM(I13:I22),3)</f>
        <v>1318.117</v>
      </c>
      <c r="J23" s="811"/>
      <c r="K23" s="810">
        <f>ROUND(SUM(K13:K22),3)</f>
        <v>10892.712</v>
      </c>
      <c r="L23" s="1315"/>
      <c r="M23" s="1437"/>
      <c r="N23" s="1437"/>
    </row>
    <row r="24" spans="1:14" ht="8.25" customHeight="1">
      <c r="A24" s="808"/>
      <c r="B24" s="1428"/>
      <c r="C24" s="1431"/>
      <c r="D24" s="1436"/>
      <c r="E24" s="1431"/>
      <c r="F24" s="1436"/>
      <c r="G24" s="1431"/>
      <c r="H24" s="1436"/>
      <c r="I24" s="1431"/>
      <c r="J24" s="1157"/>
      <c r="K24" s="1425"/>
      <c r="L24" s="1431"/>
      <c r="M24" s="1437"/>
      <c r="N24" s="1437"/>
    </row>
    <row r="25" spans="1:14">
      <c r="A25" s="1440"/>
      <c r="B25" s="1432"/>
      <c r="C25" s="1441"/>
      <c r="D25" s="1432"/>
      <c r="E25" s="1441"/>
      <c r="F25" s="1316"/>
      <c r="G25" s="1441"/>
      <c r="H25" s="1316"/>
      <c r="I25" s="1441"/>
      <c r="J25" s="1432"/>
      <c r="K25" s="1442"/>
      <c r="L25" s="1442"/>
      <c r="M25" s="1437"/>
      <c r="N25" s="1437"/>
    </row>
    <row r="26" spans="1:14">
      <c r="A26" s="812" t="s">
        <v>1000</v>
      </c>
      <c r="B26" s="1432"/>
      <c r="C26" s="1432"/>
      <c r="D26" s="1432"/>
      <c r="E26" s="1432"/>
      <c r="F26" s="1316"/>
      <c r="G26" s="1432"/>
      <c r="H26" s="1316"/>
      <c r="I26" s="1432"/>
      <c r="J26" s="1432"/>
      <c r="K26" s="1432"/>
      <c r="L26" s="1432"/>
      <c r="M26" s="1437"/>
      <c r="N26" s="1437"/>
    </row>
    <row r="27" spans="1:14">
      <c r="A27" s="1438" t="s">
        <v>258</v>
      </c>
      <c r="B27" s="1428"/>
      <c r="C27" s="2646">
        <v>2.21</v>
      </c>
      <c r="D27"/>
      <c r="E27" s="2182">
        <v>2E-3</v>
      </c>
      <c r="F27" s="1420"/>
      <c r="G27" s="2182">
        <v>1E-3</v>
      </c>
      <c r="H27" s="1420"/>
      <c r="I27" s="2182">
        <v>0</v>
      </c>
      <c r="J27" s="1428"/>
      <c r="K27" s="2852">
        <f t="shared" ref="K27:K32" si="1">ROUND(SUM(C27)+SUM(E27)-SUM(G27)+SUM(I27),3)</f>
        <v>2.2109999999999999</v>
      </c>
      <c r="L27" s="1436"/>
      <c r="M27" s="1437"/>
      <c r="N27" s="1437"/>
    </row>
    <row r="28" spans="1:14">
      <c r="A28" s="1438" t="s">
        <v>259</v>
      </c>
      <c r="B28" s="1428"/>
      <c r="C28" s="2645">
        <v>65.281999999999996</v>
      </c>
      <c r="D28"/>
      <c r="E28" s="2182">
        <v>0.81599999999999995</v>
      </c>
      <c r="F28" s="1420"/>
      <c r="G28" s="2182">
        <v>0.51100000000000001</v>
      </c>
      <c r="H28" s="1420"/>
      <c r="I28" s="2182">
        <v>0</v>
      </c>
      <c r="J28" s="1428"/>
      <c r="K28" s="2852">
        <f t="shared" si="1"/>
        <v>65.587000000000003</v>
      </c>
      <c r="L28" s="1157"/>
      <c r="M28" s="1437"/>
      <c r="N28" s="1437"/>
    </row>
    <row r="29" spans="1:14">
      <c r="A29" s="1428" t="s">
        <v>260</v>
      </c>
      <c r="B29" s="1427" t="s">
        <v>241</v>
      </c>
      <c r="C29" s="2645">
        <v>40.561999999999998</v>
      </c>
      <c r="D29"/>
      <c r="E29" s="2182">
        <v>1.08</v>
      </c>
      <c r="F29" s="1420"/>
      <c r="G29" s="2182">
        <v>0.255</v>
      </c>
      <c r="H29" s="1420"/>
      <c r="I29" s="2182">
        <v>0</v>
      </c>
      <c r="J29" s="1428"/>
      <c r="K29" s="2852">
        <f t="shared" si="1"/>
        <v>41.387</v>
      </c>
      <c r="L29" s="1436"/>
      <c r="M29" s="1437"/>
      <c r="N29" s="1437"/>
    </row>
    <row r="30" spans="1:14">
      <c r="A30" s="1438" t="s">
        <v>261</v>
      </c>
      <c r="B30" s="1427"/>
      <c r="C30" s="2645">
        <v>0.17499999999999999</v>
      </c>
      <c r="D30"/>
      <c r="E30" s="2182">
        <v>0</v>
      </c>
      <c r="F30" s="1420"/>
      <c r="G30" s="2182">
        <v>0.02</v>
      </c>
      <c r="H30" s="1420"/>
      <c r="I30" s="2182">
        <v>0</v>
      </c>
      <c r="J30" s="1428"/>
      <c r="K30" s="2852">
        <f t="shared" si="1"/>
        <v>0.155</v>
      </c>
      <c r="L30" s="1436"/>
      <c r="M30" s="1437"/>
      <c r="N30" s="1437"/>
    </row>
    <row r="31" spans="1:14">
      <c r="A31" s="1438" t="s">
        <v>262</v>
      </c>
      <c r="B31" s="1427"/>
      <c r="C31" s="2645">
        <v>8.3000000000000004E-2</v>
      </c>
      <c r="D31"/>
      <c r="E31" s="2182">
        <v>8.0000000000000002E-3</v>
      </c>
      <c r="F31" s="1420"/>
      <c r="G31" s="2182">
        <v>2.1999999999999999E-2</v>
      </c>
      <c r="H31" s="1420"/>
      <c r="I31" s="2182">
        <v>0</v>
      </c>
      <c r="J31" s="1428"/>
      <c r="K31" s="2852">
        <f t="shared" si="1"/>
        <v>6.9000000000000006E-2</v>
      </c>
      <c r="L31" s="1436"/>
      <c r="M31" s="1437"/>
      <c r="N31" s="1437"/>
    </row>
    <row r="32" spans="1:14">
      <c r="A32" s="1428" t="s">
        <v>263</v>
      </c>
      <c r="B32" s="1428"/>
      <c r="C32" s="2645">
        <v>5.3739999999999997</v>
      </c>
      <c r="D32"/>
      <c r="E32" s="2182">
        <v>0.56299999999999994</v>
      </c>
      <c r="F32" s="1420"/>
      <c r="G32" s="2182">
        <v>0.16</v>
      </c>
      <c r="H32" s="1420"/>
      <c r="I32" s="2182">
        <v>0</v>
      </c>
      <c r="J32" s="1432"/>
      <c r="K32" s="2852">
        <f t="shared" si="1"/>
        <v>5.7770000000000001</v>
      </c>
      <c r="L32" s="1157"/>
      <c r="M32" s="1437"/>
      <c r="N32" s="1437"/>
    </row>
    <row r="33" spans="1:14">
      <c r="A33" s="1428" t="s">
        <v>264</v>
      </c>
      <c r="B33" s="1428"/>
      <c r="C33" s="2694"/>
      <c r="D33"/>
      <c r="E33" s="2185"/>
      <c r="F33" s="2185"/>
      <c r="G33" s="2185"/>
      <c r="H33" s="2185"/>
      <c r="I33" s="2185"/>
      <c r="J33" s="814"/>
      <c r="K33" s="2853"/>
      <c r="L33" s="814"/>
      <c r="M33" s="1437"/>
      <c r="N33" s="1437"/>
    </row>
    <row r="34" spans="1:14">
      <c r="A34" s="1428" t="s">
        <v>265</v>
      </c>
      <c r="B34" s="1428"/>
      <c r="C34" s="2645">
        <v>2.9510000000000001</v>
      </c>
      <c r="D34"/>
      <c r="E34" s="2182">
        <v>0.77800000000000002</v>
      </c>
      <c r="F34" s="1420"/>
      <c r="G34" s="2182">
        <v>0.218</v>
      </c>
      <c r="H34" s="1420"/>
      <c r="I34" s="2182">
        <v>0</v>
      </c>
      <c r="J34" s="1432"/>
      <c r="K34" s="2852">
        <f>ROUND(SUM(C34)+SUM(E34)-SUM(G34)+SUM(I34),3)</f>
        <v>3.5110000000000001</v>
      </c>
      <c r="L34" s="1157"/>
      <c r="M34" s="1437"/>
      <c r="N34" s="1437"/>
    </row>
    <row r="35" spans="1:14">
      <c r="A35" s="1428" t="s">
        <v>266</v>
      </c>
      <c r="B35" s="1428"/>
      <c r="C35" s="2694">
        <v>0</v>
      </c>
      <c r="D35"/>
      <c r="E35" s="2182">
        <v>1.3160000000000001</v>
      </c>
      <c r="F35" s="1420"/>
      <c r="G35" s="2182">
        <v>1.3160000000000001</v>
      </c>
      <c r="H35" s="1420"/>
      <c r="I35" s="2182">
        <v>0</v>
      </c>
      <c r="J35" s="1432"/>
      <c r="K35" s="2852">
        <f t="shared" ref="K35:K58" si="2">ROUND(SUM(C35)+SUM(E35)-SUM(G35)+SUM(I35),3)</f>
        <v>0</v>
      </c>
      <c r="L35" s="1157"/>
      <c r="M35" s="1437"/>
      <c r="N35" s="1437"/>
    </row>
    <row r="36" spans="1:14">
      <c r="A36" s="1428" t="s">
        <v>267</v>
      </c>
      <c r="B36" s="1428"/>
      <c r="C36" s="2645">
        <v>5.9630000000000001</v>
      </c>
      <c r="D36"/>
      <c r="E36" s="2182">
        <v>2E-3</v>
      </c>
      <c r="F36" s="1420"/>
      <c r="G36" s="2182">
        <v>0.06</v>
      </c>
      <c r="H36" s="1420"/>
      <c r="I36" s="2182">
        <v>0</v>
      </c>
      <c r="J36" s="1428"/>
      <c r="K36" s="2852">
        <f t="shared" si="2"/>
        <v>5.9050000000000002</v>
      </c>
      <c r="L36" s="1436"/>
      <c r="M36" s="1437"/>
      <c r="N36" s="1437"/>
    </row>
    <row r="37" spans="1:14">
      <c r="A37" s="1444" t="s">
        <v>268</v>
      </c>
      <c r="B37" s="1445"/>
      <c r="C37" s="2629">
        <v>0</v>
      </c>
      <c r="D37"/>
      <c r="E37" s="2182">
        <v>0</v>
      </c>
      <c r="F37" s="1420"/>
      <c r="G37" s="2182">
        <v>0</v>
      </c>
      <c r="H37" s="1420"/>
      <c r="I37" s="2182">
        <v>0</v>
      </c>
      <c r="J37" s="1436"/>
      <c r="K37" s="2852">
        <f t="shared" si="2"/>
        <v>0</v>
      </c>
      <c r="L37" s="1435"/>
      <c r="M37" s="1437"/>
      <c r="N37" s="1437"/>
    </row>
    <row r="38" spans="1:14">
      <c r="A38" s="1438" t="s">
        <v>269</v>
      </c>
      <c r="B38" s="1428"/>
      <c r="C38" s="2645">
        <v>77.569000000000003</v>
      </c>
      <c r="D38"/>
      <c r="E38" s="2182">
        <v>436.3</v>
      </c>
      <c r="F38" s="1420"/>
      <c r="G38" s="2182">
        <v>322.51100000000002</v>
      </c>
      <c r="H38" s="1420"/>
      <c r="I38" s="2182">
        <v>-16.477</v>
      </c>
      <c r="J38" s="1428"/>
      <c r="K38" s="1157">
        <f t="shared" si="2"/>
        <v>174.881</v>
      </c>
      <c r="L38" s="1157"/>
      <c r="M38" s="1437"/>
      <c r="N38" s="1437"/>
    </row>
    <row r="39" spans="1:14">
      <c r="A39" s="1432" t="s">
        <v>270</v>
      </c>
      <c r="B39" s="1432"/>
      <c r="C39" s="2645">
        <v>70.435000000000002</v>
      </c>
      <c r="D39"/>
      <c r="E39" s="2182">
        <v>50.362000000000002</v>
      </c>
      <c r="F39" s="1420"/>
      <c r="G39" s="2182">
        <v>57.109000000000002</v>
      </c>
      <c r="H39" s="1420"/>
      <c r="I39" s="2182">
        <v>0</v>
      </c>
      <c r="J39" s="1432"/>
      <c r="K39" s="1157">
        <f t="shared" si="2"/>
        <v>63.688000000000002</v>
      </c>
      <c r="L39" s="1157"/>
      <c r="M39" s="1437"/>
      <c r="N39" s="1437"/>
    </row>
    <row r="40" spans="1:14">
      <c r="A40" s="1440" t="s">
        <v>271</v>
      </c>
      <c r="B40" s="1432"/>
      <c r="C40" s="2645">
        <v>190.70500000000001</v>
      </c>
      <c r="D40"/>
      <c r="E40" s="2182">
        <v>267.39999999999998</v>
      </c>
      <c r="F40" s="1420"/>
      <c r="G40" s="2182">
        <v>2.3090000000000002</v>
      </c>
      <c r="H40" s="1420"/>
      <c r="I40" s="2182">
        <v>0</v>
      </c>
      <c r="J40" s="1432"/>
      <c r="K40" s="1157">
        <f t="shared" si="2"/>
        <v>455.79599999999999</v>
      </c>
      <c r="L40" s="1157"/>
      <c r="M40" s="1437"/>
      <c r="N40" s="1437"/>
    </row>
    <row r="41" spans="1:14">
      <c r="A41" s="1438" t="s">
        <v>272</v>
      </c>
      <c r="B41" s="1428"/>
      <c r="C41" s="2645">
        <v>10.593</v>
      </c>
      <c r="D41"/>
      <c r="E41" s="2182">
        <v>3.1819999999999999</v>
      </c>
      <c r="F41" s="1420"/>
      <c r="G41" s="2182">
        <v>0.32200000000000001</v>
      </c>
      <c r="H41" s="1420"/>
      <c r="I41" s="2182">
        <v>0</v>
      </c>
      <c r="J41" s="1428"/>
      <c r="K41" s="1157">
        <f t="shared" si="2"/>
        <v>13.452999999999999</v>
      </c>
      <c r="L41" s="1157"/>
      <c r="M41" s="1437"/>
      <c r="N41" s="1437"/>
    </row>
    <row r="42" spans="1:14">
      <c r="A42" s="1432" t="s">
        <v>273</v>
      </c>
      <c r="B42" s="1428"/>
      <c r="C42" s="2645">
        <v>-2.2829999999999999</v>
      </c>
      <c r="D42"/>
      <c r="E42" s="2182">
        <v>0</v>
      </c>
      <c r="F42" s="1420"/>
      <c r="G42" s="2182">
        <v>0.19600000000000001</v>
      </c>
      <c r="H42" s="1420"/>
      <c r="I42" s="2182">
        <v>0</v>
      </c>
      <c r="J42" s="1428"/>
      <c r="K42" s="2852">
        <f t="shared" si="2"/>
        <v>-2.4790000000000001</v>
      </c>
      <c r="L42" s="1157"/>
      <c r="M42" s="1437"/>
      <c r="N42" s="1437"/>
    </row>
    <row r="43" spans="1:14">
      <c r="A43" s="1432" t="s">
        <v>1381</v>
      </c>
      <c r="B43" s="1428"/>
      <c r="C43" s="2645">
        <v>-16.456</v>
      </c>
      <c r="D43"/>
      <c r="E43" s="2182">
        <v>5.6669999999999998</v>
      </c>
      <c r="F43" s="1420"/>
      <c r="G43" s="2182">
        <v>4.2770000000000001</v>
      </c>
      <c r="H43" s="1420"/>
      <c r="I43" s="2182">
        <v>0</v>
      </c>
      <c r="J43" s="1428"/>
      <c r="K43" s="1157">
        <f t="shared" si="2"/>
        <v>-15.066000000000001</v>
      </c>
      <c r="L43" s="1157"/>
      <c r="M43" s="1437"/>
      <c r="N43" s="1437"/>
    </row>
    <row r="44" spans="1:14">
      <c r="A44" s="1428" t="s">
        <v>274</v>
      </c>
      <c r="B44" s="1428"/>
      <c r="C44" s="2645">
        <v>77.266999999999996</v>
      </c>
      <c r="D44"/>
      <c r="E44" s="2182">
        <v>1.67</v>
      </c>
      <c r="F44" s="1420"/>
      <c r="G44" s="2182">
        <v>2.4369999999999998</v>
      </c>
      <c r="H44" s="1420"/>
      <c r="I44" s="2182">
        <v>0</v>
      </c>
      <c r="J44" s="1428"/>
      <c r="K44" s="1157">
        <f t="shared" si="2"/>
        <v>76.5</v>
      </c>
      <c r="L44" s="1157"/>
      <c r="M44" s="1437"/>
      <c r="N44" s="1437"/>
    </row>
    <row r="45" spans="1:14">
      <c r="A45" s="1428" t="s">
        <v>275</v>
      </c>
      <c r="B45" s="1428"/>
      <c r="C45" s="2645">
        <v>18.105</v>
      </c>
      <c r="D45"/>
      <c r="E45" s="2182">
        <v>4.0759999999999996</v>
      </c>
      <c r="F45" s="1420"/>
      <c r="G45" s="2182">
        <v>1.24</v>
      </c>
      <c r="H45" s="1420"/>
      <c r="I45" s="2182">
        <v>0</v>
      </c>
      <c r="J45" s="1428"/>
      <c r="K45" s="2852">
        <f t="shared" si="2"/>
        <v>20.940999999999999</v>
      </c>
      <c r="L45" s="1157"/>
      <c r="M45" s="1437"/>
      <c r="N45" s="1437"/>
    </row>
    <row r="46" spans="1:14">
      <c r="A46" s="1428" t="s">
        <v>276</v>
      </c>
      <c r="B46" s="1428"/>
      <c r="C46" s="2645">
        <v>2.6619999999999999</v>
      </c>
      <c r="D46"/>
      <c r="E46" s="2182">
        <v>11.606</v>
      </c>
      <c r="F46" s="1420"/>
      <c r="G46" s="2182">
        <v>2.37</v>
      </c>
      <c r="H46" s="1420"/>
      <c r="I46" s="2182">
        <v>0</v>
      </c>
      <c r="J46" s="1428"/>
      <c r="K46" s="2852">
        <f t="shared" si="2"/>
        <v>11.898</v>
      </c>
      <c r="L46" s="1157"/>
      <c r="M46" s="1437"/>
      <c r="N46" s="1437"/>
    </row>
    <row r="47" spans="1:14">
      <c r="A47" s="1428" t="s">
        <v>277</v>
      </c>
      <c r="B47" s="1428"/>
      <c r="C47" s="2645">
        <v>5.1289999999999996</v>
      </c>
      <c r="D47"/>
      <c r="E47" s="2182">
        <v>0.748</v>
      </c>
      <c r="F47" s="1420"/>
      <c r="G47" s="2182">
        <v>0.14599999999999999</v>
      </c>
      <c r="H47" s="1420"/>
      <c r="I47" s="2182">
        <v>0</v>
      </c>
      <c r="J47" s="1428"/>
      <c r="K47" s="2852">
        <f t="shared" si="2"/>
        <v>5.7309999999999999</v>
      </c>
      <c r="L47" s="1157"/>
      <c r="M47" s="1437"/>
      <c r="N47" s="1437"/>
    </row>
    <row r="48" spans="1:14">
      <c r="A48" s="1438" t="s">
        <v>278</v>
      </c>
      <c r="B48" s="1428"/>
      <c r="C48" s="2645">
        <v>0.51900000000000002</v>
      </c>
      <c r="D48"/>
      <c r="E48" s="2182">
        <v>3.0000000000000001E-3</v>
      </c>
      <c r="F48" s="1420"/>
      <c r="G48" s="2182">
        <v>2E-3</v>
      </c>
      <c r="H48" s="1420"/>
      <c r="I48" s="2182">
        <v>0</v>
      </c>
      <c r="J48" s="1428"/>
      <c r="K48" s="1157">
        <f t="shared" si="2"/>
        <v>0.52</v>
      </c>
      <c r="L48" s="1157"/>
      <c r="M48" s="1437"/>
      <c r="N48" s="1437"/>
    </row>
    <row r="49" spans="1:14">
      <c r="A49" s="1428" t="s">
        <v>279</v>
      </c>
      <c r="B49" s="1428"/>
      <c r="C49" s="2645">
        <v>175.839</v>
      </c>
      <c r="D49"/>
      <c r="E49" s="2182">
        <v>135.767</v>
      </c>
      <c r="F49" s="1420"/>
      <c r="G49" s="2182">
        <v>0.10299999999999999</v>
      </c>
      <c r="H49" s="1420"/>
      <c r="I49" s="2182">
        <v>5.6000000000000001E-2</v>
      </c>
      <c r="J49" s="1428"/>
      <c r="K49" s="2852">
        <f t="shared" si="2"/>
        <v>311.55900000000003</v>
      </c>
      <c r="L49" s="1157"/>
      <c r="M49" s="1437"/>
      <c r="N49" s="1437"/>
    </row>
    <row r="50" spans="1:14">
      <c r="A50" s="1428" t="s">
        <v>280</v>
      </c>
      <c r="B50" s="1428"/>
      <c r="C50" s="2645">
        <v>-18.709</v>
      </c>
      <c r="D50"/>
      <c r="E50" s="2182">
        <v>2.2360000000000002</v>
      </c>
      <c r="F50" s="1420"/>
      <c r="G50" s="2182">
        <v>1.956</v>
      </c>
      <c r="H50" s="1420"/>
      <c r="I50" s="2182">
        <v>0</v>
      </c>
      <c r="J50" s="1428"/>
      <c r="K50" s="2852">
        <f t="shared" si="2"/>
        <v>-18.428999999999998</v>
      </c>
      <c r="L50" s="1157"/>
      <c r="M50" s="1437"/>
      <c r="N50" s="1437"/>
    </row>
    <row r="51" spans="1:14">
      <c r="A51" s="1428" t="s">
        <v>281</v>
      </c>
      <c r="B51" s="1428"/>
      <c r="C51" s="2645">
        <v>6.7000000000000004E-2</v>
      </c>
      <c r="D51"/>
      <c r="E51" s="2182">
        <v>0</v>
      </c>
      <c r="F51" s="1420"/>
      <c r="G51" s="2182">
        <v>0</v>
      </c>
      <c r="H51" s="1420"/>
      <c r="I51" s="2182">
        <v>0</v>
      </c>
      <c r="J51" s="1428"/>
      <c r="K51" s="2852">
        <f>ROUND(SUM(C51)+SUM(E51)-SUM(G51)+SUM(I51),3)</f>
        <v>6.7000000000000004E-2</v>
      </c>
      <c r="L51" s="1157"/>
      <c r="M51" s="1437"/>
      <c r="N51" s="1437"/>
    </row>
    <row r="52" spans="1:14">
      <c r="A52" s="1428" t="s">
        <v>1135</v>
      </c>
      <c r="B52" s="1428"/>
      <c r="C52" s="2645">
        <v>10.898</v>
      </c>
      <c r="D52"/>
      <c r="E52" s="2182">
        <v>9.9000000000000005E-2</v>
      </c>
      <c r="F52" s="1420"/>
      <c r="G52" s="2182">
        <v>0.13</v>
      </c>
      <c r="H52" s="1420"/>
      <c r="I52" s="2182">
        <v>0</v>
      </c>
      <c r="J52" s="1428"/>
      <c r="K52" s="1157">
        <f t="shared" si="2"/>
        <v>10.867000000000001</v>
      </c>
      <c r="L52" s="1157"/>
      <c r="M52" s="1437"/>
      <c r="N52" s="1437"/>
    </row>
    <row r="53" spans="1:14">
      <c r="A53" s="1428" t="s">
        <v>282</v>
      </c>
      <c r="B53" s="1428"/>
      <c r="C53" s="2629">
        <v>0</v>
      </c>
      <c r="D53"/>
      <c r="E53" s="2182">
        <v>0</v>
      </c>
      <c r="F53" s="1420"/>
      <c r="G53" s="2182">
        <v>0</v>
      </c>
      <c r="H53" s="1420"/>
      <c r="I53" s="2182">
        <v>0</v>
      </c>
      <c r="J53" s="1428"/>
      <c r="K53" s="1157">
        <f t="shared" si="2"/>
        <v>0</v>
      </c>
      <c r="L53" s="1435"/>
      <c r="M53" s="1437"/>
      <c r="N53" s="1437"/>
    </row>
    <row r="54" spans="1:14">
      <c r="A54" s="1438" t="s">
        <v>283</v>
      </c>
      <c r="B54" s="1428"/>
      <c r="C54" s="2646">
        <v>0.45600000000000002</v>
      </c>
      <c r="D54"/>
      <c r="E54" s="2182">
        <v>0</v>
      </c>
      <c r="F54" s="1420"/>
      <c r="G54" s="2182">
        <v>0</v>
      </c>
      <c r="H54" s="1420"/>
      <c r="I54" s="2182">
        <v>0</v>
      </c>
      <c r="J54" s="1428"/>
      <c r="K54" s="1157">
        <f t="shared" si="2"/>
        <v>0.45600000000000002</v>
      </c>
      <c r="L54" s="1157"/>
      <c r="M54" s="1437"/>
      <c r="N54" s="1437"/>
    </row>
    <row r="55" spans="1:14">
      <c r="A55" s="1438" t="s">
        <v>284</v>
      </c>
      <c r="B55" s="1428"/>
      <c r="C55" s="2629">
        <v>0</v>
      </c>
      <c r="D55"/>
      <c r="E55" s="2182">
        <v>0</v>
      </c>
      <c r="F55" s="1420"/>
      <c r="G55" s="2182">
        <v>0</v>
      </c>
      <c r="H55" s="1420"/>
      <c r="I55" s="2182">
        <v>0</v>
      </c>
      <c r="J55" s="1428"/>
      <c r="K55" s="1157">
        <f t="shared" si="2"/>
        <v>0</v>
      </c>
      <c r="L55" s="1157"/>
      <c r="M55" s="1437"/>
      <c r="N55" s="1437"/>
    </row>
    <row r="56" spans="1:14">
      <c r="A56" s="1438" t="s">
        <v>285</v>
      </c>
      <c r="B56" s="1428"/>
      <c r="C56" s="2694">
        <v>1E-3</v>
      </c>
      <c r="D56"/>
      <c r="E56" s="2182">
        <v>0</v>
      </c>
      <c r="F56" s="1420"/>
      <c r="G56" s="2182">
        <v>0</v>
      </c>
      <c r="H56" s="1420"/>
      <c r="I56" s="2182">
        <v>0</v>
      </c>
      <c r="J56" s="1428"/>
      <c r="K56" s="1157">
        <f t="shared" si="2"/>
        <v>1E-3</v>
      </c>
      <c r="L56" s="1157"/>
      <c r="M56" s="1437"/>
      <c r="N56" s="1437"/>
    </row>
    <row r="57" spans="1:14">
      <c r="A57" s="1438" t="s">
        <v>286</v>
      </c>
      <c r="B57" s="1428"/>
      <c r="C57" s="2646">
        <v>0.82899999999999996</v>
      </c>
      <c r="D57"/>
      <c r="E57" s="2182">
        <v>2E-3</v>
      </c>
      <c r="F57" s="1420"/>
      <c r="G57" s="2182">
        <v>0</v>
      </c>
      <c r="H57" s="1420"/>
      <c r="I57" s="2182">
        <v>0</v>
      </c>
      <c r="J57" s="1428"/>
      <c r="K57" s="1157">
        <f t="shared" si="2"/>
        <v>0.83099999999999996</v>
      </c>
      <c r="L57" s="1157"/>
      <c r="M57" s="1437"/>
      <c r="N57" s="1437"/>
    </row>
    <row r="58" spans="1:14">
      <c r="A58" s="1438" t="s">
        <v>287</v>
      </c>
      <c r="B58" s="1428"/>
      <c r="C58" s="2645">
        <v>966.38199999999995</v>
      </c>
      <c r="D58"/>
      <c r="E58" s="2182">
        <v>223.57499999999999</v>
      </c>
      <c r="F58" s="1420"/>
      <c r="G58" s="2182">
        <v>643.53700000000003</v>
      </c>
      <c r="H58" s="1420"/>
      <c r="I58" s="2182">
        <v>292.79199999999997</v>
      </c>
      <c r="J58" s="1428"/>
      <c r="K58" s="1157">
        <f t="shared" si="2"/>
        <v>839.21199999999999</v>
      </c>
      <c r="L58" s="1157"/>
      <c r="M58" s="1446"/>
      <c r="N58" s="1437"/>
    </row>
    <row r="59" spans="1:14">
      <c r="A59" s="795"/>
      <c r="B59" s="796"/>
      <c r="C59" s="2647"/>
      <c r="D59" s="796"/>
      <c r="E59" s="2186"/>
      <c r="F59" s="2186"/>
      <c r="G59" s="2186"/>
      <c r="H59" s="2186"/>
      <c r="I59" s="2186"/>
      <c r="J59" s="796"/>
      <c r="K59" s="1524"/>
      <c r="L59" s="813"/>
      <c r="M59" s="1437"/>
      <c r="N59" s="1437"/>
    </row>
    <row r="60" spans="1:14">
      <c r="A60" s="795"/>
      <c r="B60" s="796"/>
      <c r="C60" s="2647"/>
      <c r="D60" s="796"/>
      <c r="E60" s="2186"/>
      <c r="F60" s="2186"/>
      <c r="G60" s="2186"/>
      <c r="H60" s="2186"/>
      <c r="I60" s="2186"/>
      <c r="J60" s="796"/>
      <c r="K60" s="1524"/>
      <c r="L60" s="796"/>
    </row>
    <row r="61" spans="1:14">
      <c r="A61" s="807" t="s">
        <v>1053</v>
      </c>
      <c r="B61" s="1428"/>
      <c r="C61" s="2648"/>
      <c r="E61" s="1828"/>
      <c r="F61" s="1828"/>
      <c r="G61" s="1828"/>
      <c r="H61" s="1828"/>
      <c r="I61" s="1828"/>
      <c r="K61" s="1451"/>
      <c r="L61" s="1436"/>
      <c r="M61" s="1437"/>
      <c r="N61" s="1437"/>
    </row>
    <row r="62" spans="1:14">
      <c r="A62" s="1428" t="s">
        <v>288</v>
      </c>
      <c r="B62" s="1428"/>
      <c r="C62" s="2645">
        <v>3.4580000000000002</v>
      </c>
      <c r="D62"/>
      <c r="E62" s="2182">
        <v>5.0000000000000001E-3</v>
      </c>
      <c r="F62" s="1420"/>
      <c r="G62" s="2182">
        <v>1.1399999999999999</v>
      </c>
      <c r="H62" s="1420"/>
      <c r="I62" s="2182">
        <v>60.436999999999998</v>
      </c>
      <c r="J62" s="1428"/>
      <c r="K62" s="1157">
        <f>ROUND(SUM(C62)+SUM(E62)-SUM(G62)+SUM(I62),3)</f>
        <v>62.76</v>
      </c>
      <c r="L62" s="1436"/>
      <c r="M62" s="1437"/>
      <c r="N62" s="1437"/>
    </row>
    <row r="63" spans="1:14">
      <c r="A63" s="1428" t="s">
        <v>289</v>
      </c>
      <c r="B63" s="1430"/>
      <c r="C63" s="2694">
        <v>4.9000000000000002E-2</v>
      </c>
      <c r="D63"/>
      <c r="E63" s="2182">
        <v>0</v>
      </c>
      <c r="F63" s="1420"/>
      <c r="G63" s="2182">
        <v>0</v>
      </c>
      <c r="H63" s="1420"/>
      <c r="I63" s="2182">
        <v>0</v>
      </c>
      <c r="J63" s="1430"/>
      <c r="K63" s="1157">
        <f>ROUND(SUM(C63)+SUM(E63)-SUM(G63)+SUM(I63),3)</f>
        <v>4.9000000000000002E-2</v>
      </c>
      <c r="L63" s="1436"/>
      <c r="M63" s="1437"/>
      <c r="N63" s="1437"/>
    </row>
    <row r="64" spans="1:14">
      <c r="A64" s="1432" t="s">
        <v>290</v>
      </c>
      <c r="B64" s="1428"/>
      <c r="C64" s="2645">
        <v>1063.55</v>
      </c>
      <c r="D64"/>
      <c r="E64" s="2182">
        <v>282.858</v>
      </c>
      <c r="F64" s="1420"/>
      <c r="G64" s="2183">
        <v>437.87099999999998</v>
      </c>
      <c r="H64" s="1420"/>
      <c r="I64" s="2182">
        <v>232.34399999999999</v>
      </c>
      <c r="J64" s="1428"/>
      <c r="K64" s="1157">
        <f>ROUND(SUM(C64)+SUM(E64)-SUM(G64)+SUM(I64),3)</f>
        <v>1140.8810000000001</v>
      </c>
      <c r="L64" s="1436"/>
      <c r="M64" s="1437"/>
      <c r="N64" s="1437"/>
    </row>
    <row r="65" spans="1:14">
      <c r="A65" s="1438" t="s">
        <v>291</v>
      </c>
      <c r="B65" s="1428"/>
      <c r="C65" s="2645">
        <v>35.238</v>
      </c>
      <c r="D65"/>
      <c r="E65" s="2182">
        <v>0.49199999999999999</v>
      </c>
      <c r="F65" s="1420"/>
      <c r="G65" s="2182">
        <v>0.16400000000000001</v>
      </c>
      <c r="H65" s="1420"/>
      <c r="I65" s="2182">
        <v>0</v>
      </c>
      <c r="J65" s="1428"/>
      <c r="K65" s="1157">
        <f>ROUND(SUM(C65)+SUM(E65)-SUM(G65)+SUM(I65),3)</f>
        <v>35.566000000000003</v>
      </c>
      <c r="L65" s="1436"/>
      <c r="M65" s="1437"/>
      <c r="N65" s="1437"/>
    </row>
    <row r="66" spans="1:14">
      <c r="A66" s="1428" t="s">
        <v>292</v>
      </c>
      <c r="B66" s="1428"/>
      <c r="C66" s="2645">
        <v>0.30299999999999999</v>
      </c>
      <c r="D66"/>
      <c r="E66" s="2182">
        <v>0</v>
      </c>
      <c r="F66" s="1420"/>
      <c r="G66" s="2182">
        <v>0.06</v>
      </c>
      <c r="H66" s="1420"/>
      <c r="I66" s="2182">
        <v>0</v>
      </c>
      <c r="J66" s="1428"/>
      <c r="K66" s="1157">
        <f>ROUND(SUM(C66)+SUM(E66)-SUM(G66)+SUM(I66),3)</f>
        <v>0.24299999999999999</v>
      </c>
      <c r="L66" s="1436"/>
      <c r="M66" s="1437"/>
      <c r="N66" s="1437"/>
    </row>
    <row r="67" spans="1:14">
      <c r="A67" s="1428" t="s">
        <v>293</v>
      </c>
      <c r="B67" s="1428"/>
      <c r="C67" s="2694" t="s">
        <v>16</v>
      </c>
      <c r="D67"/>
      <c r="E67" s="2183"/>
      <c r="F67" s="1420"/>
      <c r="G67" s="2183"/>
      <c r="H67" s="1420"/>
      <c r="I67" s="2182"/>
      <c r="J67" s="1428"/>
      <c r="K67" s="1157" t="s">
        <v>16</v>
      </c>
      <c r="L67" s="1436"/>
      <c r="M67" s="1437"/>
      <c r="N67" s="1437"/>
    </row>
    <row r="68" spans="1:14">
      <c r="A68" s="1428" t="s">
        <v>294</v>
      </c>
      <c r="B68" s="1428"/>
      <c r="C68" s="2645">
        <v>28.04</v>
      </c>
      <c r="D68"/>
      <c r="E68" s="2182">
        <v>6.5629999999999997</v>
      </c>
      <c r="F68" s="1420"/>
      <c r="G68" s="2182">
        <v>0.53600000000000003</v>
      </c>
      <c r="H68" s="1420"/>
      <c r="I68" s="2182">
        <v>0</v>
      </c>
      <c r="J68" s="1428"/>
      <c r="K68" s="1157">
        <f>ROUND(SUM(C68)+SUM(E68)-SUM(G68)+SUM(I68),3)</f>
        <v>34.067</v>
      </c>
      <c r="L68" s="1436"/>
      <c r="M68" s="1437"/>
      <c r="N68" s="1437"/>
    </row>
    <row r="69" spans="1:14">
      <c r="A69" s="1428" t="s">
        <v>295</v>
      </c>
      <c r="B69" s="799"/>
      <c r="C69" s="2645">
        <v>0.222</v>
      </c>
      <c r="D69"/>
      <c r="E69" s="2182">
        <v>0</v>
      </c>
      <c r="F69" s="1420"/>
      <c r="G69" s="2182">
        <v>0</v>
      </c>
      <c r="H69" s="1420"/>
      <c r="I69" s="2182">
        <v>0</v>
      </c>
      <c r="J69" s="813"/>
      <c r="K69" s="1157">
        <f t="shared" ref="K69:K84" si="3">ROUND(SUM(C69)+SUM(E69)-SUM(G69)+SUM(I69),3)</f>
        <v>0.222</v>
      </c>
      <c r="L69" s="1436"/>
      <c r="M69" s="1437"/>
      <c r="N69" s="1437"/>
    </row>
    <row r="70" spans="1:14">
      <c r="A70" s="1428" t="s">
        <v>296</v>
      </c>
      <c r="B70" s="1428"/>
      <c r="C70" s="2694">
        <v>2.3E-2</v>
      </c>
      <c r="D70"/>
      <c r="E70" s="2182">
        <v>0</v>
      </c>
      <c r="F70" s="1420"/>
      <c r="G70" s="2182">
        <v>0</v>
      </c>
      <c r="H70" s="1420"/>
      <c r="I70" s="2182">
        <v>0</v>
      </c>
      <c r="J70" s="1428"/>
      <c r="K70" s="1157">
        <f t="shared" si="3"/>
        <v>2.3E-2</v>
      </c>
      <c r="L70" s="1436"/>
      <c r="M70" s="1437"/>
      <c r="N70" s="1437"/>
    </row>
    <row r="71" spans="1:14">
      <c r="A71" s="1438" t="s">
        <v>297</v>
      </c>
      <c r="B71" s="1428"/>
      <c r="C71" s="2646">
        <v>10.352</v>
      </c>
      <c r="D71"/>
      <c r="E71" s="2182">
        <v>8.0000000000000002E-3</v>
      </c>
      <c r="F71" s="1420"/>
      <c r="G71" s="2182">
        <v>0</v>
      </c>
      <c r="H71" s="1420"/>
      <c r="I71" s="2182">
        <v>0</v>
      </c>
      <c r="J71" s="1428"/>
      <c r="K71" s="1157">
        <f t="shared" si="3"/>
        <v>10.36</v>
      </c>
      <c r="L71" s="1436"/>
      <c r="M71" s="1437"/>
      <c r="N71" s="1437"/>
    </row>
    <row r="72" spans="1:14">
      <c r="A72" s="1428" t="s">
        <v>298</v>
      </c>
      <c r="B72" s="1428"/>
      <c r="C72" s="2645">
        <v>-7.7149999999999999</v>
      </c>
      <c r="D72"/>
      <c r="E72" s="2182">
        <v>8.2000000000000003E-2</v>
      </c>
      <c r="F72" s="1420"/>
      <c r="G72" s="2182">
        <v>0.39</v>
      </c>
      <c r="H72" s="1420"/>
      <c r="I72" s="2182">
        <v>0</v>
      </c>
      <c r="J72" s="1428"/>
      <c r="K72" s="1157">
        <f t="shared" si="3"/>
        <v>-8.0229999999999997</v>
      </c>
      <c r="L72" s="1436"/>
      <c r="M72" s="1437"/>
      <c r="N72" s="1437"/>
    </row>
    <row r="73" spans="1:14">
      <c r="A73" s="1428" t="s">
        <v>299</v>
      </c>
      <c r="B73" s="1428"/>
      <c r="C73" s="2645">
        <v>0.13600000000000001</v>
      </c>
      <c r="D73"/>
      <c r="E73" s="2182">
        <v>2E-3</v>
      </c>
      <c r="F73" s="1420"/>
      <c r="G73" s="2182">
        <v>0</v>
      </c>
      <c r="H73" s="1420"/>
      <c r="I73" s="2182">
        <v>0</v>
      </c>
      <c r="J73" s="1428"/>
      <c r="K73" s="1157">
        <f t="shared" si="3"/>
        <v>0.13800000000000001</v>
      </c>
      <c r="L73" s="1436"/>
      <c r="M73" s="1437"/>
      <c r="N73" s="1437"/>
    </row>
    <row r="74" spans="1:14">
      <c r="A74" s="1428" t="s">
        <v>300</v>
      </c>
      <c r="B74" s="1428"/>
      <c r="C74" s="2694"/>
      <c r="D74"/>
      <c r="E74" s="2183"/>
      <c r="F74" s="1420"/>
      <c r="G74" s="2183"/>
      <c r="H74" s="1420"/>
      <c r="I74" s="2183"/>
      <c r="J74" s="1428"/>
      <c r="K74" s="1157"/>
      <c r="L74" s="1436"/>
      <c r="M74" s="1437"/>
      <c r="N74" s="1437"/>
    </row>
    <row r="75" spans="1:14">
      <c r="A75" s="1428" t="s">
        <v>301</v>
      </c>
      <c r="B75" s="1428"/>
      <c r="C75" s="2645">
        <v>-5.4139999999999997</v>
      </c>
      <c r="D75"/>
      <c r="E75" s="2182">
        <v>0</v>
      </c>
      <c r="F75" s="1420"/>
      <c r="G75" s="2182">
        <v>0.32200000000000001</v>
      </c>
      <c r="H75" s="1420"/>
      <c r="I75" s="2182">
        <v>0</v>
      </c>
      <c r="J75" s="1428"/>
      <c r="K75" s="1157">
        <f t="shared" si="3"/>
        <v>-5.7359999999999998</v>
      </c>
      <c r="L75" s="1436"/>
      <c r="M75" s="1437"/>
      <c r="N75" s="1437"/>
    </row>
    <row r="76" spans="1:14">
      <c r="A76" s="1428" t="s">
        <v>302</v>
      </c>
      <c r="B76" s="1428"/>
      <c r="C76" s="2645">
        <v>-52.737000000000002</v>
      </c>
      <c r="D76"/>
      <c r="E76" s="2182">
        <v>27.701000000000001</v>
      </c>
      <c r="F76" s="1420"/>
      <c r="G76" s="2182">
        <v>5.6840000000000002</v>
      </c>
      <c r="H76" s="1420"/>
      <c r="I76" s="2182">
        <v>4.3769999999999998</v>
      </c>
      <c r="J76" s="1428"/>
      <c r="K76" s="1157">
        <f t="shared" si="3"/>
        <v>-26.343</v>
      </c>
      <c r="L76" s="1157"/>
      <c r="M76" s="1437"/>
      <c r="N76" s="1437"/>
    </row>
    <row r="77" spans="1:14">
      <c r="A77" s="1428" t="s">
        <v>303</v>
      </c>
      <c r="B77" s="1428"/>
      <c r="C77" s="2645">
        <v>2.7549999999999999</v>
      </c>
      <c r="D77"/>
      <c r="E77" s="2182">
        <v>2.8679999999999999</v>
      </c>
      <c r="F77" s="1420"/>
      <c r="G77" s="2182">
        <v>5.0410000000000004</v>
      </c>
      <c r="H77" s="1420"/>
      <c r="I77" s="2182">
        <v>0</v>
      </c>
      <c r="J77" s="1428"/>
      <c r="K77" s="1157">
        <f t="shared" si="3"/>
        <v>0.58199999999999996</v>
      </c>
      <c r="L77" s="1436"/>
      <c r="M77" s="1437"/>
      <c r="N77" s="1437"/>
    </row>
    <row r="78" spans="1:14">
      <c r="A78" s="1428" t="s">
        <v>1087</v>
      </c>
      <c r="B78" s="1428"/>
      <c r="C78" s="2645">
        <v>170.94200000000001</v>
      </c>
      <c r="D78"/>
      <c r="E78" s="2182">
        <v>1.679</v>
      </c>
      <c r="F78" s="1420"/>
      <c r="G78" s="2182">
        <v>6.8040000000000003</v>
      </c>
      <c r="H78" s="1420"/>
      <c r="I78" s="2182">
        <v>0</v>
      </c>
      <c r="J78" s="1428"/>
      <c r="K78" s="1157">
        <f t="shared" si="3"/>
        <v>165.81700000000001</v>
      </c>
      <c r="L78" s="1436"/>
      <c r="M78" s="1437"/>
      <c r="N78" s="1437"/>
    </row>
    <row r="79" spans="1:14">
      <c r="A79" s="1428" t="s">
        <v>304</v>
      </c>
      <c r="B79" s="1428"/>
      <c r="C79" s="2645">
        <v>5.6000000000000001E-2</v>
      </c>
      <c r="D79"/>
      <c r="E79" s="2182">
        <v>8.9999999999999993E-3</v>
      </c>
      <c r="F79" s="1420"/>
      <c r="G79" s="2182">
        <v>0</v>
      </c>
      <c r="H79" s="1420"/>
      <c r="I79" s="2182">
        <v>0</v>
      </c>
      <c r="J79" s="1428"/>
      <c r="K79" s="1157">
        <f t="shared" si="3"/>
        <v>6.5000000000000002E-2</v>
      </c>
      <c r="L79" s="1157"/>
      <c r="M79" s="1437"/>
      <c r="N79" s="1437"/>
    </row>
    <row r="80" spans="1:14">
      <c r="A80" s="1438" t="s">
        <v>305</v>
      </c>
      <c r="B80" s="1428"/>
      <c r="C80" s="2645">
        <v>157.184</v>
      </c>
      <c r="D80"/>
      <c r="E80" s="2182">
        <v>6.5069999999999997</v>
      </c>
      <c r="F80" s="1420"/>
      <c r="G80" s="2182">
        <v>10.558999999999999</v>
      </c>
      <c r="H80" s="1420"/>
      <c r="I80" s="2182">
        <v>0</v>
      </c>
      <c r="J80" s="1428"/>
      <c r="K80" s="1157">
        <f t="shared" si="3"/>
        <v>153.13200000000001</v>
      </c>
      <c r="L80" s="1436"/>
      <c r="M80" s="1437"/>
      <c r="N80" s="1437"/>
    </row>
    <row r="81" spans="1:15">
      <c r="A81" s="1428" t="s">
        <v>306</v>
      </c>
      <c r="B81" s="1428"/>
      <c r="C81" s="2645">
        <v>19.463000000000001</v>
      </c>
      <c r="D81"/>
      <c r="E81" s="2182">
        <v>7.0000000000000001E-3</v>
      </c>
      <c r="F81" s="1420"/>
      <c r="G81" s="2182">
        <v>0.20100000000000001</v>
      </c>
      <c r="H81" s="1420"/>
      <c r="I81" s="2182">
        <v>0</v>
      </c>
      <c r="J81" s="1428"/>
      <c r="K81" s="1157">
        <f t="shared" si="3"/>
        <v>19.268999999999998</v>
      </c>
      <c r="L81" s="1436"/>
      <c r="M81" s="1437"/>
      <c r="N81" s="1437"/>
    </row>
    <row r="82" spans="1:15">
      <c r="A82" s="1438" t="s">
        <v>307</v>
      </c>
      <c r="B82" s="1428"/>
      <c r="C82" s="2645">
        <v>115.086</v>
      </c>
      <c r="D82" s="1183"/>
      <c r="E82" s="2182">
        <v>150.26900000000001</v>
      </c>
      <c r="F82" s="1420"/>
      <c r="G82" s="2182">
        <v>134.941</v>
      </c>
      <c r="H82" s="1420">
        <v>1.589</v>
      </c>
      <c r="I82" s="2182">
        <v>2.1930000000000001</v>
      </c>
      <c r="J82" s="1428"/>
      <c r="K82" s="1157">
        <f t="shared" si="3"/>
        <v>132.607</v>
      </c>
      <c r="L82" s="1157"/>
      <c r="M82" s="1437"/>
      <c r="N82" s="1437"/>
    </row>
    <row r="83" spans="1:15">
      <c r="A83" s="1438" t="s">
        <v>1380</v>
      </c>
      <c r="B83" s="1428"/>
      <c r="C83" s="2645">
        <v>136.28</v>
      </c>
      <c r="D83"/>
      <c r="E83" s="2182">
        <v>0</v>
      </c>
      <c r="F83" s="1420"/>
      <c r="G83" s="2182">
        <v>0.05</v>
      </c>
      <c r="H83" s="1420"/>
      <c r="I83" s="2182">
        <v>0</v>
      </c>
      <c r="J83" s="1428"/>
      <c r="K83" s="1157">
        <f t="shared" si="3"/>
        <v>136.22999999999999</v>
      </c>
      <c r="L83" s="1157"/>
      <c r="M83" s="1437"/>
      <c r="N83" s="1437"/>
    </row>
    <row r="84" spans="1:15">
      <c r="A84" s="1438" t="s">
        <v>1386</v>
      </c>
      <c r="B84" s="1428"/>
      <c r="C84" s="2645">
        <v>2.7080000000000002</v>
      </c>
      <c r="D84"/>
      <c r="E84" s="2182">
        <v>1.9E-2</v>
      </c>
      <c r="F84" s="1420"/>
      <c r="G84" s="2182">
        <v>0.21099999999999999</v>
      </c>
      <c r="H84" s="1420"/>
      <c r="I84" s="2182">
        <v>0</v>
      </c>
      <c r="J84" s="1428"/>
      <c r="K84" s="1157">
        <f t="shared" si="3"/>
        <v>2.516</v>
      </c>
      <c r="L84" s="1157"/>
      <c r="M84" s="1437"/>
      <c r="N84" s="1437"/>
    </row>
    <row r="85" spans="1:15">
      <c r="A85" s="1420" t="s">
        <v>1020</v>
      </c>
      <c r="B85" s="1428"/>
      <c r="C85" s="2645">
        <v>174.767</v>
      </c>
      <c r="D85"/>
      <c r="E85" s="2182">
        <v>43.338999999999999</v>
      </c>
      <c r="F85" s="1420"/>
      <c r="G85" s="2182">
        <v>0</v>
      </c>
      <c r="H85" s="1420"/>
      <c r="I85" s="2182">
        <v>-20.082000000000001</v>
      </c>
      <c r="J85" s="1428"/>
      <c r="K85" s="1157">
        <f>ROUND(SUM(C85)+SUM(E85)-SUM(G85)+SUM(I85),3)</f>
        <v>198.024</v>
      </c>
      <c r="L85" s="1157"/>
      <c r="M85" s="1437"/>
      <c r="N85" s="1437"/>
    </row>
    <row r="86" spans="1:15">
      <c r="A86" s="800" t="s">
        <v>308</v>
      </c>
      <c r="B86" s="1428"/>
      <c r="C86" s="818">
        <f>ROUND(SUM(C27:C85),3)</f>
        <v>3547.3539999999998</v>
      </c>
      <c r="D86" s="795"/>
      <c r="E86" s="818">
        <f>ROUND(SUM(E27:E85),3)</f>
        <v>1669.6659999999999</v>
      </c>
      <c r="F86" s="816"/>
      <c r="G86" s="818">
        <f>ROUND(SUM(G27:G85),3)</f>
        <v>1645.182</v>
      </c>
      <c r="H86" s="795"/>
      <c r="I86" s="818">
        <f>ROUND(SUM(I27:I85),3)</f>
        <v>555.64</v>
      </c>
      <c r="J86" s="795"/>
      <c r="K86" s="824">
        <f>ROUND(SUM(K27:K85),3)</f>
        <v>4127.4780000000001</v>
      </c>
      <c r="L86" s="801"/>
      <c r="M86" s="821"/>
      <c r="N86" s="1437"/>
      <c r="O86" s="1447"/>
    </row>
    <row r="87" spans="1:15" ht="11.25" customHeight="1">
      <c r="A87" s="1428"/>
      <c r="B87" s="1428"/>
      <c r="C87" s="1429"/>
      <c r="D87" s="1428"/>
      <c r="E87" s="1441"/>
      <c r="F87" s="1428"/>
      <c r="G87" s="1429"/>
      <c r="H87" s="1428"/>
      <c r="I87" s="1429"/>
      <c r="J87" s="1428"/>
      <c r="K87" s="1441"/>
      <c r="L87" s="1429"/>
      <c r="M87" s="1437"/>
      <c r="N87" s="1437"/>
    </row>
    <row r="88" spans="1:15">
      <c r="A88" s="807" t="s">
        <v>309</v>
      </c>
      <c r="B88" s="1428"/>
      <c r="C88" s="1428"/>
      <c r="D88" s="1428"/>
      <c r="E88" s="1432"/>
      <c r="F88" s="1428"/>
      <c r="G88" s="1432"/>
      <c r="H88" s="1428"/>
      <c r="I88" s="1432"/>
      <c r="J88" s="1428"/>
      <c r="K88" s="1432"/>
      <c r="L88" s="1428"/>
      <c r="M88" s="1437"/>
      <c r="N88" s="1437"/>
    </row>
    <row r="89" spans="1:15">
      <c r="A89" s="1428" t="s">
        <v>1088</v>
      </c>
      <c r="B89" s="1428"/>
      <c r="C89" s="1436">
        <v>15.124000000000001</v>
      </c>
      <c r="D89" s="1428"/>
      <c r="E89" s="2182">
        <v>118.905</v>
      </c>
      <c r="F89" s="1420"/>
      <c r="G89" s="2182">
        <v>193.791</v>
      </c>
      <c r="H89" s="1420"/>
      <c r="I89" s="2182">
        <v>-0.13300000000000001</v>
      </c>
      <c r="J89" s="1428"/>
      <c r="K89" s="1157">
        <f>ROUND(SUM(C89)+SUM(E89)-SUM(G89)+SUM(I89),3)</f>
        <v>-59.895000000000003</v>
      </c>
      <c r="L89" s="1436"/>
      <c r="M89" s="1437"/>
      <c r="N89" s="1437"/>
    </row>
    <row r="90" spans="1:15">
      <c r="A90" s="1428" t="s">
        <v>310</v>
      </c>
      <c r="B90" s="1428"/>
      <c r="C90" s="1436">
        <v>313.55900000000003</v>
      </c>
      <c r="D90" s="1428"/>
      <c r="E90" s="2182">
        <v>2633.7930000000001</v>
      </c>
      <c r="F90" s="1420"/>
      <c r="G90" s="2182">
        <v>2854.1289999999999</v>
      </c>
      <c r="H90" s="1420"/>
      <c r="I90" s="2182">
        <v>-99.358999999999995</v>
      </c>
      <c r="J90" s="1428"/>
      <c r="K90" s="1157">
        <f t="shared" ref="K90:K95" si="4">ROUND(SUM(C90)+SUM(E90)-SUM(G90)+SUM(I90),3)</f>
        <v>-6.1360000000000001</v>
      </c>
      <c r="L90" s="1436"/>
      <c r="M90" s="1437"/>
      <c r="N90" s="1437"/>
    </row>
    <row r="91" spans="1:15">
      <c r="A91" s="1428" t="s">
        <v>311</v>
      </c>
      <c r="B91" s="813"/>
      <c r="C91" s="1436">
        <v>-6.1050000000000004</v>
      </c>
      <c r="D91" s="1428"/>
      <c r="E91" s="2182">
        <v>160.68</v>
      </c>
      <c r="F91" s="1420"/>
      <c r="G91" s="2182">
        <v>196.28899999999999</v>
      </c>
      <c r="H91" s="1420"/>
      <c r="I91" s="2182">
        <v>0</v>
      </c>
      <c r="J91" s="1428"/>
      <c r="K91" s="1157">
        <f t="shared" si="4"/>
        <v>-41.713999999999999</v>
      </c>
      <c r="L91" s="1157"/>
      <c r="M91" s="1437"/>
      <c r="N91" s="1437"/>
    </row>
    <row r="92" spans="1:15">
      <c r="A92" s="1428" t="s">
        <v>312</v>
      </c>
      <c r="B92" s="1428"/>
      <c r="C92" s="1436">
        <v>-329.58199999999999</v>
      </c>
      <c r="D92" s="1428"/>
      <c r="E92" s="2182">
        <v>202.762</v>
      </c>
      <c r="F92" s="1420"/>
      <c r="G92" s="2182">
        <v>94.872</v>
      </c>
      <c r="H92" s="1420"/>
      <c r="I92" s="2182">
        <v>0</v>
      </c>
      <c r="J92" s="1428"/>
      <c r="K92" s="1157">
        <f t="shared" si="4"/>
        <v>-221.69200000000001</v>
      </c>
      <c r="L92" s="1436"/>
      <c r="M92" s="1437"/>
      <c r="N92" s="1437"/>
    </row>
    <row r="93" spans="1:15">
      <c r="A93" s="1428" t="s">
        <v>313</v>
      </c>
      <c r="B93" s="1428"/>
      <c r="C93" s="1436">
        <v>68.801000000000002</v>
      </c>
      <c r="D93" s="1428"/>
      <c r="E93" s="2182">
        <v>18.052</v>
      </c>
      <c r="F93" s="1420"/>
      <c r="G93" s="2182">
        <v>14.95</v>
      </c>
      <c r="H93" s="1420"/>
      <c r="I93" s="2182">
        <v>0</v>
      </c>
      <c r="J93" s="1428"/>
      <c r="K93" s="1157">
        <f t="shared" si="4"/>
        <v>71.903000000000006</v>
      </c>
      <c r="L93" s="1157"/>
      <c r="M93" s="1437"/>
      <c r="N93" s="1437"/>
    </row>
    <row r="94" spans="1:15">
      <c r="A94" s="1432" t="s">
        <v>314</v>
      </c>
      <c r="B94" s="1428"/>
      <c r="C94" s="1435">
        <v>1.1879999999999999</v>
      </c>
      <c r="D94" s="1428"/>
      <c r="E94" s="2182">
        <v>0.9</v>
      </c>
      <c r="F94" s="1420"/>
      <c r="G94" s="2182">
        <v>0.61</v>
      </c>
      <c r="H94" s="1420"/>
      <c r="I94" s="2182">
        <v>0</v>
      </c>
      <c r="J94" s="1432"/>
      <c r="K94" s="1157">
        <f t="shared" si="4"/>
        <v>1.478</v>
      </c>
      <c r="L94" s="1436"/>
      <c r="M94" s="1437"/>
      <c r="N94" s="1437"/>
    </row>
    <row r="95" spans="1:15">
      <c r="A95" s="1438" t="s">
        <v>315</v>
      </c>
      <c r="B95" s="1428"/>
      <c r="C95" s="1435">
        <v>-3.2530000000000001</v>
      </c>
      <c r="D95" s="1428"/>
      <c r="E95" s="2182">
        <v>12.664</v>
      </c>
      <c r="F95" s="1420"/>
      <c r="G95" s="2182">
        <v>10.217000000000001</v>
      </c>
      <c r="H95" s="1420"/>
      <c r="I95" s="2182">
        <v>0</v>
      </c>
      <c r="J95" s="1428"/>
      <c r="K95" s="1157">
        <f t="shared" si="4"/>
        <v>-0.80600000000000005</v>
      </c>
      <c r="L95" s="1157"/>
      <c r="M95" s="1437"/>
      <c r="N95" s="1437"/>
    </row>
    <row r="96" spans="1:15">
      <c r="A96" s="800" t="s">
        <v>316</v>
      </c>
      <c r="B96" s="1428"/>
      <c r="C96" s="818">
        <f>ROUND(SUM(C89:C95),3)</f>
        <v>59.731999999999999</v>
      </c>
      <c r="D96" s="795"/>
      <c r="E96" s="824">
        <f>ROUND(SUM(E89:E95),3)</f>
        <v>3147.7559999999999</v>
      </c>
      <c r="F96" s="795"/>
      <c r="G96" s="824">
        <f>ROUND(SUM(G89:G95),3)</f>
        <v>3364.8580000000002</v>
      </c>
      <c r="H96" s="816"/>
      <c r="I96" s="824">
        <f>ROUND(SUM(I89:I95),3)</f>
        <v>-99.492000000000004</v>
      </c>
      <c r="J96" s="795"/>
      <c r="K96" s="818">
        <f>ROUND(SUM(K89:K95),3)</f>
        <v>-256.86200000000002</v>
      </c>
      <c r="L96" s="801"/>
      <c r="M96" s="1437"/>
      <c r="N96" s="1437"/>
    </row>
    <row r="97" spans="1:15" ht="12" customHeight="1">
      <c r="A97" s="795"/>
      <c r="B97" s="1428"/>
      <c r="C97" s="1429"/>
      <c r="D97" s="1428"/>
      <c r="E97" s="1429"/>
      <c r="F97" s="1428"/>
      <c r="G97" s="1429"/>
      <c r="H97" s="1428"/>
      <c r="I97" s="1429"/>
      <c r="J97" s="1428"/>
      <c r="K97" s="1429"/>
      <c r="L97" s="1429"/>
      <c r="M97" s="1437"/>
      <c r="N97" s="1437"/>
    </row>
    <row r="98" spans="1:15">
      <c r="A98" s="819" t="s">
        <v>317</v>
      </c>
      <c r="B98" s="1428"/>
      <c r="C98" s="820">
        <f>C86+C96</f>
        <v>3607.0859999999998</v>
      </c>
      <c r="D98" s="795"/>
      <c r="E98" s="820">
        <f>E86+E96</f>
        <v>4817.4219999999996</v>
      </c>
      <c r="F98" s="795"/>
      <c r="G98" s="820">
        <f>G86+G96</f>
        <v>5010.04</v>
      </c>
      <c r="H98" s="795"/>
      <c r="I98" s="820">
        <f>I86+I96</f>
        <v>456.14799999999997</v>
      </c>
      <c r="J98" s="795"/>
      <c r="K98" s="820">
        <f>K86+K96</f>
        <v>3870.616</v>
      </c>
      <c r="L98" s="801"/>
      <c r="M98" s="821"/>
      <c r="N98" s="821"/>
      <c r="O98" s="1437"/>
    </row>
    <row r="99" spans="1:15" ht="10.5" customHeight="1">
      <c r="A99" s="1448"/>
      <c r="B99" s="1428"/>
      <c r="C99" s="1429"/>
      <c r="D99" s="1428"/>
      <c r="E99" s="1441"/>
      <c r="F99" s="1432"/>
      <c r="G99" s="1441"/>
      <c r="H99" s="1432"/>
      <c r="I99" s="1441"/>
      <c r="J99" s="1432"/>
      <c r="K99" s="1441"/>
      <c r="L99" s="1441"/>
      <c r="M99" s="1437"/>
      <c r="N99" s="1437"/>
    </row>
    <row r="100" spans="1:15">
      <c r="A100" s="807" t="s">
        <v>191</v>
      </c>
      <c r="B100" s="1428"/>
      <c r="C100" s="1428"/>
      <c r="D100" s="1428"/>
      <c r="E100" s="1317"/>
      <c r="F100" s="1317"/>
      <c r="G100" s="1317"/>
      <c r="H100" s="1317"/>
      <c r="I100" s="1317"/>
      <c r="J100" s="813"/>
      <c r="K100" s="1317"/>
      <c r="L100" s="1428"/>
      <c r="M100" s="1437"/>
      <c r="N100" s="1437"/>
    </row>
    <row r="101" spans="1:15">
      <c r="A101" s="1428" t="s">
        <v>318</v>
      </c>
      <c r="B101" s="1428"/>
      <c r="C101" s="1449">
        <v>0</v>
      </c>
      <c r="D101" s="1428"/>
      <c r="E101" s="2187">
        <v>0</v>
      </c>
      <c r="F101" s="1420"/>
      <c r="G101" s="2187">
        <v>0</v>
      </c>
      <c r="H101" s="1420"/>
      <c r="I101" s="2187">
        <v>0</v>
      </c>
      <c r="J101" s="1428"/>
      <c r="K101" s="1435">
        <f>ROUND(SUM(C101)+SUM(E101)+SUM(I101)-SUM(G101),3)</f>
        <v>0</v>
      </c>
      <c r="L101" s="1435"/>
      <c r="M101" s="1437"/>
      <c r="N101" s="1437"/>
    </row>
    <row r="102" spans="1:15">
      <c r="A102" s="1432" t="s">
        <v>319</v>
      </c>
      <c r="B102" s="1432"/>
      <c r="C102" s="1435">
        <v>110.547</v>
      </c>
      <c r="D102" s="1426"/>
      <c r="E102" s="2182">
        <v>22.936</v>
      </c>
      <c r="F102" s="2180"/>
      <c r="G102" s="2182">
        <v>0</v>
      </c>
      <c r="H102" s="2180"/>
      <c r="I102" s="2190">
        <v>-67.73</v>
      </c>
      <c r="J102" s="1432"/>
      <c r="K102" s="1435">
        <f t="shared" ref="K102:K104" si="5">ROUND(SUM(C102)+SUM(E102)+SUM(I102)-SUM(G102),3)</f>
        <v>65.753</v>
      </c>
      <c r="L102" s="1442"/>
      <c r="M102" s="1437"/>
      <c r="N102" s="1437"/>
    </row>
    <row r="103" spans="1:15">
      <c r="A103" s="1428" t="s">
        <v>320</v>
      </c>
      <c r="B103" s="1428"/>
      <c r="C103" s="1435">
        <v>0</v>
      </c>
      <c r="D103" s="1430"/>
      <c r="E103" s="2188">
        <v>1844.9870000000001</v>
      </c>
      <c r="F103" s="2180"/>
      <c r="G103" s="2188">
        <v>112.745</v>
      </c>
      <c r="H103" s="2180"/>
      <c r="I103" s="2188">
        <v>-1503.3019999999999</v>
      </c>
      <c r="J103" s="1432"/>
      <c r="K103" s="1443">
        <f>ROUND(SUM(C103)+SUM(E103)+SUM(I103)-SUM(G103),3)</f>
        <v>228.94</v>
      </c>
      <c r="L103" s="1442"/>
      <c r="M103" s="1437"/>
      <c r="N103" s="1437"/>
    </row>
    <row r="104" spans="1:15">
      <c r="A104" s="1428" t="s">
        <v>321</v>
      </c>
      <c r="B104" s="1428"/>
      <c r="C104" s="1435">
        <v>0</v>
      </c>
      <c r="D104" s="1430"/>
      <c r="E104" s="2188">
        <v>0</v>
      </c>
      <c r="F104" s="2180"/>
      <c r="G104" s="2188">
        <v>1.0349999999999999</v>
      </c>
      <c r="H104" s="2180"/>
      <c r="I104" s="2188">
        <v>1.0349999999999999</v>
      </c>
      <c r="J104" s="1428"/>
      <c r="K104" s="1443">
        <f t="shared" si="5"/>
        <v>0</v>
      </c>
      <c r="L104" s="1435"/>
      <c r="M104" s="1437"/>
      <c r="N104" s="1437"/>
    </row>
    <row r="105" spans="1:15">
      <c r="A105" s="1428" t="s">
        <v>322</v>
      </c>
      <c r="B105" s="1428"/>
      <c r="C105" s="1157">
        <v>49.165999999999997</v>
      </c>
      <c r="D105" s="1430"/>
      <c r="E105" s="2190">
        <v>-12.218999999999999</v>
      </c>
      <c r="F105" s="2179"/>
      <c r="G105" s="2182">
        <v>0</v>
      </c>
      <c r="H105" s="2179"/>
      <c r="I105" s="2188">
        <v>-8.85</v>
      </c>
      <c r="J105" s="1428"/>
      <c r="K105" s="1443">
        <f>ROUND(SUM(C105)+SUM(E105)+SUM(I105)-SUM(G105),3)</f>
        <v>28.097000000000001</v>
      </c>
      <c r="L105" s="1442"/>
      <c r="M105" s="1437"/>
      <c r="N105" s="1437"/>
    </row>
    <row r="106" spans="1:15">
      <c r="A106" s="1428" t="s">
        <v>323</v>
      </c>
      <c r="B106" s="1428"/>
      <c r="C106" s="1435">
        <v>0</v>
      </c>
      <c r="D106" s="1430"/>
      <c r="E106" s="2182">
        <v>90.391999999999996</v>
      </c>
      <c r="F106" s="2179"/>
      <c r="G106" s="2182">
        <v>0</v>
      </c>
      <c r="H106" s="2179"/>
      <c r="I106" s="2188">
        <v>-90.391999999999996</v>
      </c>
      <c r="J106" s="1428"/>
      <c r="K106" s="1443">
        <f>ROUND(SUM(C106)+SUM(E106)+SUM(I106)-SUM(G106),3)</f>
        <v>0</v>
      </c>
      <c r="L106" s="1442"/>
      <c r="M106" s="1437"/>
      <c r="N106" s="1437"/>
    </row>
    <row r="107" spans="1:15">
      <c r="A107" s="1438" t="s">
        <v>324</v>
      </c>
      <c r="B107" s="1432"/>
      <c r="C107" s="1435">
        <v>0</v>
      </c>
      <c r="D107" s="1432"/>
      <c r="E107" s="2188">
        <v>249.08199999999999</v>
      </c>
      <c r="F107" s="2180"/>
      <c r="G107" s="2182">
        <v>0</v>
      </c>
      <c r="H107" s="2180"/>
      <c r="I107" s="2188">
        <v>-247.00700000000001</v>
      </c>
      <c r="J107" s="1432"/>
      <c r="K107" s="1435">
        <f>ROUND(SUM(C107)+SUM(E107)+SUM(I107)-SUM(G107),3)</f>
        <v>2.0750000000000002</v>
      </c>
      <c r="L107" s="1442"/>
      <c r="M107" s="1437"/>
      <c r="N107" s="1437"/>
    </row>
    <row r="108" spans="1:15">
      <c r="A108" s="822" t="s">
        <v>325</v>
      </c>
      <c r="B108" s="1450"/>
      <c r="C108" s="818">
        <f>ROUND(SUM(C101:C107),3)</f>
        <v>159.71299999999999</v>
      </c>
      <c r="D108" s="1318"/>
      <c r="E108" s="818">
        <f>ROUND(SUM(E101:E107),3)</f>
        <v>2195.1779999999999</v>
      </c>
      <c r="F108" s="1318"/>
      <c r="G108" s="818">
        <f>ROUND(SUM(G101:G107),3)</f>
        <v>113.78</v>
      </c>
      <c r="H108" s="1318"/>
      <c r="I108" s="1319">
        <f>ROUND(SUM(I101:I107),3)</f>
        <v>-1916.2460000000001</v>
      </c>
      <c r="J108" s="1318"/>
      <c r="K108" s="1319">
        <f>ROUND(SUM(K101:K107),3)</f>
        <v>324.86500000000001</v>
      </c>
      <c r="L108" s="825"/>
      <c r="M108" s="821"/>
      <c r="N108" s="1437"/>
    </row>
    <row r="109" spans="1:15">
      <c r="A109" s="1428"/>
      <c r="B109" s="1428"/>
      <c r="C109" s="1429"/>
      <c r="D109" s="1428"/>
      <c r="E109" s="1429"/>
      <c r="F109" s="1428"/>
      <c r="G109" s="1429"/>
      <c r="H109" s="1428"/>
      <c r="I109" s="1429"/>
      <c r="J109" s="1428"/>
      <c r="K109" s="1429" t="s">
        <v>16</v>
      </c>
      <c r="L109" s="1441"/>
      <c r="M109" s="1437"/>
      <c r="N109" s="1437"/>
    </row>
    <row r="110" spans="1:15">
      <c r="A110" s="795"/>
      <c r="B110" s="796"/>
      <c r="C110" s="796"/>
      <c r="D110" s="796"/>
      <c r="E110" s="796"/>
      <c r="F110" s="796"/>
      <c r="G110" s="796"/>
      <c r="H110" s="796"/>
      <c r="I110" s="796"/>
      <c r="J110" s="796"/>
      <c r="K110" s="796"/>
      <c r="L110" s="796"/>
    </row>
    <row r="111" spans="1:15">
      <c r="A111" s="823" t="s">
        <v>1054</v>
      </c>
      <c r="B111" s="1428"/>
      <c r="C111" s="1451"/>
      <c r="D111" s="1452"/>
      <c r="E111" s="1452"/>
      <c r="F111" s="1452"/>
      <c r="G111" s="1452"/>
      <c r="H111" s="1452"/>
      <c r="I111" s="1452"/>
      <c r="J111" s="1452"/>
      <c r="K111" s="1451"/>
      <c r="L111" s="1436"/>
      <c r="M111" s="1437"/>
      <c r="N111" s="1437"/>
    </row>
    <row r="112" spans="1:15" s="1452" customFormat="1" ht="50.25" customHeight="1">
      <c r="A112" s="1432" t="s">
        <v>326</v>
      </c>
      <c r="B112" s="1426"/>
      <c r="C112" s="3135">
        <v>0</v>
      </c>
      <c r="D112" s="3134"/>
      <c r="E112" s="2189">
        <v>0.05</v>
      </c>
      <c r="F112" s="2180">
        <v>0</v>
      </c>
      <c r="G112" s="2189">
        <v>125.33799999999999</v>
      </c>
      <c r="H112" s="2180">
        <v>0</v>
      </c>
      <c r="I112" s="2189">
        <v>125.288</v>
      </c>
      <c r="J112" s="1426"/>
      <c r="K112" s="1443">
        <f t="shared" ref="K112:K118" si="6">ROUND(SUM(C112)+SUM(E112)-SUM(G112)+SUM(I112),3)</f>
        <v>0</v>
      </c>
      <c r="L112" s="1443"/>
      <c r="M112" s="1451"/>
      <c r="N112" s="1451"/>
    </row>
    <row r="113" spans="1:14" s="1452" customFormat="1">
      <c r="A113" s="1432" t="s">
        <v>327</v>
      </c>
      <c r="B113" s="1440"/>
      <c r="C113" s="1426">
        <v>42.854999999999997</v>
      </c>
      <c r="D113" s="3134"/>
      <c r="E113" s="2189">
        <v>171.22800000000001</v>
      </c>
      <c r="F113" s="2180">
        <v>0</v>
      </c>
      <c r="G113" s="2189">
        <v>108.55200000000001</v>
      </c>
      <c r="H113" s="2180">
        <v>0</v>
      </c>
      <c r="I113" s="2189">
        <v>-25.11</v>
      </c>
      <c r="J113" s="1432"/>
      <c r="K113" s="1443">
        <f t="shared" si="6"/>
        <v>80.421000000000006</v>
      </c>
      <c r="L113" s="1157"/>
      <c r="M113" s="1451"/>
      <c r="N113" s="1451"/>
    </row>
    <row r="114" spans="1:14" s="1452" customFormat="1">
      <c r="A114" s="1432" t="s">
        <v>328</v>
      </c>
      <c r="B114" s="1432"/>
      <c r="C114" s="1426">
        <v>125.298</v>
      </c>
      <c r="D114" s="3134"/>
      <c r="E114" s="2189">
        <v>4.9000000000000002E-2</v>
      </c>
      <c r="F114" s="2180">
        <v>0</v>
      </c>
      <c r="G114" s="2189">
        <v>1.5029999999999999</v>
      </c>
      <c r="H114" s="2180">
        <v>0</v>
      </c>
      <c r="I114" s="2189">
        <v>0.2</v>
      </c>
      <c r="J114" s="1432"/>
      <c r="K114" s="1443">
        <f t="shared" si="6"/>
        <v>124.044</v>
      </c>
      <c r="L114" s="1157"/>
      <c r="M114" s="1451"/>
      <c r="N114" s="1451"/>
    </row>
    <row r="115" spans="1:14" s="1452" customFormat="1">
      <c r="A115" s="1432" t="s">
        <v>329</v>
      </c>
      <c r="B115" s="1432"/>
      <c r="C115" s="3135">
        <v>4.7859999999999996</v>
      </c>
      <c r="D115" s="3134"/>
      <c r="E115" s="2189">
        <v>1.5049999999999999</v>
      </c>
      <c r="F115" s="2180">
        <v>0</v>
      </c>
      <c r="G115" s="2189">
        <v>1.623</v>
      </c>
      <c r="H115" s="2180">
        <v>0</v>
      </c>
      <c r="I115" s="2190">
        <v>0</v>
      </c>
      <c r="J115" s="1432"/>
      <c r="K115" s="1443">
        <f t="shared" si="6"/>
        <v>4.6680000000000001</v>
      </c>
      <c r="L115" s="1157"/>
      <c r="M115" s="1451"/>
      <c r="N115" s="1451"/>
    </row>
    <row r="116" spans="1:14" s="1452" customFormat="1">
      <c r="A116" s="1432" t="s">
        <v>330</v>
      </c>
      <c r="B116" s="1432"/>
      <c r="C116" s="1426">
        <v>-83.051000000000002</v>
      </c>
      <c r="D116" s="3134"/>
      <c r="E116" s="2189">
        <v>0</v>
      </c>
      <c r="F116" s="2180">
        <v>0</v>
      </c>
      <c r="G116" s="2189">
        <v>9.173</v>
      </c>
      <c r="H116" s="2180">
        <v>0</v>
      </c>
      <c r="I116" s="2190">
        <v>0</v>
      </c>
      <c r="J116" s="1432"/>
      <c r="K116" s="1443">
        <f t="shared" si="6"/>
        <v>-92.224000000000004</v>
      </c>
      <c r="L116" s="1157"/>
      <c r="M116" s="1451"/>
      <c r="N116" s="1451"/>
    </row>
    <row r="117" spans="1:14" s="1452" customFormat="1">
      <c r="A117" s="1432" t="s">
        <v>331</v>
      </c>
      <c r="B117" s="1432"/>
      <c r="C117" s="3135">
        <v>1.4E-2</v>
      </c>
      <c r="D117" s="3134"/>
      <c r="E117" s="2190">
        <v>0</v>
      </c>
      <c r="F117" s="2180">
        <v>0</v>
      </c>
      <c r="G117" s="2190">
        <v>0</v>
      </c>
      <c r="H117" s="2180">
        <v>0</v>
      </c>
      <c r="I117" s="2190">
        <v>0</v>
      </c>
      <c r="J117" s="1432"/>
      <c r="K117" s="1443">
        <f t="shared" si="6"/>
        <v>1.4E-2</v>
      </c>
      <c r="L117" s="1157"/>
      <c r="M117" s="1451"/>
      <c r="N117" s="1451"/>
    </row>
    <row r="118" spans="1:14" s="1452" customFormat="1">
      <c r="A118" s="1432" t="s">
        <v>332</v>
      </c>
      <c r="B118" s="1432"/>
      <c r="C118" s="1426">
        <v>42.064999999999998</v>
      </c>
      <c r="D118" s="3134"/>
      <c r="E118" s="2189">
        <v>0.38200000000000001</v>
      </c>
      <c r="F118" s="2180">
        <v>0</v>
      </c>
      <c r="G118" s="2189">
        <v>2.08</v>
      </c>
      <c r="H118" s="2180">
        <v>0</v>
      </c>
      <c r="I118" s="3240">
        <v>0</v>
      </c>
      <c r="J118" s="1432"/>
      <c r="K118" s="1443">
        <f t="shared" si="6"/>
        <v>40.366999999999997</v>
      </c>
      <c r="L118" s="1157"/>
      <c r="M118" s="1451"/>
      <c r="N118" s="1451"/>
    </row>
    <row r="119" spans="1:14" s="1452" customFormat="1">
      <c r="A119" s="1432" t="s">
        <v>333</v>
      </c>
      <c r="B119" s="1432"/>
      <c r="C119" s="3135">
        <v>0</v>
      </c>
      <c r="D119" s="3134"/>
      <c r="E119" s="2190">
        <v>0</v>
      </c>
      <c r="F119" s="2180">
        <v>0</v>
      </c>
      <c r="G119" s="2190">
        <v>0</v>
      </c>
      <c r="H119" s="2180">
        <v>0</v>
      </c>
      <c r="I119" s="2190">
        <v>0</v>
      </c>
      <c r="J119" s="1432"/>
      <c r="K119" s="1443">
        <f t="shared" ref="K119" si="7">ROUND(SUM(C119)+SUM(E119)-SUM(G119)+SUM(I119),3)</f>
        <v>0</v>
      </c>
      <c r="L119" s="1157"/>
      <c r="M119" s="1451"/>
      <c r="N119" s="1451"/>
    </row>
    <row r="120" spans="1:14" s="1452" customFormat="1">
      <c r="A120" s="1432" t="s">
        <v>334</v>
      </c>
      <c r="B120" s="1432"/>
      <c r="C120" s="3135">
        <v>0.16400000000000001</v>
      </c>
      <c r="D120" s="3134"/>
      <c r="E120" s="2190">
        <v>0</v>
      </c>
      <c r="F120" s="2180">
        <v>0</v>
      </c>
      <c r="G120" s="2190">
        <v>0</v>
      </c>
      <c r="H120" s="2180">
        <v>0</v>
      </c>
      <c r="I120" s="2190">
        <v>0</v>
      </c>
      <c r="J120" s="1432"/>
      <c r="K120" s="1443">
        <f t="shared" ref="K120:K127" si="8">ROUND(SUM(C120)+SUM(E120)-SUM(G120)+SUM(I120),3)</f>
        <v>0.16400000000000001</v>
      </c>
      <c r="L120" s="1157"/>
      <c r="M120" s="1451"/>
      <c r="N120" s="1451"/>
    </row>
    <row r="121" spans="1:14" s="1452" customFormat="1">
      <c r="A121" s="1432" t="s">
        <v>1086</v>
      </c>
      <c r="B121" s="1432"/>
      <c r="C121" s="3135">
        <v>0</v>
      </c>
      <c r="D121" s="3134"/>
      <c r="E121" s="2190">
        <v>0</v>
      </c>
      <c r="F121" s="2180">
        <v>0</v>
      </c>
      <c r="G121" s="2190">
        <v>0</v>
      </c>
      <c r="H121" s="2180">
        <v>0</v>
      </c>
      <c r="I121" s="2190">
        <v>0</v>
      </c>
      <c r="J121" s="1432"/>
      <c r="K121" s="1443">
        <f t="shared" si="8"/>
        <v>0</v>
      </c>
      <c r="L121" s="1157"/>
      <c r="M121" s="1451"/>
      <c r="N121" s="1451"/>
    </row>
    <row r="122" spans="1:14" s="1452" customFormat="1">
      <c r="A122" s="1432" t="s">
        <v>335</v>
      </c>
      <c r="B122" s="1432"/>
      <c r="C122" s="1426">
        <v>0.66800000000000004</v>
      </c>
      <c r="D122" s="3134"/>
      <c r="E122" s="2190">
        <v>0</v>
      </c>
      <c r="F122" s="2180">
        <v>0</v>
      </c>
      <c r="G122" s="2190">
        <v>0</v>
      </c>
      <c r="H122" s="2180">
        <v>0</v>
      </c>
      <c r="I122" s="2190">
        <v>0</v>
      </c>
      <c r="J122" s="1432"/>
      <c r="K122" s="1443">
        <f t="shared" si="8"/>
        <v>0.66800000000000004</v>
      </c>
      <c r="L122" s="1157"/>
      <c r="M122" s="1451"/>
      <c r="N122" s="1451"/>
    </row>
    <row r="123" spans="1:14" s="1452" customFormat="1">
      <c r="A123" s="1432" t="s">
        <v>336</v>
      </c>
      <c r="B123" s="1432"/>
      <c r="C123" s="3135">
        <v>3.3279999999999998</v>
      </c>
      <c r="D123" s="3134"/>
      <c r="E123" s="2190">
        <v>0</v>
      </c>
      <c r="F123" s="2180">
        <v>0</v>
      </c>
      <c r="G123" s="2190">
        <v>0</v>
      </c>
      <c r="H123" s="2180">
        <v>0</v>
      </c>
      <c r="I123" s="2190">
        <v>0</v>
      </c>
      <c r="J123" s="1432"/>
      <c r="K123" s="1443">
        <f t="shared" si="8"/>
        <v>3.3279999999999998</v>
      </c>
      <c r="L123" s="1157"/>
      <c r="M123" s="1451"/>
      <c r="N123" s="1451"/>
    </row>
    <row r="124" spans="1:14" s="1452" customFormat="1">
      <c r="A124" s="1432" t="s">
        <v>337</v>
      </c>
      <c r="B124" s="1432"/>
      <c r="C124" s="3135">
        <v>1.4510000000000001</v>
      </c>
      <c r="D124" s="3134"/>
      <c r="E124" s="2190">
        <v>0</v>
      </c>
      <c r="F124" s="2180">
        <v>0</v>
      </c>
      <c r="G124" s="2190">
        <v>0</v>
      </c>
      <c r="H124" s="2180">
        <v>0</v>
      </c>
      <c r="I124" s="2189">
        <v>0</v>
      </c>
      <c r="J124" s="1432"/>
      <c r="K124" s="1443">
        <f t="shared" si="8"/>
        <v>1.4510000000000001</v>
      </c>
      <c r="L124" s="1157"/>
      <c r="M124" s="1451"/>
      <c r="N124" s="1451"/>
    </row>
    <row r="125" spans="1:14" s="1452" customFormat="1">
      <c r="A125" s="1432" t="s">
        <v>338</v>
      </c>
      <c r="B125" s="1432"/>
      <c r="C125" s="1426">
        <v>27.33</v>
      </c>
      <c r="D125" s="3134"/>
      <c r="E125" s="2190">
        <v>0</v>
      </c>
      <c r="F125" s="2180">
        <v>0</v>
      </c>
      <c r="G125" s="2190">
        <v>0</v>
      </c>
      <c r="H125" s="2180">
        <v>0</v>
      </c>
      <c r="I125" s="2189">
        <v>-0.81499999999999995</v>
      </c>
      <c r="J125" s="1432"/>
      <c r="K125" s="1443">
        <f t="shared" si="8"/>
        <v>26.515000000000001</v>
      </c>
      <c r="L125" s="1157"/>
      <c r="M125" s="1451"/>
      <c r="N125" s="1451"/>
    </row>
    <row r="126" spans="1:14" s="1452" customFormat="1">
      <c r="A126" s="1432" t="s">
        <v>339</v>
      </c>
      <c r="B126" s="1432"/>
      <c r="C126" s="3135">
        <v>4.2549999999999999</v>
      </c>
      <c r="D126" s="3134"/>
      <c r="E126" s="2190">
        <v>0</v>
      </c>
      <c r="F126" s="2180">
        <v>0</v>
      </c>
      <c r="G126" s="2190">
        <v>0</v>
      </c>
      <c r="H126" s="2180">
        <v>0</v>
      </c>
      <c r="I126" s="2190">
        <v>0</v>
      </c>
      <c r="J126" s="1432"/>
      <c r="K126" s="1443">
        <f t="shared" si="8"/>
        <v>4.2549999999999999</v>
      </c>
      <c r="L126" s="1157"/>
      <c r="M126" s="1451"/>
      <c r="N126" s="1451"/>
    </row>
    <row r="127" spans="1:14" s="1452" customFormat="1">
      <c r="A127" s="1432" t="s">
        <v>340</v>
      </c>
      <c r="B127" s="1432"/>
      <c r="C127" s="3135">
        <v>5.5759999999999996</v>
      </c>
      <c r="D127" s="3134"/>
      <c r="E127" s="2190">
        <v>0</v>
      </c>
      <c r="F127" s="2180">
        <v>0</v>
      </c>
      <c r="G127" s="2190">
        <v>0</v>
      </c>
      <c r="H127" s="2180">
        <v>0</v>
      </c>
      <c r="I127" s="2189">
        <v>0</v>
      </c>
      <c r="J127" s="1432"/>
      <c r="K127" s="1443">
        <f t="shared" si="8"/>
        <v>5.5759999999999996</v>
      </c>
      <c r="L127" s="1157"/>
      <c r="M127" s="1451"/>
      <c r="N127" s="1451"/>
    </row>
    <row r="128" spans="1:14" s="1452" customFormat="1">
      <c r="A128" s="1432" t="s">
        <v>341</v>
      </c>
      <c r="B128" s="1432"/>
      <c r="C128" s="3135"/>
      <c r="D128" s="3134"/>
      <c r="E128" s="2188" t="s">
        <v>16</v>
      </c>
      <c r="F128" s="2180">
        <v>0</v>
      </c>
      <c r="G128" s="2188" t="s">
        <v>16</v>
      </c>
      <c r="H128" s="2180">
        <v>0</v>
      </c>
      <c r="I128" s="2188" t="s">
        <v>16</v>
      </c>
      <c r="J128" s="1432"/>
      <c r="K128" s="1443"/>
      <c r="L128" s="1157"/>
      <c r="M128" s="1451"/>
      <c r="N128" s="1451"/>
    </row>
    <row r="129" spans="1:14" s="1452" customFormat="1">
      <c r="A129" s="1432" t="s">
        <v>342</v>
      </c>
      <c r="B129" s="1432"/>
      <c r="C129" s="3135">
        <v>2.778</v>
      </c>
      <c r="D129" s="3134"/>
      <c r="E129" s="2190">
        <v>0</v>
      </c>
      <c r="F129" s="2180">
        <v>0</v>
      </c>
      <c r="G129" s="2190">
        <v>0</v>
      </c>
      <c r="H129" s="2180">
        <v>0</v>
      </c>
      <c r="I129" s="2190">
        <v>0</v>
      </c>
      <c r="J129" s="1432"/>
      <c r="K129" s="1443">
        <f>ROUND(SUM(C129)+SUM(E129)-SUM(G129)+SUM(I129),3)</f>
        <v>2.778</v>
      </c>
      <c r="L129" s="1157"/>
      <c r="M129" s="1451"/>
      <c r="N129" s="1451"/>
    </row>
    <row r="130" spans="1:14" s="1452" customFormat="1">
      <c r="A130" s="1432" t="s">
        <v>343</v>
      </c>
      <c r="B130" s="1432"/>
      <c r="C130" s="3135">
        <v>7.9139999999999997</v>
      </c>
      <c r="D130" s="3134"/>
      <c r="E130" s="2190">
        <v>0</v>
      </c>
      <c r="F130" s="2180">
        <v>0</v>
      </c>
      <c r="G130" s="2190">
        <v>0</v>
      </c>
      <c r="H130" s="2180">
        <v>0</v>
      </c>
      <c r="I130" s="2189">
        <v>-2.2090000000000001</v>
      </c>
      <c r="J130" s="1432"/>
      <c r="K130" s="1443">
        <f>ROUND(SUM(C130)+SUM(E130)-SUM(G130)+SUM(I130),3)</f>
        <v>5.7050000000000001</v>
      </c>
      <c r="L130" s="1157"/>
      <c r="M130" s="1451"/>
      <c r="N130" s="1451"/>
    </row>
    <row r="131" spans="1:14" s="1452" customFormat="1">
      <c r="A131" s="1432" t="s">
        <v>1385</v>
      </c>
      <c r="B131" s="1432"/>
      <c r="C131" s="3135">
        <v>0</v>
      </c>
      <c r="D131" s="3134"/>
      <c r="E131" s="2190">
        <v>0</v>
      </c>
      <c r="F131" s="2180">
        <v>0</v>
      </c>
      <c r="G131" s="2190">
        <v>0</v>
      </c>
      <c r="H131" s="2180">
        <v>0</v>
      </c>
      <c r="I131" s="2190">
        <v>0</v>
      </c>
      <c r="J131" s="1432"/>
      <c r="K131" s="1443">
        <f>ROUND(SUM(C131)+SUM(E131)-SUM(G131)+SUM(I131),3)</f>
        <v>0</v>
      </c>
      <c r="L131" s="1157"/>
      <c r="M131" s="1451"/>
      <c r="N131" s="1451"/>
    </row>
    <row r="132" spans="1:14" s="1452" customFormat="1">
      <c r="A132" s="1432" t="s">
        <v>1384</v>
      </c>
      <c r="B132" s="1432"/>
      <c r="C132" s="3135">
        <v>0</v>
      </c>
      <c r="D132" s="3134"/>
      <c r="E132" s="2190">
        <v>0</v>
      </c>
      <c r="F132" s="2180"/>
      <c r="G132" s="2190">
        <v>0</v>
      </c>
      <c r="H132" s="2180"/>
      <c r="I132" s="2190">
        <v>0</v>
      </c>
      <c r="J132" s="1432" t="s">
        <v>16</v>
      </c>
      <c r="K132" s="1157">
        <f t="shared" ref="K132:K135" si="9">ROUND(SUM(C132)+SUM(E132)-SUM(G132)+SUM(I132),3)</f>
        <v>0</v>
      </c>
      <c r="L132" s="1157"/>
      <c r="M132" s="1451"/>
      <c r="N132" s="1451"/>
    </row>
    <row r="133" spans="1:14" s="1452" customFormat="1">
      <c r="A133" s="1432" t="s">
        <v>344</v>
      </c>
      <c r="B133" s="1432"/>
      <c r="C133" s="3135">
        <v>0</v>
      </c>
      <c r="D133" s="3134"/>
      <c r="E133" s="2190">
        <v>0</v>
      </c>
      <c r="F133" s="2180">
        <v>0</v>
      </c>
      <c r="G133" s="2190">
        <v>0</v>
      </c>
      <c r="H133" s="2180">
        <v>0</v>
      </c>
      <c r="I133" s="2190">
        <v>0</v>
      </c>
      <c r="J133" s="1432"/>
      <c r="K133" s="1157">
        <f t="shared" si="9"/>
        <v>0</v>
      </c>
      <c r="L133" s="1157"/>
      <c r="M133" s="1451"/>
      <c r="N133" s="1451"/>
    </row>
    <row r="134" spans="1:14" s="1452" customFormat="1">
      <c r="A134" s="1432" t="s">
        <v>345</v>
      </c>
      <c r="B134" s="1432"/>
      <c r="C134" s="3135">
        <v>0</v>
      </c>
      <c r="D134" s="3134"/>
      <c r="E134" s="2190">
        <v>0</v>
      </c>
      <c r="F134" s="2180">
        <v>0</v>
      </c>
      <c r="G134" s="2190">
        <v>0</v>
      </c>
      <c r="H134" s="2180">
        <v>0</v>
      </c>
      <c r="I134" s="2190">
        <v>0</v>
      </c>
      <c r="J134" s="1432"/>
      <c r="K134" s="1157">
        <f t="shared" si="9"/>
        <v>0</v>
      </c>
      <c r="L134" s="1157"/>
      <c r="M134" s="1451"/>
      <c r="N134" s="1451"/>
    </row>
    <row r="135" spans="1:14" s="1452" customFormat="1">
      <c r="A135" s="1432" t="s">
        <v>346</v>
      </c>
      <c r="B135" s="1432"/>
      <c r="C135" s="1426">
        <v>-559.26700000000005</v>
      </c>
      <c r="D135" s="3134"/>
      <c r="E135" s="2189">
        <v>127.193</v>
      </c>
      <c r="F135" s="2180">
        <v>0</v>
      </c>
      <c r="G135" s="2189">
        <v>77.869</v>
      </c>
      <c r="H135" s="2180">
        <v>0</v>
      </c>
      <c r="I135" s="2189">
        <v>0</v>
      </c>
      <c r="J135" s="1432"/>
      <c r="K135" s="1443">
        <f t="shared" si="9"/>
        <v>-509.94299999999998</v>
      </c>
      <c r="L135" s="1157"/>
      <c r="M135" s="1451"/>
      <c r="N135" s="1451"/>
    </row>
    <row r="136" spans="1:14" s="1452" customFormat="1">
      <c r="A136" s="1432" t="s">
        <v>347</v>
      </c>
      <c r="B136" s="1432"/>
      <c r="C136" s="3135">
        <v>0.9</v>
      </c>
      <c r="D136" s="3134"/>
      <c r="E136" s="2189">
        <v>1E-3</v>
      </c>
      <c r="F136" s="2180">
        <v>0</v>
      </c>
      <c r="G136" s="2190">
        <v>0</v>
      </c>
      <c r="H136" s="2180">
        <v>0</v>
      </c>
      <c r="I136" s="2190">
        <v>0</v>
      </c>
      <c r="J136" s="1432"/>
      <c r="K136" s="1443">
        <f t="shared" ref="K136:K150" si="10">ROUND(SUM(C136)+SUM(E136)-SUM(G136)+SUM(I136),3)</f>
        <v>0.90100000000000002</v>
      </c>
      <c r="L136" s="1157"/>
      <c r="M136" s="1451"/>
      <c r="N136" s="1451"/>
    </row>
    <row r="137" spans="1:14" s="1452" customFormat="1">
      <c r="A137" s="1440" t="s">
        <v>348</v>
      </c>
      <c r="B137" s="1432"/>
      <c r="C137" s="1426">
        <v>-130.803</v>
      </c>
      <c r="D137" s="3134"/>
      <c r="E137" s="2189">
        <v>0.84699999999999998</v>
      </c>
      <c r="F137" s="2180">
        <v>0</v>
      </c>
      <c r="G137" s="2189">
        <v>4.7480000000000002</v>
      </c>
      <c r="H137" s="2180">
        <v>0</v>
      </c>
      <c r="I137" s="2189">
        <v>-0.43</v>
      </c>
      <c r="J137" s="1432"/>
      <c r="K137" s="1443">
        <f t="shared" si="10"/>
        <v>-135.13399999999999</v>
      </c>
      <c r="L137" s="1157"/>
      <c r="M137" s="1451"/>
      <c r="N137" s="1451"/>
    </row>
    <row r="138" spans="1:14" s="1452" customFormat="1">
      <c r="A138" s="1432" t="s">
        <v>349</v>
      </c>
      <c r="B138" s="1432"/>
      <c r="C138" s="3135">
        <v>0.50700000000000001</v>
      </c>
      <c r="D138" s="3134"/>
      <c r="E138" s="2190">
        <v>1E-3</v>
      </c>
      <c r="F138" s="2180">
        <v>0</v>
      </c>
      <c r="G138" s="2190">
        <v>0</v>
      </c>
      <c r="H138" s="2180">
        <v>0</v>
      </c>
      <c r="I138" s="2190">
        <v>0</v>
      </c>
      <c r="J138" s="1432"/>
      <c r="K138" s="1443">
        <f t="shared" si="10"/>
        <v>0.50800000000000001</v>
      </c>
      <c r="L138" s="1157"/>
      <c r="M138" s="1451"/>
      <c r="N138" s="1451"/>
    </row>
    <row r="139" spans="1:14" s="1452" customFormat="1">
      <c r="A139" s="1432" t="s">
        <v>350</v>
      </c>
      <c r="B139" s="1432"/>
      <c r="C139" s="1426">
        <v>-22.591000000000001</v>
      </c>
      <c r="D139" s="3134"/>
      <c r="E139" s="2189">
        <v>0</v>
      </c>
      <c r="F139" s="2180">
        <v>0</v>
      </c>
      <c r="G139" s="2189">
        <v>1.591</v>
      </c>
      <c r="H139" s="2180">
        <v>0</v>
      </c>
      <c r="I139" s="2190">
        <v>0</v>
      </c>
      <c r="J139" s="1432"/>
      <c r="K139" s="1443">
        <f t="shared" si="10"/>
        <v>-24.181999999999999</v>
      </c>
      <c r="L139" s="1157"/>
      <c r="M139" s="1451"/>
      <c r="N139" s="1451"/>
    </row>
    <row r="140" spans="1:14" s="1452" customFormat="1">
      <c r="A140" s="1432" t="s">
        <v>351</v>
      </c>
      <c r="B140" s="1432"/>
      <c r="C140" s="3135">
        <v>-10.816000000000001</v>
      </c>
      <c r="D140" s="3134"/>
      <c r="E140" s="3240">
        <v>0</v>
      </c>
      <c r="F140" s="2180">
        <v>0</v>
      </c>
      <c r="G140" s="2190">
        <v>0</v>
      </c>
      <c r="H140" s="2180">
        <v>0</v>
      </c>
      <c r="I140" s="2190">
        <v>0</v>
      </c>
      <c r="J140" s="1432"/>
      <c r="K140" s="1443">
        <f t="shared" si="10"/>
        <v>-10.816000000000001</v>
      </c>
      <c r="L140" s="1157"/>
      <c r="M140" s="1451"/>
      <c r="N140" s="1451"/>
    </row>
    <row r="141" spans="1:14" s="1452" customFormat="1">
      <c r="A141" s="1432" t="s">
        <v>352</v>
      </c>
      <c r="B141" s="1432"/>
      <c r="C141" s="1426">
        <v>-144.25200000000001</v>
      </c>
      <c r="D141" s="3134"/>
      <c r="E141" s="3240">
        <v>0</v>
      </c>
      <c r="F141" s="2180">
        <v>0</v>
      </c>
      <c r="G141" s="2189">
        <v>5.8000000000000003E-2</v>
      </c>
      <c r="H141" s="2180">
        <v>0</v>
      </c>
      <c r="I141" s="2189">
        <v>0</v>
      </c>
      <c r="J141" s="1432"/>
      <c r="K141" s="1443">
        <f t="shared" si="10"/>
        <v>-144.31</v>
      </c>
      <c r="L141" s="1157"/>
      <c r="M141" s="1451"/>
      <c r="N141" s="1451"/>
    </row>
    <row r="142" spans="1:14" s="1452" customFormat="1">
      <c r="A142" s="1432" t="s">
        <v>353</v>
      </c>
      <c r="B142" s="1432"/>
      <c r="C142" s="1443">
        <v>16.21</v>
      </c>
      <c r="D142" s="3134"/>
      <c r="E142" s="2189">
        <v>6.0000000000000001E-3</v>
      </c>
      <c r="F142" s="2180"/>
      <c r="G142" s="2189">
        <v>1.6E-2</v>
      </c>
      <c r="H142" s="2180"/>
      <c r="I142" s="2190">
        <v>0</v>
      </c>
      <c r="J142" s="1432"/>
      <c r="K142" s="1443">
        <f t="shared" si="10"/>
        <v>16.2</v>
      </c>
      <c r="L142" s="1157"/>
      <c r="M142" s="1451"/>
      <c r="N142" s="1451"/>
    </row>
    <row r="143" spans="1:14" s="1452" customFormat="1">
      <c r="A143" s="1432" t="s">
        <v>1095</v>
      </c>
      <c r="B143" s="1432"/>
      <c r="C143" s="1426">
        <v>-12.564</v>
      </c>
      <c r="D143" s="3134"/>
      <c r="E143" s="2190">
        <v>0</v>
      </c>
      <c r="F143" s="2180">
        <v>0</v>
      </c>
      <c r="G143" s="2189">
        <v>1.7999999999999999E-2</v>
      </c>
      <c r="H143" s="2180">
        <v>0</v>
      </c>
      <c r="I143" s="2189">
        <v>0</v>
      </c>
      <c r="J143" s="1432"/>
      <c r="K143" s="1443">
        <f t="shared" si="10"/>
        <v>-12.582000000000001</v>
      </c>
      <c r="L143" s="1157"/>
      <c r="M143" s="1451"/>
      <c r="N143" s="1451"/>
    </row>
    <row r="144" spans="1:14" s="1452" customFormat="1">
      <c r="A144" s="1432" t="s">
        <v>354</v>
      </c>
      <c r="B144" s="1432"/>
      <c r="C144" s="1426">
        <v>37.046999999999997</v>
      </c>
      <c r="D144" s="3134"/>
      <c r="E144" s="2189">
        <v>0.186</v>
      </c>
      <c r="F144" s="2180">
        <v>0</v>
      </c>
      <c r="G144" s="2189">
        <v>0.97199999999999998</v>
      </c>
      <c r="H144" s="2180">
        <v>0</v>
      </c>
      <c r="I144" s="2189">
        <v>0</v>
      </c>
      <c r="J144" s="1432"/>
      <c r="K144" s="1443">
        <f t="shared" si="10"/>
        <v>36.261000000000003</v>
      </c>
      <c r="L144" s="1157"/>
      <c r="M144" s="1451"/>
      <c r="N144" s="1451"/>
    </row>
    <row r="145" spans="1:15" s="1452" customFormat="1">
      <c r="A145" s="1432" t="s">
        <v>355</v>
      </c>
      <c r="B145" s="1432"/>
      <c r="C145" s="3135">
        <v>-2.4E-2</v>
      </c>
      <c r="D145" s="3134"/>
      <c r="E145" s="2189">
        <v>0</v>
      </c>
      <c r="F145" s="2180">
        <v>0</v>
      </c>
      <c r="G145" s="2190">
        <v>0</v>
      </c>
      <c r="H145" s="2180">
        <v>0</v>
      </c>
      <c r="I145" s="2190">
        <v>0</v>
      </c>
      <c r="J145" s="1432"/>
      <c r="K145" s="1443">
        <f t="shared" si="10"/>
        <v>-2.4E-2</v>
      </c>
      <c r="L145" s="1157"/>
      <c r="M145" s="1451"/>
      <c r="N145" s="1451"/>
    </row>
    <row r="146" spans="1:15" s="1452" customFormat="1">
      <c r="A146" s="1432" t="s">
        <v>356</v>
      </c>
      <c r="B146" s="1432"/>
      <c r="C146" s="1426">
        <v>-447.53199999999998</v>
      </c>
      <c r="D146" s="3134"/>
      <c r="E146" s="2189">
        <v>0.08</v>
      </c>
      <c r="F146" s="2180">
        <v>0</v>
      </c>
      <c r="G146" s="2189">
        <v>10.6</v>
      </c>
      <c r="H146" s="2180">
        <v>0</v>
      </c>
      <c r="I146" s="2190">
        <v>0</v>
      </c>
      <c r="J146" s="1432"/>
      <c r="K146" s="1443">
        <f t="shared" si="10"/>
        <v>-458.05200000000002</v>
      </c>
      <c r="L146" s="1157"/>
      <c r="M146" s="1451"/>
      <c r="N146" s="1451"/>
    </row>
    <row r="147" spans="1:15" s="1452" customFormat="1">
      <c r="A147" s="1432" t="s">
        <v>357</v>
      </c>
      <c r="B147" s="1432"/>
      <c r="C147" s="1425">
        <v>-33.034999999999997</v>
      </c>
      <c r="D147" s="3134"/>
      <c r="E147" s="2189">
        <v>0</v>
      </c>
      <c r="F147" s="2180">
        <v>0</v>
      </c>
      <c r="G147" s="2189">
        <v>11.173999999999999</v>
      </c>
      <c r="H147" s="2180">
        <v>0</v>
      </c>
      <c r="I147" s="2190">
        <v>0</v>
      </c>
      <c r="J147" s="1432"/>
      <c r="K147" s="1443">
        <f t="shared" si="10"/>
        <v>-44.209000000000003</v>
      </c>
      <c r="L147" s="1157"/>
      <c r="M147" s="1451"/>
      <c r="N147" s="1451"/>
    </row>
    <row r="148" spans="1:15" s="1452" customFormat="1">
      <c r="A148" s="1432" t="s">
        <v>358</v>
      </c>
      <c r="B148" s="1432"/>
      <c r="C148" s="1426">
        <v>168.34700000000001</v>
      </c>
      <c r="D148" s="3134"/>
      <c r="E148" s="2189">
        <v>2.57</v>
      </c>
      <c r="F148" s="2180">
        <v>0</v>
      </c>
      <c r="G148" s="2189">
        <v>1.8919999999999999</v>
      </c>
      <c r="H148" s="2180">
        <v>0</v>
      </c>
      <c r="I148" s="2189">
        <v>-0.214</v>
      </c>
      <c r="J148" s="1432"/>
      <c r="K148" s="1443">
        <f t="shared" si="10"/>
        <v>168.81100000000001</v>
      </c>
      <c r="L148" s="1157"/>
      <c r="M148" s="1451"/>
      <c r="N148" s="1451"/>
    </row>
    <row r="149" spans="1:15" s="1452" customFormat="1">
      <c r="A149" s="1432" t="s">
        <v>359</v>
      </c>
      <c r="B149" s="1432"/>
      <c r="C149" s="3135">
        <v>-48.673000000000002</v>
      </c>
      <c r="D149" s="3134"/>
      <c r="E149" s="2190">
        <v>0</v>
      </c>
      <c r="F149" s="2180"/>
      <c r="G149" s="2189">
        <v>2.169</v>
      </c>
      <c r="H149" s="2180"/>
      <c r="I149" s="2190">
        <v>0</v>
      </c>
      <c r="J149" s="1432"/>
      <c r="K149" s="1443">
        <f t="shared" si="10"/>
        <v>-50.841999999999999</v>
      </c>
      <c r="L149" s="1157"/>
      <c r="M149" s="1451"/>
      <c r="N149" s="1451"/>
    </row>
    <row r="150" spans="1:15" s="1452" customFormat="1">
      <c r="A150" s="1432" t="s">
        <v>1404</v>
      </c>
      <c r="B150" s="1432"/>
      <c r="C150" s="3135">
        <v>110.333</v>
      </c>
      <c r="D150" s="3134"/>
      <c r="E150" s="2190">
        <v>0</v>
      </c>
      <c r="F150" s="2180"/>
      <c r="G150" s="2189">
        <v>47.6</v>
      </c>
      <c r="H150" s="2180"/>
      <c r="I150" s="2189">
        <v>40</v>
      </c>
      <c r="J150" s="1432"/>
      <c r="K150" s="1443">
        <f t="shared" si="10"/>
        <v>102.733</v>
      </c>
      <c r="L150" s="1157"/>
      <c r="M150" s="1451"/>
      <c r="N150" s="1451"/>
    </row>
    <row r="151" spans="1:15">
      <c r="A151" s="816" t="s">
        <v>360</v>
      </c>
      <c r="B151" s="1432"/>
      <c r="C151" s="824">
        <f>ROUND(SUM(C112:C150),3)</f>
        <v>-890.78200000000004</v>
      </c>
      <c r="D151" s="816"/>
      <c r="E151" s="824">
        <f>ROUND(SUM(E112:E150),3)</f>
        <v>304.09800000000001</v>
      </c>
      <c r="F151" s="816"/>
      <c r="G151" s="824">
        <f>ROUND(SUM(G112:G150),3)</f>
        <v>406.976</v>
      </c>
      <c r="H151" s="816"/>
      <c r="I151" s="824">
        <f>ROUND(SUM(I112:I150),3)</f>
        <v>136.71</v>
      </c>
      <c r="J151" s="816"/>
      <c r="K151" s="824">
        <f>ROUND(SUM(K113:K150),3)</f>
        <v>-856.95</v>
      </c>
      <c r="L151" s="825"/>
      <c r="M151" s="821"/>
      <c r="N151" s="821"/>
      <c r="O151" s="817"/>
    </row>
    <row r="152" spans="1:15">
      <c r="A152" s="816"/>
      <c r="B152" s="1432"/>
      <c r="C152" s="1441"/>
      <c r="D152" s="1432"/>
      <c r="E152" s="1453"/>
      <c r="F152" s="1454"/>
      <c r="G152" s="1453"/>
      <c r="H152" s="1454"/>
      <c r="I152" s="1453"/>
      <c r="J152" s="1432"/>
      <c r="K152" s="1441"/>
      <c r="L152" s="1441"/>
    </row>
    <row r="153" spans="1:15" ht="16.2" thickBot="1">
      <c r="A153" s="816" t="s">
        <v>361</v>
      </c>
      <c r="B153" s="826"/>
      <c r="C153" s="827">
        <f>ROUND(SUM(C23+C98+C108+C151),3)</f>
        <v>11810.120999999999</v>
      </c>
      <c r="D153" s="826"/>
      <c r="E153" s="827">
        <f>ROUND(SUM(E23+E98+E108+E151),3)</f>
        <v>12952.082</v>
      </c>
      <c r="F153" s="828"/>
      <c r="G153" s="827">
        <f>ROUND(SUM(G23+G98+G108+G151),3)</f>
        <v>10525.689</v>
      </c>
      <c r="H153" s="828"/>
      <c r="I153" s="827">
        <f>ROUND(SUM(I23+I98+I108+I151),3)</f>
        <v>-5.2709999999999999</v>
      </c>
      <c r="J153" s="826"/>
      <c r="K153" s="827">
        <f>ROUND(SUM(K23+K98+K108+K151),3)</f>
        <v>14231.243</v>
      </c>
      <c r="L153" s="829"/>
    </row>
    <row r="154" spans="1:15" ht="16.2" thickTop="1">
      <c r="A154" s="1432"/>
      <c r="B154" s="1432"/>
      <c r="C154" s="1441" t="s">
        <v>16</v>
      </c>
      <c r="D154" s="1432"/>
      <c r="E154" s="1441"/>
      <c r="F154" s="1432"/>
      <c r="G154" s="1441"/>
      <c r="H154" s="1432"/>
      <c r="I154" s="1441"/>
      <c r="J154" s="1432"/>
      <c r="K154" s="1441"/>
      <c r="L154" s="1441"/>
    </row>
    <row r="155" spans="1:15">
      <c r="A155" s="1432"/>
      <c r="B155" s="1432"/>
      <c r="C155" s="1432"/>
      <c r="D155" s="1432"/>
      <c r="E155" s="1432"/>
      <c r="F155" s="1432"/>
      <c r="G155" s="1432"/>
      <c r="H155" s="1432"/>
      <c r="I155" s="1432"/>
      <c r="J155" s="1432"/>
      <c r="K155" s="1432"/>
      <c r="L155" s="1432"/>
    </row>
    <row r="156" spans="1:15">
      <c r="A156" s="815"/>
      <c r="B156" s="1432"/>
      <c r="C156" s="1432"/>
      <c r="D156" s="1432"/>
      <c r="E156" s="1432"/>
      <c r="F156" s="1432"/>
      <c r="G156" s="1432"/>
      <c r="H156" s="1432"/>
      <c r="I156" s="1454"/>
      <c r="J156" s="1432"/>
      <c r="K156" s="3148"/>
      <c r="L156" s="1432"/>
    </row>
    <row r="157" spans="1:15">
      <c r="A157" s="1432" t="s">
        <v>16</v>
      </c>
      <c r="B157" s="1432"/>
      <c r="C157" s="1432"/>
      <c r="D157" s="1432"/>
      <c r="E157" s="1432"/>
      <c r="F157" s="1432"/>
      <c r="G157" s="1432"/>
      <c r="H157" s="1432"/>
      <c r="I157" s="1432"/>
      <c r="J157" s="1432"/>
      <c r="K157" s="1432"/>
      <c r="L157" s="1432"/>
    </row>
    <row r="158" spans="1:15">
      <c r="A158" s="1432"/>
      <c r="B158" s="1432"/>
      <c r="C158" s="1432"/>
      <c r="D158" s="1432"/>
      <c r="E158" s="1432"/>
      <c r="F158" s="1432"/>
      <c r="G158" s="1432"/>
      <c r="H158" s="1432"/>
      <c r="I158" s="1432"/>
      <c r="J158" s="1432"/>
      <c r="K158" s="1432"/>
      <c r="L158" s="1432"/>
    </row>
    <row r="159" spans="1:15">
      <c r="A159" s="1455"/>
      <c r="B159" s="1432"/>
      <c r="C159" s="1432"/>
      <c r="D159" s="1432"/>
      <c r="E159" s="1432"/>
      <c r="F159" s="1432"/>
      <c r="G159" s="1432"/>
      <c r="H159" s="1432"/>
      <c r="I159" s="1456"/>
      <c r="J159" s="1432"/>
      <c r="K159" s="1432" t="s">
        <v>16</v>
      </c>
      <c r="L159" s="1432"/>
    </row>
    <row r="160" spans="1:15">
      <c r="I160" s="1276"/>
    </row>
    <row r="161" spans="9:9">
      <c r="I161" s="1276"/>
    </row>
    <row r="162" spans="9:9">
      <c r="I162" s="1276"/>
    </row>
    <row r="163" spans="9:9">
      <c r="I163" s="1276"/>
    </row>
    <row r="164" spans="9:9">
      <c r="I164" s="829"/>
    </row>
    <row r="165" spans="9:9">
      <c r="I165" s="1276"/>
    </row>
    <row r="166" spans="9:9">
      <c r="I166" s="1276"/>
    </row>
    <row r="167" spans="9:9">
      <c r="I167" s="1276"/>
    </row>
    <row r="168" spans="9:9">
      <c r="I168" s="1276"/>
    </row>
  </sheetData>
  <customSheetViews>
    <customSheetView guid="{8EE6466D-211E-4E05-9F84-CC0A1C6F79F4}" scale="80" showGridLines="0" topLeftCell="A79">
      <selection activeCell="A102" sqref="A102"/>
      <rowBreaks count="1" manualBreakCount="1">
        <brk id="108" max="11" man="1"/>
      </rowBreaks>
      <pageMargins left="0.5" right="0.25" top="0.32" bottom="0" header="0.27" footer="0.1"/>
      <pageSetup scale="63" firstPageNumber="38" fitToHeight="3" orientation="landscape" useFirstPageNumber="1" r:id="rId1"/>
      <headerFooter scaleWithDoc="0" alignWithMargins="0">
        <oddFooter>&amp;C&amp;8&amp;P</oddFooter>
        <firstFooter>&amp;C28</firstFooter>
      </headerFooter>
    </customSheetView>
  </customSheetViews>
  <pageMargins left="0.5" right="0.25" top="0.32" bottom="0" header="0.27" footer="0.1"/>
  <pageSetup scale="63" firstPageNumber="38" fitToHeight="3" orientation="landscape" useFirstPageNumber="1" r:id="rId2"/>
  <headerFooter scaleWithDoc="0" alignWithMargins="0">
    <oddFooter>&amp;C&amp;8&amp;P</oddFooter>
    <firstFooter>&amp;C28</firstFooter>
  </headerFooter>
  <rowBreaks count="2" manualBreakCount="2">
    <brk id="60" max="11" man="1"/>
    <brk id="109"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O92"/>
  <sheetViews>
    <sheetView zoomScale="80" zoomScaleNormal="80" workbookViewId="0"/>
  </sheetViews>
  <sheetFormatPr defaultColWidth="8.90625" defaultRowHeight="17.399999999999999"/>
  <cols>
    <col min="1" max="1" width="55.81640625" style="866" customWidth="1"/>
    <col min="2" max="2" width="6.36328125" style="866" customWidth="1"/>
    <col min="3" max="3" width="20.1796875" style="866" customWidth="1"/>
    <col min="4" max="4" width="3.08984375" style="866" customWidth="1"/>
    <col min="5" max="5" width="17.36328125" style="866" customWidth="1"/>
    <col min="6" max="6" width="3.54296875" style="866" customWidth="1"/>
    <col min="7" max="7" width="18.1796875" style="866" customWidth="1"/>
    <col min="8" max="8" width="3.08984375" style="866" customWidth="1"/>
    <col min="9" max="9" width="18.54296875" style="866" customWidth="1"/>
    <col min="10" max="10" width="3.453125" style="866" customWidth="1"/>
    <col min="11" max="11" width="22.08984375" style="866" customWidth="1"/>
    <col min="12" max="12" width="15.54296875" style="866" customWidth="1"/>
    <col min="13" max="16384" width="8.90625" style="866"/>
  </cols>
  <sheetData>
    <row r="1" spans="1:15">
      <c r="A1" s="1172" t="s">
        <v>1103</v>
      </c>
    </row>
    <row r="2" spans="1:15">
      <c r="A2" s="1688"/>
    </row>
    <row r="3" spans="1:15" s="835" customFormat="1" ht="18" customHeight="1">
      <c r="A3" s="830" t="s">
        <v>0</v>
      </c>
      <c r="B3" s="831"/>
      <c r="C3" s="831"/>
      <c r="D3" s="831"/>
      <c r="E3" s="832"/>
      <c r="F3" s="832"/>
      <c r="G3" s="833"/>
      <c r="H3" s="833"/>
      <c r="I3" s="830"/>
      <c r="J3" s="830"/>
      <c r="K3" s="834" t="s">
        <v>362</v>
      </c>
      <c r="L3" s="833"/>
      <c r="M3" s="833"/>
      <c r="N3" s="833"/>
      <c r="O3" s="833"/>
    </row>
    <row r="4" spans="1:15" s="835" customFormat="1" ht="18" customHeight="1">
      <c r="A4" s="830" t="s">
        <v>363</v>
      </c>
      <c r="B4" s="831"/>
      <c r="C4" s="831"/>
      <c r="D4" s="831"/>
      <c r="E4" s="832"/>
      <c r="F4" s="832"/>
      <c r="G4" s="833"/>
      <c r="H4" s="833"/>
      <c r="I4" s="830"/>
      <c r="J4" s="830"/>
      <c r="K4" s="830"/>
      <c r="L4" s="833"/>
      <c r="M4" s="833"/>
      <c r="N4" s="833"/>
      <c r="O4" s="833"/>
    </row>
    <row r="5" spans="1:15" s="835" customFormat="1" ht="18" customHeight="1">
      <c r="A5" s="836" t="s">
        <v>364</v>
      </c>
      <c r="B5" s="831"/>
      <c r="C5" s="831"/>
      <c r="D5" s="831"/>
      <c r="E5" s="832"/>
      <c r="F5" s="832"/>
      <c r="G5" s="833"/>
      <c r="H5" s="833"/>
      <c r="I5" s="830"/>
      <c r="J5" s="830"/>
      <c r="K5" s="830"/>
      <c r="L5" s="833"/>
      <c r="M5" s="833"/>
      <c r="N5" s="833"/>
      <c r="O5" s="833"/>
    </row>
    <row r="6" spans="1:15" s="835" customFormat="1" ht="18" customHeight="1">
      <c r="A6" s="836" t="s">
        <v>365</v>
      </c>
      <c r="B6" s="831"/>
      <c r="C6" s="831"/>
      <c r="D6" s="831"/>
      <c r="E6" s="832"/>
      <c r="F6" s="832"/>
      <c r="G6" s="833"/>
      <c r="H6" s="833"/>
      <c r="I6" s="830"/>
      <c r="J6" s="830"/>
      <c r="K6" s="830"/>
      <c r="L6" s="833"/>
      <c r="M6" s="833"/>
      <c r="N6" s="833"/>
      <c r="O6" s="833"/>
    </row>
    <row r="7" spans="1:15" s="835" customFormat="1" ht="18" customHeight="1">
      <c r="A7" s="2046" t="s">
        <v>1482</v>
      </c>
      <c r="B7" s="831"/>
      <c r="C7" s="831"/>
      <c r="D7" s="831"/>
      <c r="E7" s="832"/>
      <c r="F7" s="832"/>
      <c r="G7" s="833"/>
      <c r="H7" s="833"/>
      <c r="I7" s="830"/>
      <c r="J7" s="830"/>
      <c r="K7" s="830"/>
      <c r="L7" s="833"/>
      <c r="M7" s="833"/>
      <c r="N7" s="833"/>
      <c r="O7" s="833"/>
    </row>
    <row r="8" spans="1:15" s="835" customFormat="1" ht="18" customHeight="1">
      <c r="A8" s="830" t="s">
        <v>991</v>
      </c>
      <c r="B8" s="831"/>
      <c r="C8" s="831"/>
      <c r="D8" s="831"/>
      <c r="E8" s="832"/>
      <c r="F8" s="832"/>
      <c r="G8" s="833"/>
      <c r="H8" s="833"/>
      <c r="I8" s="830"/>
      <c r="J8" s="830"/>
      <c r="K8" s="830"/>
      <c r="L8" s="833"/>
      <c r="M8" s="833"/>
      <c r="N8" s="833"/>
      <c r="O8" s="833"/>
    </row>
    <row r="9" spans="1:15" s="835" customFormat="1">
      <c r="A9" s="830"/>
      <c r="B9" s="830"/>
      <c r="C9" s="833"/>
      <c r="D9" s="830"/>
      <c r="E9" s="833"/>
      <c r="F9" s="833"/>
      <c r="G9" s="833"/>
      <c r="H9" s="833"/>
      <c r="I9" s="833"/>
      <c r="J9" s="833"/>
      <c r="K9" s="833"/>
      <c r="L9" s="833"/>
      <c r="M9" s="833"/>
      <c r="N9" s="833"/>
      <c r="O9" s="833"/>
    </row>
    <row r="10" spans="1:15" s="835" customFormat="1">
      <c r="A10" s="830"/>
      <c r="B10" s="830"/>
      <c r="C10" s="830"/>
      <c r="D10" s="830"/>
      <c r="E10" s="830"/>
      <c r="F10" s="830"/>
      <c r="G10" s="830"/>
      <c r="H10" s="830"/>
      <c r="I10" s="830"/>
      <c r="J10" s="830"/>
      <c r="K10" s="830"/>
      <c r="L10" s="833"/>
      <c r="M10" s="833"/>
      <c r="N10" s="833"/>
      <c r="O10" s="833"/>
    </row>
    <row r="11" spans="1:15" s="835" customFormat="1">
      <c r="A11" s="830"/>
      <c r="B11" s="830"/>
      <c r="C11" s="837"/>
      <c r="D11" s="830"/>
      <c r="E11" s="830"/>
      <c r="F11" s="830"/>
      <c r="G11" s="830"/>
      <c r="H11" s="830"/>
      <c r="I11" s="837" t="s">
        <v>366</v>
      </c>
      <c r="J11" s="830"/>
      <c r="K11" s="837"/>
      <c r="L11" s="833"/>
      <c r="M11" s="833"/>
      <c r="N11" s="833"/>
      <c r="O11" s="833"/>
    </row>
    <row r="12" spans="1:15" s="835" customFormat="1">
      <c r="A12" s="830"/>
      <c r="B12" s="830"/>
      <c r="C12" s="837" t="s">
        <v>242</v>
      </c>
      <c r="D12" s="830"/>
      <c r="E12" s="830"/>
      <c r="F12" s="830"/>
      <c r="G12" s="830"/>
      <c r="H12" s="830"/>
      <c r="I12" s="837" t="s">
        <v>367</v>
      </c>
      <c r="J12" s="830"/>
      <c r="K12" s="837" t="s">
        <v>242</v>
      </c>
      <c r="L12" s="833"/>
      <c r="M12" s="833"/>
      <c r="N12" s="833"/>
      <c r="O12" s="833"/>
    </row>
    <row r="13" spans="1:15" s="835" customFormat="1">
      <c r="A13" s="838" t="s">
        <v>368</v>
      </c>
      <c r="B13" s="830"/>
      <c r="C13" s="1804" t="s">
        <v>1483</v>
      </c>
      <c r="D13" s="830"/>
      <c r="E13" s="837" t="s">
        <v>244</v>
      </c>
      <c r="F13" s="830"/>
      <c r="G13" s="837" t="s">
        <v>245</v>
      </c>
      <c r="H13" s="830"/>
      <c r="I13" s="837" t="s">
        <v>246</v>
      </c>
      <c r="J13" s="830"/>
      <c r="K13" s="1805" t="s">
        <v>1462</v>
      </c>
      <c r="L13" s="833"/>
      <c r="M13" s="833"/>
      <c r="N13" s="833"/>
      <c r="O13" s="833"/>
    </row>
    <row r="14" spans="1:15" s="835" customFormat="1" ht="12" customHeight="1">
      <c r="A14" s="833"/>
      <c r="B14" s="833"/>
      <c r="C14" s="839"/>
      <c r="D14" s="833"/>
      <c r="E14" s="840"/>
      <c r="F14" s="833"/>
      <c r="G14" s="840"/>
      <c r="H14" s="833"/>
      <c r="I14" s="840"/>
      <c r="J14" s="833"/>
      <c r="K14" s="840"/>
      <c r="L14" s="833"/>
      <c r="M14" s="833"/>
      <c r="N14" s="833"/>
      <c r="O14" s="833"/>
    </row>
    <row r="15" spans="1:15" s="835" customFormat="1">
      <c r="A15" s="841" t="s">
        <v>223</v>
      </c>
      <c r="B15" s="833"/>
      <c r="C15" s="833"/>
      <c r="D15" s="833"/>
      <c r="E15" s="842"/>
      <c r="F15" s="833"/>
      <c r="G15" s="833"/>
      <c r="H15" s="833"/>
      <c r="I15" s="833"/>
      <c r="J15" s="833"/>
      <c r="K15" s="843"/>
      <c r="L15" s="833"/>
      <c r="M15" s="833"/>
      <c r="N15" s="833"/>
      <c r="O15" s="833"/>
    </row>
    <row r="16" spans="1:15" s="835" customFormat="1" ht="12" customHeight="1">
      <c r="A16" s="833"/>
      <c r="B16" s="833"/>
      <c r="C16" s="833"/>
      <c r="D16" s="833"/>
      <c r="E16" s="876"/>
      <c r="F16" s="843"/>
      <c r="G16" s="843"/>
      <c r="H16" s="843"/>
      <c r="I16" s="843"/>
      <c r="J16" s="843"/>
      <c r="K16" s="843"/>
      <c r="L16" s="833"/>
      <c r="M16" s="833"/>
      <c r="N16" s="833"/>
      <c r="O16" s="833"/>
    </row>
    <row r="17" spans="1:15" s="846" customFormat="1" ht="15.9" customHeight="1">
      <c r="A17" s="843" t="s">
        <v>369</v>
      </c>
      <c r="B17" s="844"/>
      <c r="C17" s="845">
        <v>0.154</v>
      </c>
      <c r="D17" s="845"/>
      <c r="E17" s="845">
        <v>6.0000000000000001E-3</v>
      </c>
      <c r="F17" s="845"/>
      <c r="G17" s="845">
        <v>4.0000000000000001E-3</v>
      </c>
      <c r="H17" s="845"/>
      <c r="I17" s="845">
        <v>0</v>
      </c>
      <c r="J17" s="845"/>
      <c r="K17" s="845">
        <f t="shared" ref="K17:K24" si="0">ROUND(SUM(C17,E17,I17) - SUM(G17),3)</f>
        <v>0.156</v>
      </c>
      <c r="L17" s="843"/>
      <c r="M17" s="843"/>
      <c r="N17" s="843"/>
      <c r="O17" s="843"/>
    </row>
    <row r="18" spans="1:15" s="846" customFormat="1" ht="15.75" customHeight="1">
      <c r="A18" s="843" t="s">
        <v>370</v>
      </c>
      <c r="B18" s="843"/>
      <c r="C18" s="847">
        <v>0.87</v>
      </c>
      <c r="D18" s="848"/>
      <c r="E18" s="847">
        <v>0.98</v>
      </c>
      <c r="F18" s="847"/>
      <c r="G18" s="847">
        <v>0.6</v>
      </c>
      <c r="H18" s="848"/>
      <c r="I18" s="847">
        <v>0</v>
      </c>
      <c r="J18" s="848"/>
      <c r="K18" s="847">
        <f t="shared" si="0"/>
        <v>1.25</v>
      </c>
      <c r="L18" s="843"/>
      <c r="M18" s="843"/>
      <c r="N18" s="843"/>
      <c r="O18" s="843"/>
    </row>
    <row r="19" spans="1:15" s="846" customFormat="1" ht="15.9" customHeight="1">
      <c r="A19" s="843" t="s">
        <v>371</v>
      </c>
      <c r="B19" s="843"/>
      <c r="C19" s="847">
        <v>2.8260000000000001</v>
      </c>
      <c r="D19" s="848"/>
      <c r="E19" s="847">
        <v>2.7549999999999999</v>
      </c>
      <c r="F19" s="847"/>
      <c r="G19" s="847">
        <v>2.0129999999999999</v>
      </c>
      <c r="H19" s="848"/>
      <c r="I19" s="847">
        <v>0</v>
      </c>
      <c r="J19" s="848"/>
      <c r="K19" s="847">
        <f t="shared" si="0"/>
        <v>3.5680000000000001</v>
      </c>
      <c r="L19" s="843"/>
      <c r="M19" s="843"/>
      <c r="N19" s="843"/>
      <c r="O19" s="843"/>
    </row>
    <row r="20" spans="1:15" s="846" customFormat="1" ht="15.9" customHeight="1">
      <c r="A20" s="843" t="s">
        <v>1153</v>
      </c>
      <c r="B20" s="843"/>
      <c r="C20" s="847">
        <v>3.1219999999999999</v>
      </c>
      <c r="D20" s="848"/>
      <c r="E20" s="847">
        <v>4.5999999999999999E-2</v>
      </c>
      <c r="F20" s="847"/>
      <c r="G20" s="847">
        <v>0.20200000000000001</v>
      </c>
      <c r="H20" s="848"/>
      <c r="I20" s="847">
        <v>0</v>
      </c>
      <c r="J20" s="848"/>
      <c r="K20" s="847">
        <f t="shared" si="0"/>
        <v>2.9660000000000002</v>
      </c>
      <c r="L20" s="843"/>
      <c r="M20" s="843"/>
      <c r="N20" s="843"/>
      <c r="O20" s="843"/>
    </row>
    <row r="21" spans="1:15" s="846" customFormat="1" ht="15.9" customHeight="1">
      <c r="A21" s="843" t="s">
        <v>1154</v>
      </c>
      <c r="B21" s="843"/>
      <c r="C21" s="847">
        <v>1.91</v>
      </c>
      <c r="D21" s="848"/>
      <c r="E21" s="3302">
        <v>0.129</v>
      </c>
      <c r="F21" s="847"/>
      <c r="G21" s="847">
        <v>0.09</v>
      </c>
      <c r="H21" s="848"/>
      <c r="I21" s="847">
        <v>0</v>
      </c>
      <c r="J21" s="848"/>
      <c r="K21" s="847">
        <f t="shared" si="0"/>
        <v>1.9490000000000001</v>
      </c>
      <c r="L21" s="843"/>
      <c r="M21" s="843"/>
      <c r="N21" s="843"/>
      <c r="O21" s="843"/>
    </row>
    <row r="22" spans="1:15" s="846" customFormat="1" ht="15.9" customHeight="1">
      <c r="A22" s="843" t="s">
        <v>1155</v>
      </c>
      <c r="B22" s="843"/>
      <c r="C22" s="847">
        <v>1.893</v>
      </c>
      <c r="D22" s="848"/>
      <c r="E22" s="3302">
        <v>1.9E-2</v>
      </c>
      <c r="F22" s="847"/>
      <c r="G22" s="848">
        <v>2E-3</v>
      </c>
      <c r="H22" s="848"/>
      <c r="I22" s="847">
        <v>0</v>
      </c>
      <c r="J22" s="848"/>
      <c r="K22" s="847">
        <f t="shared" si="0"/>
        <v>1.91</v>
      </c>
      <c r="L22" s="843"/>
      <c r="M22" s="843"/>
      <c r="N22" s="843"/>
      <c r="O22" s="843"/>
    </row>
    <row r="23" spans="1:15" s="846" customFormat="1" ht="15.9" customHeight="1">
      <c r="A23" s="843" t="s">
        <v>372</v>
      </c>
      <c r="B23" s="843"/>
      <c r="C23" s="847">
        <v>4.125</v>
      </c>
      <c r="D23" s="848"/>
      <c r="E23" s="847">
        <v>0.1</v>
      </c>
      <c r="F23" s="847"/>
      <c r="G23" s="847">
        <v>5.0999999999999997E-2</v>
      </c>
      <c r="H23" s="848"/>
      <c r="I23" s="847">
        <v>0</v>
      </c>
      <c r="J23" s="848"/>
      <c r="K23" s="847">
        <f t="shared" si="0"/>
        <v>4.1740000000000004</v>
      </c>
      <c r="L23" s="843"/>
      <c r="M23" s="843"/>
      <c r="N23" s="843"/>
      <c r="O23" s="843"/>
    </row>
    <row r="24" spans="1:15" s="846" customFormat="1" ht="15.9" customHeight="1">
      <c r="A24" s="850" t="s">
        <v>373</v>
      </c>
      <c r="B24" s="843"/>
      <c r="C24" s="847">
        <v>51.234000000000002</v>
      </c>
      <c r="D24" s="851"/>
      <c r="E24" s="847">
        <v>133.46799999999999</v>
      </c>
      <c r="F24" s="852"/>
      <c r="G24" s="847">
        <v>177.66800000000001</v>
      </c>
      <c r="H24" s="848"/>
      <c r="I24" s="847">
        <v>0</v>
      </c>
      <c r="J24" s="848"/>
      <c r="K24" s="847">
        <f t="shared" si="0"/>
        <v>7.0339999999999998</v>
      </c>
      <c r="L24" s="843"/>
      <c r="M24" s="843"/>
      <c r="N24" s="843"/>
      <c r="O24" s="843"/>
    </row>
    <row r="25" spans="1:15" s="835" customFormat="1" ht="20.100000000000001" customHeight="1">
      <c r="A25" s="830" t="s">
        <v>374</v>
      </c>
      <c r="B25" s="833"/>
      <c r="C25" s="3131">
        <f>ROUND(SUM(C17:C24),3)</f>
        <v>66.134</v>
      </c>
      <c r="D25" s="3187"/>
      <c r="E25" s="3131">
        <f>ROUND(SUM(E17:E24),3)</f>
        <v>137.50299999999999</v>
      </c>
      <c r="F25" s="3187"/>
      <c r="G25" s="3131">
        <f>ROUND(SUM(G17:G24),3)</f>
        <v>180.63</v>
      </c>
      <c r="H25" s="1361"/>
      <c r="I25" s="3131">
        <f>ROUND(SUM(I17:I24),3)</f>
        <v>0</v>
      </c>
      <c r="J25" s="1361"/>
      <c r="K25" s="3131">
        <f>ROUND(SUM(K17:K24),3)</f>
        <v>23.007000000000001</v>
      </c>
      <c r="L25" s="854"/>
      <c r="M25" s="833"/>
      <c r="N25" s="833"/>
      <c r="O25" s="833"/>
    </row>
    <row r="26" spans="1:15" s="835" customFormat="1" ht="15" customHeight="1">
      <c r="A26" s="833"/>
      <c r="B26" s="833"/>
      <c r="C26" s="1320"/>
      <c r="D26" s="913"/>
      <c r="E26" s="1320"/>
      <c r="F26" s="913"/>
      <c r="G26" s="1320"/>
      <c r="H26" s="913"/>
      <c r="I26" s="1321"/>
      <c r="J26" s="913"/>
      <c r="K26" s="1320"/>
      <c r="L26" s="833"/>
      <c r="M26" s="833"/>
      <c r="N26" s="833"/>
      <c r="O26" s="833"/>
    </row>
    <row r="27" spans="1:15" s="835" customFormat="1" ht="15" customHeight="1">
      <c r="A27" s="833"/>
      <c r="B27" s="833"/>
      <c r="C27" s="913"/>
      <c r="D27" s="1322" t="s">
        <v>241</v>
      </c>
      <c r="E27" s="913"/>
      <c r="F27" s="913"/>
      <c r="G27" s="913"/>
      <c r="H27" s="913"/>
      <c r="I27" s="913"/>
      <c r="J27" s="913"/>
      <c r="K27" s="913"/>
      <c r="L27" s="833"/>
      <c r="M27" s="833"/>
      <c r="N27" s="833"/>
      <c r="O27" s="833"/>
    </row>
    <row r="28" spans="1:15" s="835" customFormat="1" ht="15" customHeight="1">
      <c r="A28" s="833"/>
      <c r="B28" s="833"/>
      <c r="C28" s="913"/>
      <c r="D28" s="913"/>
      <c r="E28" s="913"/>
      <c r="F28" s="913"/>
      <c r="G28" s="913"/>
      <c r="H28" s="913"/>
      <c r="I28" s="913"/>
      <c r="J28" s="913"/>
      <c r="K28" s="913"/>
      <c r="L28" s="833"/>
      <c r="M28" s="833"/>
      <c r="N28" s="833"/>
      <c r="O28" s="833"/>
    </row>
    <row r="29" spans="1:15" s="835" customFormat="1" ht="15" customHeight="1">
      <c r="A29" s="841" t="s">
        <v>228</v>
      </c>
      <c r="B29" s="833"/>
      <c r="C29" s="913"/>
      <c r="D29" s="913"/>
      <c r="E29" s="913"/>
      <c r="F29" s="913"/>
      <c r="G29" s="913"/>
      <c r="H29" s="913"/>
      <c r="I29" s="913"/>
      <c r="J29" s="913"/>
      <c r="K29" s="913"/>
      <c r="L29" s="833"/>
      <c r="M29" s="833"/>
      <c r="N29" s="833"/>
      <c r="O29" s="833"/>
    </row>
    <row r="30" spans="1:15" s="835" customFormat="1" ht="15" customHeight="1">
      <c r="A30" s="841"/>
      <c r="B30" s="833"/>
      <c r="C30" s="913"/>
      <c r="D30" s="913"/>
      <c r="E30" s="848"/>
      <c r="F30" s="848"/>
      <c r="G30" s="848"/>
      <c r="H30" s="848"/>
      <c r="I30" s="848"/>
      <c r="J30" s="848"/>
      <c r="K30" s="848"/>
      <c r="L30" s="833"/>
      <c r="M30" s="833"/>
      <c r="N30" s="833"/>
      <c r="O30" s="833"/>
    </row>
    <row r="31" spans="1:15" s="835" customFormat="1" ht="15.9" customHeight="1">
      <c r="A31" s="833" t="s">
        <v>1156</v>
      </c>
      <c r="B31" s="833"/>
      <c r="C31" s="1323">
        <v>-38.04</v>
      </c>
      <c r="D31" s="913"/>
      <c r="E31" s="847">
        <v>14.003</v>
      </c>
      <c r="F31" s="3130"/>
      <c r="G31" s="847">
        <v>19.728000000000002</v>
      </c>
      <c r="H31" s="848"/>
      <c r="I31" s="847">
        <v>2.1549999999999998</v>
      </c>
      <c r="J31" s="848"/>
      <c r="K31" s="847">
        <f t="shared" ref="K31:K38" si="1">ROUND(SUM(C31,E31,I31) - SUM(G31),3)</f>
        <v>-41.61</v>
      </c>
      <c r="L31" s="843"/>
      <c r="M31" s="833"/>
      <c r="N31" s="833"/>
      <c r="O31" s="833"/>
    </row>
    <row r="32" spans="1:15" s="835" customFormat="1" ht="15.9" customHeight="1">
      <c r="A32" s="833" t="s">
        <v>375</v>
      </c>
      <c r="B32" s="833"/>
      <c r="C32" s="1323">
        <v>-59.997</v>
      </c>
      <c r="D32" s="913"/>
      <c r="E32" s="847">
        <v>1.07</v>
      </c>
      <c r="F32" s="848"/>
      <c r="G32" s="847">
        <v>61.811</v>
      </c>
      <c r="H32" s="848"/>
      <c r="I32" s="847">
        <v>3.1589999999999998</v>
      </c>
      <c r="J32" s="848"/>
      <c r="K32" s="847">
        <f t="shared" si="1"/>
        <v>-117.57899999999999</v>
      </c>
      <c r="L32" s="843"/>
      <c r="M32" s="833"/>
      <c r="N32" s="833"/>
      <c r="O32" s="833"/>
    </row>
    <row r="33" spans="1:15" s="835" customFormat="1" ht="15.9" customHeight="1">
      <c r="A33" s="833" t="s">
        <v>376</v>
      </c>
      <c r="B33" s="833"/>
      <c r="C33" s="1323">
        <v>0.23899999999999999</v>
      </c>
      <c r="D33" s="913"/>
      <c r="E33" s="847">
        <v>1.9E-2</v>
      </c>
      <c r="F33" s="848"/>
      <c r="G33" s="847">
        <v>5.3999999999999999E-2</v>
      </c>
      <c r="H33" s="848"/>
      <c r="I33" s="847">
        <v>0</v>
      </c>
      <c r="J33" s="848"/>
      <c r="K33" s="847">
        <f t="shared" si="1"/>
        <v>0.20399999999999999</v>
      </c>
      <c r="L33" s="843"/>
      <c r="M33" s="833"/>
      <c r="N33" s="833"/>
      <c r="O33" s="833"/>
    </row>
    <row r="34" spans="1:15" s="835" customFormat="1" ht="15.9" customHeight="1">
      <c r="A34" s="833" t="s">
        <v>377</v>
      </c>
      <c r="B34" s="833"/>
      <c r="C34" s="1323">
        <v>5.5E-2</v>
      </c>
      <c r="D34" s="913"/>
      <c r="E34" s="847">
        <v>0</v>
      </c>
      <c r="F34" s="848"/>
      <c r="G34" s="847">
        <v>0</v>
      </c>
      <c r="H34" s="848"/>
      <c r="I34" s="847">
        <v>0</v>
      </c>
      <c r="J34" s="848"/>
      <c r="K34" s="847">
        <f t="shared" si="1"/>
        <v>5.5E-2</v>
      </c>
      <c r="L34" s="843"/>
      <c r="M34" s="833"/>
      <c r="N34" s="833"/>
      <c r="O34" s="833"/>
    </row>
    <row r="35" spans="1:15" s="835" customFormat="1" ht="15.9" customHeight="1">
      <c r="A35" s="833" t="s">
        <v>1157</v>
      </c>
      <c r="B35" s="833"/>
      <c r="C35" s="1323">
        <v>1.407</v>
      </c>
      <c r="D35" s="913"/>
      <c r="E35" s="847">
        <v>1E-3</v>
      </c>
      <c r="F35" s="848"/>
      <c r="G35" s="847">
        <v>4.1000000000000002E-2</v>
      </c>
      <c r="H35" s="848"/>
      <c r="I35" s="847">
        <v>0</v>
      </c>
      <c r="J35" s="848"/>
      <c r="K35" s="847">
        <f t="shared" si="1"/>
        <v>1.367</v>
      </c>
      <c r="L35" s="843"/>
      <c r="M35" s="833"/>
      <c r="N35" s="833"/>
      <c r="O35" s="833"/>
    </row>
    <row r="36" spans="1:15" s="835" customFormat="1" ht="15.9" customHeight="1">
      <c r="A36" s="833" t="s">
        <v>378</v>
      </c>
      <c r="B36" s="833"/>
      <c r="C36" s="1323">
        <v>-0.748</v>
      </c>
      <c r="D36" s="913"/>
      <c r="E36" s="847">
        <v>0</v>
      </c>
      <c r="F36" s="848"/>
      <c r="G36" s="847">
        <v>0.89800000000000002</v>
      </c>
      <c r="H36" s="858"/>
      <c r="I36" s="858">
        <v>0</v>
      </c>
      <c r="J36" s="848"/>
      <c r="K36" s="847">
        <f t="shared" si="1"/>
        <v>-1.6459999999999999</v>
      </c>
      <c r="L36" s="843"/>
      <c r="M36" s="833"/>
      <c r="N36" s="833"/>
      <c r="O36" s="833"/>
    </row>
    <row r="37" spans="1:15" s="835" customFormat="1" ht="15.9" customHeight="1">
      <c r="A37" s="833" t="s">
        <v>379</v>
      </c>
      <c r="B37" s="833"/>
      <c r="C37" s="1323">
        <v>-12.728999999999999</v>
      </c>
      <c r="D37" s="913"/>
      <c r="E37" s="847">
        <v>7.1999999999999995E-2</v>
      </c>
      <c r="F37" s="848"/>
      <c r="G37" s="848">
        <v>0.67400000000000004</v>
      </c>
      <c r="H37" s="848"/>
      <c r="I37" s="847">
        <v>-4.0000000000000001E-3</v>
      </c>
      <c r="J37" s="848"/>
      <c r="K37" s="847">
        <f t="shared" si="1"/>
        <v>-13.335000000000001</v>
      </c>
      <c r="L37" s="843"/>
      <c r="M37" s="833"/>
      <c r="N37" s="833"/>
      <c r="O37" s="833"/>
    </row>
    <row r="38" spans="1:15" s="835" customFormat="1" ht="15.9" customHeight="1">
      <c r="A38" s="833" t="s">
        <v>380</v>
      </c>
      <c r="B38" s="833"/>
      <c r="C38" s="1323">
        <v>-17.359000000000002</v>
      </c>
      <c r="D38" s="1321"/>
      <c r="E38" s="847">
        <v>2.379</v>
      </c>
      <c r="F38" s="851"/>
      <c r="G38" s="847">
        <v>3.694</v>
      </c>
      <c r="H38" s="848"/>
      <c r="I38" s="847">
        <v>-3.9E-2</v>
      </c>
      <c r="J38" s="848"/>
      <c r="K38" s="847">
        <f t="shared" si="1"/>
        <v>-18.713000000000001</v>
      </c>
      <c r="L38" s="833"/>
      <c r="M38" s="833"/>
      <c r="N38" s="833"/>
      <c r="O38" s="833"/>
    </row>
    <row r="39" spans="1:15" s="835" customFormat="1" ht="20.100000000000001" customHeight="1">
      <c r="A39" s="830" t="s">
        <v>381</v>
      </c>
      <c r="B39" s="833"/>
      <c r="C39" s="853">
        <f>ROUND(SUM(C31:C38),3)</f>
        <v>-127.172</v>
      </c>
      <c r="D39" s="1325"/>
      <c r="E39" s="3131">
        <f>ROUND(SUM(E31:E38),3)</f>
        <v>17.544</v>
      </c>
      <c r="F39" s="1364"/>
      <c r="G39" s="3131">
        <f>ROUND(SUM(G31:G38),3)</f>
        <v>86.9</v>
      </c>
      <c r="H39" s="1362"/>
      <c r="I39" s="3131">
        <f>ROUND(SUM(I31:I38),3)</f>
        <v>5.2709999999999999</v>
      </c>
      <c r="J39" s="1362"/>
      <c r="K39" s="3131">
        <f>ROUND(SUM(K31:K38),3)</f>
        <v>-191.25700000000001</v>
      </c>
      <c r="L39" s="859"/>
      <c r="M39" s="833"/>
      <c r="N39" s="833"/>
      <c r="O39" s="833"/>
    </row>
    <row r="40" spans="1:15" s="835" customFormat="1" ht="15" customHeight="1">
      <c r="A40" s="830"/>
      <c r="B40" s="833"/>
      <c r="C40" s="860"/>
      <c r="D40" s="856"/>
      <c r="E40" s="855"/>
      <c r="F40" s="856"/>
      <c r="G40" s="855"/>
      <c r="H40" s="856"/>
      <c r="I40" s="857"/>
      <c r="J40" s="856"/>
      <c r="K40" s="855"/>
      <c r="L40" s="833"/>
      <c r="M40" s="833"/>
      <c r="N40" s="833"/>
      <c r="O40" s="833"/>
    </row>
    <row r="41" spans="1:15" s="835" customFormat="1" ht="15" customHeight="1">
      <c r="A41" s="830"/>
      <c r="B41" s="833"/>
      <c r="C41" s="857"/>
      <c r="D41" s="856"/>
      <c r="E41" s="856"/>
      <c r="F41" s="856"/>
      <c r="G41" s="856" t="s">
        <v>16</v>
      </c>
      <c r="H41" s="856"/>
      <c r="I41" s="861"/>
      <c r="J41" s="856"/>
      <c r="K41" s="856"/>
      <c r="L41" s="833"/>
      <c r="M41" s="833"/>
      <c r="N41" s="833"/>
      <c r="O41" s="833"/>
    </row>
    <row r="42" spans="1:15" s="835" customFormat="1" ht="20.100000000000001" customHeight="1" thickBot="1">
      <c r="A42" s="830" t="s">
        <v>67</v>
      </c>
      <c r="B42" s="862"/>
      <c r="C42" s="1326">
        <f>ROUND(SUM(C39)+SUM(C25),3)</f>
        <v>-61.037999999999997</v>
      </c>
      <c r="D42" s="916"/>
      <c r="E42" s="1326">
        <f>ROUND(SUM(E39)+SUM(E25),3)</f>
        <v>155.047</v>
      </c>
      <c r="F42" s="916"/>
      <c r="G42" s="1326">
        <f>ROUND(SUM(G39)+SUM(G25),3)</f>
        <v>267.52999999999997</v>
      </c>
      <c r="H42" s="916"/>
      <c r="I42" s="1326">
        <f>ROUND(SUM(I39)+SUM(I25),3)</f>
        <v>5.2709999999999999</v>
      </c>
      <c r="J42" s="916"/>
      <c r="K42" s="1326">
        <f>ROUND(SUM(K39)+SUM(K25),3)</f>
        <v>-168.25</v>
      </c>
      <c r="L42" s="854"/>
      <c r="M42" s="833"/>
      <c r="N42" s="833"/>
      <c r="O42" s="833"/>
    </row>
    <row r="43" spans="1:15" s="835" customFormat="1" ht="18" thickTop="1">
      <c r="A43" s="833"/>
      <c r="B43" s="833"/>
      <c r="C43" s="863"/>
      <c r="D43" s="856"/>
      <c r="E43" s="863"/>
      <c r="F43" s="856"/>
      <c r="G43" s="863"/>
      <c r="H43" s="856"/>
      <c r="I43" s="864"/>
      <c r="J43" s="856"/>
      <c r="K43" s="863"/>
      <c r="L43" s="833"/>
      <c r="M43" s="833"/>
      <c r="N43" s="833"/>
      <c r="O43" s="833"/>
    </row>
    <row r="44" spans="1:15" s="835" customFormat="1">
      <c r="A44" s="865"/>
      <c r="B44" s="866"/>
      <c r="C44" s="867"/>
      <c r="D44" s="867"/>
      <c r="E44" s="868"/>
      <c r="F44" s="868"/>
      <c r="G44" s="3308"/>
      <c r="H44" s="868"/>
      <c r="I44" s="3307"/>
      <c r="J44" s="867"/>
      <c r="K44" s="3306"/>
      <c r="L44" s="866"/>
      <c r="M44" s="866"/>
      <c r="N44" s="866"/>
      <c r="O44" s="866"/>
    </row>
    <row r="45" spans="1:15" s="835" customFormat="1">
      <c r="A45" s="866"/>
      <c r="B45" s="866"/>
      <c r="C45" s="867"/>
      <c r="D45" s="867"/>
      <c r="E45" s="3229"/>
      <c r="F45" s="3229"/>
      <c r="G45" s="3229"/>
      <c r="H45" s="3229"/>
      <c r="I45" s="3229"/>
      <c r="J45" s="3229"/>
      <c r="K45" s="3229"/>
      <c r="L45" s="866"/>
      <c r="M45" s="866"/>
      <c r="N45" s="866"/>
      <c r="O45" s="866"/>
    </row>
    <row r="46" spans="1:15" s="835" customFormat="1">
      <c r="A46" s="866"/>
      <c r="B46" s="866"/>
      <c r="C46" s="867"/>
      <c r="D46" s="867"/>
      <c r="E46" s="867"/>
      <c r="F46" s="867"/>
      <c r="G46" s="870"/>
      <c r="H46" s="866"/>
      <c r="I46" s="869"/>
      <c r="J46" s="867"/>
      <c r="K46" s="867"/>
      <c r="L46" s="866"/>
      <c r="M46" s="866"/>
      <c r="N46" s="866"/>
      <c r="O46" s="866"/>
    </row>
    <row r="47" spans="1:15" s="835" customFormat="1">
      <c r="A47" s="866"/>
      <c r="B47" s="866"/>
      <c r="C47" s="867"/>
      <c r="D47" s="867"/>
      <c r="E47" s="867"/>
      <c r="F47" s="867"/>
      <c r="G47" s="867"/>
      <c r="H47" s="866"/>
      <c r="I47" s="869"/>
      <c r="J47" s="867"/>
      <c r="K47" s="867"/>
      <c r="L47" s="866"/>
      <c r="M47" s="866"/>
      <c r="N47" s="866"/>
      <c r="O47" s="866"/>
    </row>
    <row r="48" spans="1:15" s="835" customFormat="1">
      <c r="A48" s="866"/>
      <c r="B48" s="866"/>
      <c r="C48" s="867"/>
      <c r="D48" s="867"/>
      <c r="E48" s="867"/>
      <c r="F48" s="867"/>
      <c r="G48" s="867"/>
      <c r="H48" s="866"/>
      <c r="I48" s="869"/>
      <c r="J48" s="867"/>
      <c r="K48" s="867"/>
      <c r="L48" s="866"/>
      <c r="M48" s="866"/>
      <c r="N48" s="866"/>
      <c r="O48" s="866"/>
    </row>
    <row r="49" spans="1:15" s="835" customFormat="1">
      <c r="A49" s="866"/>
      <c r="B49" s="866"/>
      <c r="C49" s="867"/>
      <c r="D49" s="867"/>
      <c r="E49" s="867"/>
      <c r="F49" s="867"/>
      <c r="G49" s="867"/>
      <c r="H49" s="866"/>
      <c r="I49" s="869"/>
      <c r="J49" s="867"/>
      <c r="K49" s="867"/>
      <c r="L49" s="866"/>
      <c r="M49" s="866"/>
      <c r="N49" s="866"/>
      <c r="O49" s="866"/>
    </row>
    <row r="50" spans="1:15" s="835" customFormat="1">
      <c r="A50" s="833"/>
      <c r="B50" s="866"/>
      <c r="C50" s="867"/>
      <c r="D50" s="867"/>
      <c r="E50" s="867"/>
      <c r="F50" s="867"/>
      <c r="G50" s="867"/>
      <c r="H50" s="866"/>
      <c r="I50" s="866"/>
      <c r="J50" s="867"/>
      <c r="K50" s="867"/>
      <c r="L50" s="866"/>
      <c r="M50" s="866"/>
      <c r="N50" s="866"/>
      <c r="O50" s="866"/>
    </row>
    <row r="51" spans="1:15" s="835" customFormat="1">
      <c r="A51" s="866"/>
      <c r="B51" s="866"/>
      <c r="C51" s="867"/>
      <c r="D51" s="867"/>
      <c r="E51" s="867"/>
      <c r="F51" s="867"/>
      <c r="G51" s="867"/>
      <c r="H51" s="866"/>
      <c r="I51" s="866"/>
      <c r="J51" s="867"/>
      <c r="K51" s="867"/>
      <c r="L51" s="866"/>
      <c r="M51" s="866"/>
      <c r="N51" s="866"/>
      <c r="O51" s="866"/>
    </row>
    <row r="52" spans="1:15" s="835" customFormat="1">
      <c r="A52" s="866"/>
      <c r="B52" s="866"/>
      <c r="C52" s="867"/>
      <c r="D52" s="867"/>
      <c r="E52" s="867"/>
      <c r="F52" s="867"/>
      <c r="G52" s="867"/>
      <c r="H52" s="866"/>
      <c r="I52" s="866"/>
      <c r="J52" s="867"/>
      <c r="K52" s="867"/>
      <c r="L52" s="866"/>
      <c r="M52" s="866"/>
      <c r="N52" s="866"/>
      <c r="O52" s="866"/>
    </row>
    <row r="53" spans="1:15" s="835" customFormat="1">
      <c r="A53" s="866"/>
      <c r="B53" s="866"/>
      <c r="C53" s="867"/>
      <c r="D53" s="867"/>
      <c r="E53" s="867"/>
      <c r="F53" s="867"/>
      <c r="G53" s="867"/>
      <c r="H53" s="866"/>
      <c r="I53" s="866"/>
      <c r="J53" s="867"/>
      <c r="K53" s="867"/>
      <c r="L53" s="866"/>
      <c r="M53" s="866"/>
      <c r="N53" s="866"/>
      <c r="O53" s="866"/>
    </row>
    <row r="54" spans="1:15" s="835" customFormat="1">
      <c r="A54" s="866"/>
      <c r="B54" s="866"/>
      <c r="C54" s="867"/>
      <c r="D54" s="867"/>
      <c r="E54" s="867"/>
      <c r="F54" s="867"/>
      <c r="G54" s="867"/>
      <c r="H54" s="866"/>
      <c r="I54" s="866"/>
      <c r="J54" s="867"/>
      <c r="K54" s="867"/>
      <c r="L54" s="866"/>
      <c r="M54" s="866"/>
      <c r="N54" s="866"/>
      <c r="O54" s="866"/>
    </row>
    <row r="55" spans="1:15" s="835" customFormat="1">
      <c r="A55" s="866"/>
      <c r="B55" s="866"/>
      <c r="C55" s="867"/>
      <c r="D55" s="867"/>
      <c r="E55" s="867"/>
      <c r="F55" s="867"/>
      <c r="G55" s="867"/>
      <c r="H55" s="866"/>
      <c r="I55" s="866"/>
      <c r="J55" s="867"/>
      <c r="K55" s="867"/>
      <c r="L55" s="866"/>
      <c r="M55" s="866"/>
      <c r="N55" s="866"/>
      <c r="O55" s="866"/>
    </row>
    <row r="56" spans="1:15" s="835" customFormat="1">
      <c r="A56" s="866"/>
      <c r="B56" s="866"/>
      <c r="C56" s="867"/>
      <c r="D56" s="867"/>
      <c r="E56" s="867"/>
      <c r="F56" s="867"/>
      <c r="G56" s="867"/>
      <c r="H56" s="866"/>
      <c r="I56" s="866"/>
      <c r="J56" s="867"/>
      <c r="K56" s="867"/>
      <c r="L56" s="866"/>
      <c r="M56" s="866"/>
      <c r="N56" s="866"/>
      <c r="O56" s="866"/>
    </row>
    <row r="57" spans="1:15" s="835" customFormat="1">
      <c r="A57" s="866"/>
      <c r="B57" s="866"/>
      <c r="C57" s="867"/>
      <c r="D57" s="867"/>
      <c r="E57" s="867"/>
      <c r="F57" s="867"/>
      <c r="G57" s="867"/>
      <c r="H57" s="866"/>
      <c r="I57" s="866"/>
      <c r="J57" s="867"/>
      <c r="K57" s="867"/>
      <c r="L57" s="866"/>
      <c r="M57" s="866"/>
      <c r="N57" s="866"/>
      <c r="O57" s="866"/>
    </row>
    <row r="58" spans="1:15" s="835" customFormat="1">
      <c r="A58" s="866"/>
      <c r="B58" s="866"/>
      <c r="C58" s="867"/>
      <c r="D58" s="867"/>
      <c r="E58" s="867"/>
      <c r="F58" s="867"/>
      <c r="G58" s="867"/>
      <c r="H58" s="866"/>
      <c r="I58" s="866"/>
      <c r="J58" s="867"/>
      <c r="K58" s="867"/>
      <c r="L58" s="866"/>
      <c r="M58" s="866"/>
      <c r="N58" s="866"/>
      <c r="O58" s="866"/>
    </row>
    <row r="59" spans="1:15" s="835" customFormat="1">
      <c r="A59" s="866"/>
      <c r="B59" s="866"/>
      <c r="C59" s="867"/>
      <c r="D59" s="867"/>
      <c r="E59" s="867"/>
      <c r="F59" s="867"/>
      <c r="G59" s="867"/>
      <c r="H59" s="866"/>
      <c r="I59" s="866"/>
      <c r="J59" s="867"/>
      <c r="K59" s="867"/>
      <c r="L59" s="866"/>
      <c r="M59" s="866"/>
      <c r="N59" s="866"/>
      <c r="O59" s="866"/>
    </row>
    <row r="60" spans="1:15" s="835" customFormat="1">
      <c r="A60" s="866"/>
      <c r="B60" s="866"/>
      <c r="C60" s="867"/>
      <c r="D60" s="867"/>
      <c r="E60" s="867"/>
      <c r="F60" s="867"/>
      <c r="G60" s="867"/>
      <c r="H60" s="866"/>
      <c r="I60" s="866"/>
      <c r="J60" s="867"/>
      <c r="K60" s="867"/>
      <c r="L60" s="866"/>
      <c r="M60" s="866"/>
      <c r="N60" s="866"/>
      <c r="O60" s="866"/>
    </row>
    <row r="61" spans="1:15" s="835" customFormat="1">
      <c r="A61" s="866"/>
      <c r="B61" s="866"/>
      <c r="C61" s="867"/>
      <c r="D61" s="867"/>
      <c r="E61" s="867"/>
      <c r="F61" s="867"/>
      <c r="G61" s="867"/>
      <c r="H61" s="866"/>
      <c r="I61" s="866"/>
      <c r="J61" s="867"/>
      <c r="K61" s="867"/>
      <c r="L61" s="866"/>
      <c r="M61" s="866"/>
      <c r="N61" s="866"/>
      <c r="O61" s="866"/>
    </row>
    <row r="62" spans="1:15" s="835" customFormat="1">
      <c r="A62" s="866"/>
      <c r="B62" s="866"/>
      <c r="C62" s="867"/>
      <c r="D62" s="867"/>
      <c r="E62" s="867"/>
      <c r="F62" s="867"/>
      <c r="G62" s="867"/>
      <c r="H62" s="866"/>
      <c r="I62" s="866"/>
      <c r="J62" s="867"/>
      <c r="K62" s="867"/>
      <c r="L62" s="866"/>
      <c r="M62" s="866"/>
      <c r="N62" s="866"/>
      <c r="O62" s="866"/>
    </row>
    <row r="63" spans="1:15" s="835" customFormat="1">
      <c r="A63" s="866"/>
      <c r="B63" s="866"/>
      <c r="C63" s="867"/>
      <c r="D63" s="867"/>
      <c r="E63" s="867"/>
      <c r="F63" s="867"/>
      <c r="G63" s="867"/>
      <c r="H63" s="866"/>
      <c r="I63" s="866"/>
      <c r="J63" s="867"/>
      <c r="K63" s="867"/>
      <c r="L63" s="866"/>
      <c r="M63" s="866"/>
      <c r="N63" s="866"/>
      <c r="O63" s="866"/>
    </row>
    <row r="64" spans="1:15" s="835" customFormat="1">
      <c r="A64" s="866"/>
      <c r="B64" s="866"/>
      <c r="C64" s="867"/>
      <c r="D64" s="867"/>
      <c r="E64" s="867"/>
      <c r="F64" s="867"/>
      <c r="G64" s="867"/>
      <c r="H64" s="866"/>
      <c r="I64" s="866"/>
      <c r="J64" s="867"/>
      <c r="K64" s="867"/>
      <c r="L64" s="866"/>
      <c r="M64" s="866"/>
      <c r="N64" s="866"/>
      <c r="O64" s="866"/>
    </row>
    <row r="65" spans="1:15" s="835" customFormat="1">
      <c r="A65" s="866"/>
      <c r="B65" s="866"/>
      <c r="C65" s="867"/>
      <c r="D65" s="867"/>
      <c r="E65" s="867"/>
      <c r="F65" s="867"/>
      <c r="G65" s="867"/>
      <c r="H65" s="866"/>
      <c r="I65" s="866"/>
      <c r="J65" s="867"/>
      <c r="K65" s="867"/>
      <c r="L65" s="866"/>
      <c r="M65" s="866"/>
      <c r="N65" s="866"/>
      <c r="O65" s="866"/>
    </row>
    <row r="66" spans="1:15" s="835" customFormat="1">
      <c r="A66" s="866"/>
      <c r="B66" s="866"/>
      <c r="C66" s="867"/>
      <c r="D66" s="867"/>
      <c r="E66" s="867"/>
      <c r="F66" s="867"/>
      <c r="G66" s="867"/>
      <c r="H66" s="866"/>
      <c r="I66" s="866"/>
      <c r="J66" s="867"/>
      <c r="K66" s="867"/>
      <c r="L66" s="866"/>
      <c r="M66" s="866"/>
      <c r="N66" s="866"/>
      <c r="O66" s="866"/>
    </row>
    <row r="67" spans="1:15" s="835" customFormat="1">
      <c r="A67" s="866"/>
      <c r="B67" s="866"/>
      <c r="C67" s="867"/>
      <c r="D67" s="867"/>
      <c r="E67" s="867"/>
      <c r="F67" s="867"/>
      <c r="G67" s="867"/>
      <c r="H67" s="866"/>
      <c r="I67" s="866"/>
      <c r="J67" s="867"/>
      <c r="K67" s="867"/>
      <c r="L67" s="866"/>
      <c r="M67" s="866"/>
      <c r="N67" s="866"/>
      <c r="O67" s="866"/>
    </row>
    <row r="68" spans="1:15" s="835" customFormat="1">
      <c r="A68" s="866"/>
      <c r="B68" s="866"/>
      <c r="C68" s="867"/>
      <c r="D68" s="867"/>
      <c r="E68" s="867"/>
      <c r="F68" s="867"/>
      <c r="G68" s="867"/>
      <c r="H68" s="866"/>
      <c r="I68" s="866"/>
      <c r="J68" s="867"/>
      <c r="K68" s="867"/>
      <c r="L68" s="866"/>
      <c r="M68" s="866"/>
      <c r="N68" s="866"/>
      <c r="O68" s="866"/>
    </row>
    <row r="69" spans="1:15" s="835" customFormat="1">
      <c r="A69" s="866"/>
      <c r="B69" s="866"/>
      <c r="C69" s="867"/>
      <c r="D69" s="867"/>
      <c r="E69" s="867"/>
      <c r="F69" s="867"/>
      <c r="G69" s="867"/>
      <c r="H69" s="866"/>
      <c r="I69" s="866"/>
      <c r="J69" s="867"/>
      <c r="K69" s="867"/>
      <c r="L69" s="866"/>
      <c r="M69" s="866"/>
      <c r="N69" s="866"/>
      <c r="O69" s="866"/>
    </row>
    <row r="70" spans="1:15" s="835" customFormat="1">
      <c r="A70" s="866"/>
      <c r="B70" s="866"/>
      <c r="C70" s="867"/>
      <c r="D70" s="867"/>
      <c r="E70" s="867"/>
      <c r="F70" s="867"/>
      <c r="G70" s="867"/>
      <c r="H70" s="866"/>
      <c r="I70" s="866"/>
      <c r="J70" s="867"/>
      <c r="K70" s="867"/>
      <c r="L70" s="866"/>
      <c r="M70" s="866"/>
      <c r="N70" s="866"/>
      <c r="O70" s="866"/>
    </row>
    <row r="71" spans="1:15" s="835" customFormat="1">
      <c r="A71" s="866"/>
      <c r="B71" s="866"/>
      <c r="C71" s="867"/>
      <c r="D71" s="867"/>
      <c r="E71" s="867"/>
      <c r="F71" s="867"/>
      <c r="G71" s="867"/>
      <c r="H71" s="866"/>
      <c r="I71" s="866"/>
      <c r="J71" s="867"/>
      <c r="K71" s="867"/>
      <c r="L71" s="866"/>
      <c r="M71" s="866"/>
      <c r="N71" s="866"/>
      <c r="O71" s="866"/>
    </row>
    <row r="72" spans="1:15" s="835" customFormat="1">
      <c r="A72" s="866"/>
      <c r="B72" s="866"/>
      <c r="C72" s="867"/>
      <c r="D72" s="867"/>
      <c r="E72" s="867"/>
      <c r="F72" s="867"/>
      <c r="G72" s="867"/>
      <c r="H72" s="866"/>
      <c r="I72" s="866"/>
      <c r="J72" s="867"/>
      <c r="K72" s="867"/>
      <c r="L72" s="866"/>
      <c r="M72" s="866"/>
      <c r="N72" s="866"/>
      <c r="O72" s="866"/>
    </row>
    <row r="73" spans="1:15" s="835" customFormat="1">
      <c r="A73" s="866"/>
      <c r="B73" s="866"/>
      <c r="C73" s="867"/>
      <c r="D73" s="867"/>
      <c r="E73" s="867"/>
      <c r="F73" s="867"/>
      <c r="G73" s="867"/>
      <c r="H73" s="866"/>
      <c r="I73" s="866"/>
      <c r="J73" s="867"/>
      <c r="K73" s="867"/>
      <c r="L73" s="866"/>
      <c r="M73" s="866"/>
      <c r="N73" s="866"/>
      <c r="O73" s="866"/>
    </row>
    <row r="74" spans="1:15" s="835" customFormat="1">
      <c r="A74" s="866"/>
      <c r="B74" s="866"/>
      <c r="C74" s="867"/>
      <c r="D74" s="867"/>
      <c r="E74" s="867"/>
      <c r="F74" s="867"/>
      <c r="G74" s="867"/>
      <c r="H74" s="866"/>
      <c r="I74" s="866"/>
      <c r="J74" s="867"/>
      <c r="K74" s="867"/>
      <c r="L74" s="866"/>
      <c r="M74" s="866"/>
      <c r="N74" s="866"/>
      <c r="O74" s="866"/>
    </row>
    <row r="75" spans="1:15" s="835" customFormat="1">
      <c r="A75" s="866"/>
      <c r="B75" s="866"/>
      <c r="C75" s="867"/>
      <c r="D75" s="867"/>
      <c r="E75" s="867"/>
      <c r="F75" s="867"/>
      <c r="G75" s="867"/>
      <c r="H75" s="866"/>
      <c r="I75" s="866"/>
      <c r="J75" s="867"/>
      <c r="K75" s="867"/>
      <c r="L75" s="866"/>
      <c r="M75" s="866"/>
      <c r="N75" s="866"/>
      <c r="O75" s="866"/>
    </row>
    <row r="76" spans="1:15" s="835" customFormat="1">
      <c r="A76" s="866"/>
      <c r="B76" s="866"/>
      <c r="C76" s="867"/>
      <c r="D76" s="867"/>
      <c r="E76" s="867"/>
      <c r="F76" s="867"/>
      <c r="G76" s="867"/>
      <c r="H76" s="866"/>
      <c r="I76" s="866"/>
      <c r="J76" s="867"/>
      <c r="K76" s="867"/>
      <c r="L76" s="866"/>
      <c r="M76" s="866"/>
      <c r="N76" s="866"/>
      <c r="O76" s="866"/>
    </row>
    <row r="77" spans="1:15" s="835" customFormat="1">
      <c r="A77" s="866"/>
      <c r="B77" s="866"/>
      <c r="C77" s="867"/>
      <c r="D77" s="867"/>
      <c r="E77" s="867"/>
      <c r="F77" s="867"/>
      <c r="G77" s="867"/>
      <c r="H77" s="866"/>
      <c r="I77" s="866"/>
      <c r="J77" s="867"/>
      <c r="K77" s="867"/>
      <c r="L77" s="866"/>
      <c r="M77" s="866"/>
      <c r="N77" s="866"/>
      <c r="O77" s="866"/>
    </row>
    <row r="78" spans="1:15" s="835" customFormat="1">
      <c r="A78" s="866"/>
      <c r="B78" s="866"/>
      <c r="C78" s="867"/>
      <c r="D78" s="867"/>
      <c r="E78" s="867"/>
      <c r="F78" s="867"/>
      <c r="G78" s="867"/>
      <c r="H78" s="866"/>
      <c r="I78" s="866"/>
      <c r="J78" s="867"/>
      <c r="K78" s="867"/>
      <c r="L78" s="866"/>
      <c r="M78" s="866"/>
      <c r="N78" s="866"/>
      <c r="O78" s="866"/>
    </row>
    <row r="79" spans="1:15" s="835" customFormat="1">
      <c r="A79" s="866"/>
      <c r="B79" s="866"/>
      <c r="C79" s="867"/>
      <c r="D79" s="867"/>
      <c r="E79" s="867"/>
      <c r="F79" s="867"/>
      <c r="G79" s="867"/>
      <c r="H79" s="866"/>
      <c r="I79" s="866"/>
      <c r="J79" s="867"/>
      <c r="K79" s="867"/>
      <c r="L79" s="866"/>
      <c r="M79" s="866"/>
      <c r="N79" s="866"/>
      <c r="O79" s="866"/>
    </row>
    <row r="80" spans="1:15" s="835" customFormat="1">
      <c r="A80" s="866"/>
      <c r="B80" s="866"/>
      <c r="C80" s="867"/>
      <c r="D80" s="867"/>
      <c r="E80" s="867"/>
      <c r="F80" s="867"/>
      <c r="G80" s="867"/>
      <c r="H80" s="866"/>
      <c r="I80" s="866"/>
      <c r="J80" s="867"/>
      <c r="K80" s="867"/>
      <c r="L80" s="866"/>
      <c r="M80" s="866"/>
      <c r="N80" s="866"/>
      <c r="O80" s="866"/>
    </row>
    <row r="81" spans="1:15" s="835" customFormat="1">
      <c r="A81" s="866"/>
      <c r="B81" s="866"/>
      <c r="C81" s="867"/>
      <c r="D81" s="867"/>
      <c r="E81" s="867"/>
      <c r="F81" s="867"/>
      <c r="G81" s="867"/>
      <c r="H81" s="866"/>
      <c r="I81" s="866"/>
      <c r="J81" s="867"/>
      <c r="K81" s="867"/>
      <c r="L81" s="866"/>
      <c r="M81" s="866"/>
      <c r="N81" s="866"/>
      <c r="O81" s="866"/>
    </row>
    <row r="82" spans="1:15" s="835" customFormat="1">
      <c r="A82" s="866"/>
      <c r="B82" s="866"/>
      <c r="C82" s="867"/>
      <c r="D82" s="867"/>
      <c r="E82" s="867"/>
      <c r="F82" s="867"/>
      <c r="G82" s="867"/>
      <c r="H82" s="866"/>
      <c r="I82" s="866"/>
      <c r="J82" s="867"/>
      <c r="K82" s="867"/>
      <c r="L82" s="866"/>
      <c r="M82" s="866"/>
      <c r="N82" s="866"/>
      <c r="O82" s="866"/>
    </row>
    <row r="83" spans="1:15" s="835" customFormat="1">
      <c r="A83" s="866"/>
      <c r="B83" s="866"/>
      <c r="C83" s="867"/>
      <c r="D83" s="867"/>
      <c r="E83" s="867"/>
      <c r="F83" s="867"/>
      <c r="G83" s="867"/>
      <c r="H83" s="866"/>
      <c r="I83" s="866"/>
      <c r="J83" s="867"/>
      <c r="K83" s="867"/>
      <c r="L83" s="866"/>
      <c r="M83" s="866"/>
      <c r="N83" s="866"/>
      <c r="O83" s="866"/>
    </row>
    <row r="84" spans="1:15" s="835" customFormat="1">
      <c r="A84" s="866"/>
      <c r="B84" s="866"/>
      <c r="C84" s="867"/>
      <c r="D84" s="867"/>
      <c r="E84" s="867"/>
      <c r="F84" s="867"/>
      <c r="G84" s="867"/>
      <c r="H84" s="866"/>
      <c r="I84" s="866"/>
      <c r="J84" s="867"/>
      <c r="K84" s="867"/>
      <c r="L84" s="866"/>
      <c r="M84" s="866"/>
      <c r="N84" s="866"/>
      <c r="O84" s="866"/>
    </row>
    <row r="85" spans="1:15" s="835" customFormat="1">
      <c r="A85" s="866"/>
      <c r="B85" s="866"/>
      <c r="C85" s="867"/>
      <c r="D85" s="867"/>
      <c r="E85" s="867"/>
      <c r="F85" s="867"/>
      <c r="G85" s="867"/>
      <c r="H85" s="866"/>
      <c r="I85" s="866"/>
      <c r="J85" s="867"/>
      <c r="K85" s="867"/>
      <c r="L85" s="866"/>
      <c r="M85" s="866"/>
      <c r="N85" s="866"/>
      <c r="O85" s="866"/>
    </row>
    <row r="86" spans="1:15" s="835" customFormat="1">
      <c r="A86" s="866"/>
      <c r="B86" s="866"/>
      <c r="C86" s="867"/>
      <c r="D86" s="867"/>
      <c r="E86" s="867"/>
      <c r="F86" s="867"/>
      <c r="G86" s="867"/>
      <c r="H86" s="866"/>
      <c r="I86" s="866"/>
      <c r="J86" s="867"/>
      <c r="K86" s="867"/>
      <c r="L86" s="866"/>
      <c r="M86" s="866"/>
      <c r="N86" s="866"/>
      <c r="O86" s="866"/>
    </row>
    <row r="87" spans="1:15" s="835" customFormat="1">
      <c r="A87" s="866"/>
      <c r="B87" s="866"/>
      <c r="C87" s="867"/>
      <c r="D87" s="867"/>
      <c r="E87" s="867"/>
      <c r="F87" s="867"/>
      <c r="G87" s="867"/>
      <c r="H87" s="866"/>
      <c r="I87" s="866"/>
      <c r="J87" s="867"/>
      <c r="K87" s="867"/>
      <c r="L87" s="866"/>
      <c r="M87" s="866"/>
      <c r="N87" s="866"/>
      <c r="O87" s="866"/>
    </row>
    <row r="88" spans="1:15" s="835" customFormat="1">
      <c r="A88" s="866"/>
      <c r="B88" s="866"/>
      <c r="C88" s="867"/>
      <c r="D88" s="867"/>
      <c r="E88" s="867"/>
      <c r="F88" s="867"/>
      <c r="G88" s="867"/>
      <c r="H88" s="866"/>
      <c r="I88" s="866"/>
      <c r="J88" s="867"/>
      <c r="K88" s="867"/>
      <c r="L88" s="866"/>
      <c r="M88" s="866"/>
      <c r="N88" s="866"/>
      <c r="O88" s="866"/>
    </row>
    <row r="89" spans="1:15" s="835" customFormat="1">
      <c r="A89" s="866"/>
      <c r="B89" s="866"/>
      <c r="C89" s="867"/>
      <c r="D89" s="867"/>
      <c r="E89" s="867"/>
      <c r="F89" s="867"/>
      <c r="G89" s="867"/>
      <c r="H89" s="866"/>
      <c r="I89" s="866"/>
      <c r="J89" s="867"/>
      <c r="K89" s="867"/>
      <c r="L89" s="866"/>
      <c r="M89" s="866"/>
      <c r="N89" s="866"/>
      <c r="O89" s="866"/>
    </row>
    <row r="90" spans="1:15" s="835" customFormat="1">
      <c r="A90" s="866"/>
      <c r="B90" s="866"/>
      <c r="C90" s="867"/>
      <c r="D90" s="867"/>
      <c r="E90" s="867"/>
      <c r="F90" s="867"/>
      <c r="G90" s="867"/>
      <c r="H90" s="866"/>
      <c r="I90" s="866"/>
      <c r="J90" s="867"/>
      <c r="K90" s="867"/>
      <c r="L90" s="866"/>
      <c r="M90" s="866"/>
      <c r="N90" s="866"/>
      <c r="O90" s="866"/>
    </row>
    <row r="91" spans="1:15" s="835" customFormat="1">
      <c r="A91" s="866"/>
      <c r="B91" s="866"/>
      <c r="C91" s="867"/>
      <c r="D91" s="867"/>
      <c r="E91" s="867"/>
      <c r="F91" s="867"/>
      <c r="G91" s="867"/>
      <c r="H91" s="866"/>
      <c r="I91" s="866"/>
      <c r="J91" s="867"/>
      <c r="K91" s="867"/>
      <c r="L91" s="866"/>
      <c r="M91" s="866"/>
      <c r="N91" s="866"/>
      <c r="O91" s="866"/>
    </row>
    <row r="92" spans="1:15" s="835" customFormat="1">
      <c r="A92" s="866"/>
      <c r="B92" s="866"/>
      <c r="C92" s="867"/>
      <c r="D92" s="867"/>
      <c r="E92" s="867"/>
      <c r="F92" s="867"/>
      <c r="G92" s="867"/>
      <c r="H92" s="866"/>
      <c r="I92" s="866"/>
      <c r="J92" s="867"/>
      <c r="K92" s="867"/>
      <c r="L92" s="866"/>
      <c r="M92" s="866"/>
      <c r="N92" s="866"/>
      <c r="O92" s="866"/>
    </row>
  </sheetData>
  <customSheetViews>
    <customSheetView guid="{8EE6466D-211E-4E05-9F84-CC0A1C6F79F4}" scale="65" showGridLines="0" outlineSymbols="0" topLeftCell="A16">
      <selection activeCell="C54" sqref="C54:C55"/>
      <pageMargins left="0.75" right="0.5" top="1" bottom="0.5" header="0" footer="0.25"/>
      <pageSetup scale="60" orientation="landscape" r:id="rId1"/>
      <headerFooter scaleWithDoc="0" alignWithMargins="0">
        <oddFooter>&amp;C&amp;8 41</oddFooter>
      </headerFooter>
    </customSheetView>
  </customSheetViews>
  <pageMargins left="0.75" right="0.5" top="1" bottom="0.5" header="0" footer="0.25"/>
  <pageSetup scale="60" firstPageNumber="41" orientation="landscape" useFirstPageNumber="1" r:id="rId2"/>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V135"/>
  <sheetViews>
    <sheetView zoomScale="70" zoomScaleNormal="70" workbookViewId="0"/>
  </sheetViews>
  <sheetFormatPr defaultColWidth="8.90625" defaultRowHeight="13.2"/>
  <cols>
    <col min="1" max="1" width="56.08984375" style="871" customWidth="1"/>
    <col min="2" max="2" width="5.90625" style="871" customWidth="1"/>
    <col min="3" max="3" width="9.81640625" style="871" customWidth="1"/>
    <col min="4" max="4" width="21.36328125" style="871" customWidth="1"/>
    <col min="5" max="5" width="1.81640625" style="871" customWidth="1"/>
    <col min="6" max="6" width="16.90625" style="871" customWidth="1"/>
    <col min="7" max="7" width="2.36328125" style="871" customWidth="1"/>
    <col min="8" max="8" width="19.1796875" style="871" customWidth="1"/>
    <col min="9" max="9" width="1.6328125" style="871" customWidth="1"/>
    <col min="10" max="10" width="20.81640625" style="871" customWidth="1"/>
    <col min="11" max="11" width="2.08984375" style="871" customWidth="1"/>
    <col min="12" max="12" width="22.453125" style="871" customWidth="1"/>
    <col min="13" max="13" width="2.453125" style="871" customWidth="1"/>
    <col min="14" max="14" width="10.81640625" style="871" bestFit="1" customWidth="1"/>
    <col min="15" max="15" width="12.54296875" style="871" bestFit="1" customWidth="1"/>
    <col min="16" max="16384" width="8.90625" style="871"/>
  </cols>
  <sheetData>
    <row r="1" spans="1:256" ht="15">
      <c r="A1" s="1172" t="s">
        <v>1103</v>
      </c>
    </row>
    <row r="2" spans="1:256" ht="18" customHeight="1"/>
    <row r="3" spans="1:256" ht="17.399999999999999">
      <c r="A3" s="872" t="s">
        <v>0</v>
      </c>
      <c r="B3" s="873"/>
      <c r="C3" s="873"/>
      <c r="D3" s="874"/>
      <c r="E3" s="874"/>
      <c r="F3" s="873"/>
      <c r="G3" s="873" t="s">
        <v>16</v>
      </c>
      <c r="H3" s="873"/>
      <c r="I3" s="873"/>
      <c r="J3" s="873"/>
      <c r="K3" s="873"/>
      <c r="L3" s="875" t="s">
        <v>382</v>
      </c>
      <c r="M3" s="874"/>
      <c r="N3" s="876"/>
      <c r="O3" s="876"/>
      <c r="P3" s="876"/>
      <c r="Q3" s="876"/>
      <c r="R3" s="876"/>
      <c r="S3" s="876"/>
      <c r="T3" s="876"/>
      <c r="U3" s="876"/>
      <c r="V3" s="876"/>
      <c r="W3" s="876"/>
      <c r="X3" s="876"/>
      <c r="Y3" s="876"/>
      <c r="Z3" s="876"/>
      <c r="AA3" s="876"/>
      <c r="AB3" s="876"/>
      <c r="AC3" s="876"/>
      <c r="AD3" s="876"/>
      <c r="AE3" s="876"/>
      <c r="AF3" s="876"/>
      <c r="AG3" s="876"/>
      <c r="AH3" s="876"/>
      <c r="AI3" s="876"/>
      <c r="AJ3" s="876"/>
      <c r="AK3" s="876"/>
      <c r="AL3" s="876"/>
      <c r="AM3" s="876"/>
      <c r="AN3" s="876"/>
      <c r="AO3" s="876"/>
      <c r="AP3" s="876"/>
      <c r="AQ3" s="876"/>
      <c r="AR3" s="876"/>
      <c r="AS3" s="876"/>
      <c r="AT3" s="876"/>
      <c r="AU3" s="876"/>
      <c r="AV3" s="876"/>
      <c r="AW3" s="876"/>
      <c r="AX3" s="876"/>
      <c r="AY3" s="876"/>
      <c r="AZ3" s="876"/>
      <c r="BA3" s="876"/>
      <c r="BB3" s="876"/>
      <c r="BC3" s="876"/>
      <c r="BD3" s="876"/>
      <c r="BE3" s="876"/>
      <c r="BF3" s="876"/>
      <c r="BG3" s="876"/>
      <c r="BH3" s="876"/>
      <c r="BI3" s="876"/>
      <c r="BJ3" s="876"/>
      <c r="BK3" s="876"/>
      <c r="BL3" s="876"/>
      <c r="BM3" s="876"/>
      <c r="BN3" s="876"/>
      <c r="BO3" s="876"/>
      <c r="BP3" s="876"/>
      <c r="BQ3" s="876"/>
      <c r="BR3" s="876"/>
      <c r="BS3" s="876"/>
      <c r="BT3" s="876"/>
      <c r="BU3" s="876"/>
      <c r="BV3" s="876"/>
      <c r="BW3" s="876"/>
      <c r="BX3" s="876"/>
      <c r="BY3" s="876"/>
      <c r="BZ3" s="876"/>
      <c r="CA3" s="876"/>
      <c r="CB3" s="876"/>
      <c r="CC3" s="876"/>
      <c r="CD3" s="876"/>
      <c r="CE3" s="876"/>
      <c r="CF3" s="876"/>
      <c r="CG3" s="876"/>
      <c r="CH3" s="876"/>
      <c r="CI3" s="876"/>
      <c r="CJ3" s="876"/>
      <c r="CK3" s="876"/>
      <c r="CL3" s="876"/>
      <c r="CM3" s="876"/>
      <c r="CN3" s="876"/>
      <c r="CO3" s="876"/>
      <c r="CP3" s="876"/>
      <c r="CQ3" s="876"/>
      <c r="CR3" s="876"/>
      <c r="CS3" s="876"/>
      <c r="CT3" s="876"/>
      <c r="CU3" s="876"/>
      <c r="CV3" s="876"/>
      <c r="CW3" s="876"/>
      <c r="CX3" s="876"/>
      <c r="CY3" s="876"/>
      <c r="CZ3" s="876"/>
      <c r="DA3" s="876"/>
      <c r="DB3" s="876"/>
      <c r="DC3" s="876"/>
      <c r="DD3" s="876"/>
      <c r="DE3" s="876"/>
      <c r="DF3" s="876"/>
      <c r="DG3" s="876"/>
      <c r="DH3" s="876"/>
      <c r="DI3" s="876"/>
      <c r="DJ3" s="876"/>
      <c r="DK3" s="876"/>
      <c r="DL3" s="876"/>
      <c r="DM3" s="876"/>
      <c r="DN3" s="876"/>
      <c r="DO3" s="876"/>
      <c r="DP3" s="876"/>
      <c r="DQ3" s="876"/>
      <c r="DR3" s="876"/>
      <c r="DS3" s="876"/>
      <c r="DT3" s="876"/>
      <c r="DU3" s="876"/>
      <c r="DV3" s="876"/>
      <c r="DW3" s="876"/>
      <c r="DX3" s="876"/>
      <c r="DY3" s="876"/>
      <c r="DZ3" s="876"/>
      <c r="EA3" s="876"/>
      <c r="EB3" s="876"/>
      <c r="EC3" s="876"/>
      <c r="ED3" s="876"/>
      <c r="EE3" s="876"/>
      <c r="EF3" s="876"/>
      <c r="EG3" s="876"/>
      <c r="EH3" s="876"/>
      <c r="EI3" s="876"/>
      <c r="EJ3" s="876"/>
      <c r="EK3" s="876"/>
      <c r="EL3" s="876"/>
      <c r="EM3" s="876"/>
      <c r="EN3" s="876"/>
      <c r="EO3" s="876"/>
      <c r="EP3" s="876"/>
      <c r="EQ3" s="876"/>
      <c r="ER3" s="876"/>
      <c r="ES3" s="876"/>
      <c r="ET3" s="876"/>
      <c r="EU3" s="876"/>
      <c r="EV3" s="876"/>
      <c r="EW3" s="876"/>
      <c r="EX3" s="876"/>
      <c r="EY3" s="876"/>
      <c r="EZ3" s="876"/>
      <c r="FA3" s="876"/>
      <c r="FB3" s="876"/>
      <c r="FC3" s="876"/>
      <c r="FD3" s="876"/>
      <c r="FE3" s="876"/>
      <c r="FF3" s="876"/>
      <c r="FG3" s="876"/>
      <c r="FH3" s="876"/>
      <c r="FI3" s="876"/>
      <c r="FJ3" s="876"/>
      <c r="FK3" s="876"/>
      <c r="FL3" s="876"/>
      <c r="FM3" s="876"/>
      <c r="FN3" s="876"/>
      <c r="FO3" s="876"/>
      <c r="FP3" s="876"/>
      <c r="FQ3" s="876"/>
      <c r="FR3" s="876"/>
      <c r="FS3" s="876"/>
      <c r="FT3" s="876"/>
      <c r="FU3" s="876"/>
      <c r="FV3" s="876"/>
      <c r="FW3" s="876"/>
      <c r="FX3" s="876"/>
      <c r="FY3" s="876"/>
      <c r="FZ3" s="876"/>
      <c r="GA3" s="876"/>
      <c r="GB3" s="876"/>
      <c r="GC3" s="876"/>
      <c r="GD3" s="876"/>
      <c r="GE3" s="876"/>
      <c r="GF3" s="876"/>
      <c r="GG3" s="876"/>
      <c r="GH3" s="876"/>
      <c r="GI3" s="876"/>
      <c r="GJ3" s="876"/>
      <c r="GK3" s="876"/>
      <c r="GL3" s="876"/>
      <c r="GM3" s="876"/>
      <c r="GN3" s="876"/>
      <c r="GO3" s="876"/>
      <c r="GP3" s="876"/>
      <c r="GQ3" s="876"/>
      <c r="GR3" s="876"/>
      <c r="GS3" s="876"/>
      <c r="GT3" s="876"/>
      <c r="GU3" s="876"/>
      <c r="GV3" s="876"/>
      <c r="GW3" s="876"/>
      <c r="GX3" s="876"/>
      <c r="GY3" s="876"/>
      <c r="GZ3" s="876"/>
      <c r="HA3" s="876"/>
      <c r="HB3" s="876"/>
      <c r="HC3" s="876"/>
      <c r="HD3" s="876"/>
      <c r="HE3" s="876"/>
      <c r="HF3" s="876"/>
      <c r="HG3" s="876"/>
      <c r="HH3" s="876"/>
      <c r="HI3" s="876"/>
      <c r="HJ3" s="876"/>
      <c r="HK3" s="876"/>
      <c r="HL3" s="876"/>
      <c r="HM3" s="876"/>
      <c r="HN3" s="876"/>
      <c r="HO3" s="876"/>
      <c r="HP3" s="876"/>
      <c r="HQ3" s="876"/>
      <c r="HR3" s="876"/>
      <c r="HS3" s="876"/>
      <c r="HT3" s="876"/>
      <c r="HU3" s="876"/>
      <c r="HV3" s="876"/>
      <c r="HW3" s="876"/>
      <c r="HX3" s="876"/>
      <c r="HY3" s="876"/>
      <c r="HZ3" s="876"/>
      <c r="IA3" s="876"/>
      <c r="IB3" s="876"/>
      <c r="IC3" s="876"/>
      <c r="ID3" s="876"/>
      <c r="IE3" s="876"/>
      <c r="IF3" s="876"/>
      <c r="IG3" s="876"/>
      <c r="IH3" s="876"/>
      <c r="II3" s="876"/>
      <c r="IJ3" s="876"/>
      <c r="IK3" s="876"/>
      <c r="IL3" s="876"/>
      <c r="IM3" s="876"/>
      <c r="IN3" s="876"/>
      <c r="IO3" s="876"/>
      <c r="IP3" s="876"/>
      <c r="IQ3" s="876"/>
      <c r="IR3" s="876"/>
      <c r="IS3" s="876"/>
      <c r="IT3" s="876"/>
      <c r="IU3" s="876"/>
      <c r="IV3" s="876"/>
    </row>
    <row r="4" spans="1:256" ht="17.399999999999999">
      <c r="A4" s="872" t="s">
        <v>383</v>
      </c>
      <c r="B4" s="873"/>
      <c r="C4" s="873"/>
      <c r="D4" s="874"/>
      <c r="E4" s="874"/>
      <c r="F4" s="873"/>
      <c r="G4" s="873"/>
      <c r="H4" s="873"/>
      <c r="I4" s="873"/>
      <c r="J4" s="873"/>
      <c r="K4" s="873"/>
      <c r="L4" s="877"/>
      <c r="M4" s="874"/>
      <c r="N4" s="876"/>
      <c r="O4" s="876"/>
      <c r="P4" s="876"/>
      <c r="Q4" s="876"/>
      <c r="R4" s="876"/>
      <c r="S4" s="876"/>
      <c r="T4" s="876"/>
      <c r="U4" s="876"/>
      <c r="V4" s="876"/>
      <c r="W4" s="876"/>
      <c r="X4" s="876"/>
      <c r="Y4" s="876"/>
      <c r="Z4" s="876"/>
      <c r="AA4" s="876"/>
      <c r="AB4" s="876"/>
      <c r="AC4" s="876"/>
      <c r="AD4" s="876"/>
      <c r="AE4" s="876"/>
      <c r="AF4" s="876"/>
      <c r="AG4" s="876"/>
      <c r="AH4" s="876"/>
      <c r="AI4" s="876"/>
      <c r="AJ4" s="876"/>
      <c r="AK4" s="876"/>
      <c r="AL4" s="876"/>
      <c r="AM4" s="876"/>
      <c r="AN4" s="876"/>
      <c r="AO4" s="876"/>
      <c r="AP4" s="876"/>
      <c r="AQ4" s="876"/>
      <c r="AR4" s="876"/>
      <c r="AS4" s="876"/>
      <c r="AT4" s="876"/>
      <c r="AU4" s="876"/>
      <c r="AV4" s="876"/>
      <c r="AW4" s="876"/>
      <c r="AX4" s="876"/>
      <c r="AY4" s="876"/>
      <c r="AZ4" s="876"/>
      <c r="BA4" s="876"/>
      <c r="BB4" s="876"/>
      <c r="BC4" s="876"/>
      <c r="BD4" s="876"/>
      <c r="BE4" s="876"/>
      <c r="BF4" s="876"/>
      <c r="BG4" s="876"/>
      <c r="BH4" s="876"/>
      <c r="BI4" s="876"/>
      <c r="BJ4" s="876"/>
      <c r="BK4" s="876"/>
      <c r="BL4" s="876"/>
      <c r="BM4" s="876"/>
      <c r="BN4" s="876"/>
      <c r="BO4" s="876"/>
      <c r="BP4" s="876"/>
      <c r="BQ4" s="876"/>
      <c r="BR4" s="876"/>
      <c r="BS4" s="876"/>
      <c r="BT4" s="876"/>
      <c r="BU4" s="876"/>
      <c r="BV4" s="876"/>
      <c r="BW4" s="876"/>
      <c r="BX4" s="876"/>
      <c r="BY4" s="876"/>
      <c r="BZ4" s="876"/>
      <c r="CA4" s="876"/>
      <c r="CB4" s="876"/>
      <c r="CC4" s="876"/>
      <c r="CD4" s="876"/>
      <c r="CE4" s="876"/>
      <c r="CF4" s="876"/>
      <c r="CG4" s="876"/>
      <c r="CH4" s="876"/>
      <c r="CI4" s="876"/>
      <c r="CJ4" s="876"/>
      <c r="CK4" s="876"/>
      <c r="CL4" s="876"/>
      <c r="CM4" s="876"/>
      <c r="CN4" s="876"/>
      <c r="CO4" s="876"/>
      <c r="CP4" s="876"/>
      <c r="CQ4" s="876"/>
      <c r="CR4" s="876"/>
      <c r="CS4" s="876"/>
      <c r="CT4" s="876"/>
      <c r="CU4" s="876"/>
      <c r="CV4" s="876"/>
      <c r="CW4" s="876"/>
      <c r="CX4" s="876"/>
      <c r="CY4" s="876"/>
      <c r="CZ4" s="876"/>
      <c r="DA4" s="876"/>
      <c r="DB4" s="876"/>
      <c r="DC4" s="876"/>
      <c r="DD4" s="876"/>
      <c r="DE4" s="876"/>
      <c r="DF4" s="876"/>
      <c r="DG4" s="876"/>
      <c r="DH4" s="876"/>
      <c r="DI4" s="876"/>
      <c r="DJ4" s="876"/>
      <c r="DK4" s="876"/>
      <c r="DL4" s="876"/>
      <c r="DM4" s="876"/>
      <c r="DN4" s="876"/>
      <c r="DO4" s="876"/>
      <c r="DP4" s="876"/>
      <c r="DQ4" s="876"/>
      <c r="DR4" s="876"/>
      <c r="DS4" s="876"/>
      <c r="DT4" s="876"/>
      <c r="DU4" s="876"/>
      <c r="DV4" s="876"/>
      <c r="DW4" s="876"/>
      <c r="DX4" s="876"/>
      <c r="DY4" s="876"/>
      <c r="DZ4" s="876"/>
      <c r="EA4" s="876"/>
      <c r="EB4" s="876"/>
      <c r="EC4" s="876"/>
      <c r="ED4" s="876"/>
      <c r="EE4" s="876"/>
      <c r="EF4" s="876"/>
      <c r="EG4" s="876"/>
      <c r="EH4" s="876"/>
      <c r="EI4" s="876"/>
      <c r="EJ4" s="876"/>
      <c r="EK4" s="876"/>
      <c r="EL4" s="876"/>
      <c r="EM4" s="876"/>
      <c r="EN4" s="876"/>
      <c r="EO4" s="876"/>
      <c r="EP4" s="876"/>
      <c r="EQ4" s="876"/>
      <c r="ER4" s="876"/>
      <c r="ES4" s="876"/>
      <c r="ET4" s="876"/>
      <c r="EU4" s="876"/>
      <c r="EV4" s="876"/>
      <c r="EW4" s="876"/>
      <c r="EX4" s="876"/>
      <c r="EY4" s="876"/>
      <c r="EZ4" s="876"/>
      <c r="FA4" s="876"/>
      <c r="FB4" s="876"/>
      <c r="FC4" s="876"/>
      <c r="FD4" s="876"/>
      <c r="FE4" s="876"/>
      <c r="FF4" s="876"/>
      <c r="FG4" s="876"/>
      <c r="FH4" s="876"/>
      <c r="FI4" s="876"/>
      <c r="FJ4" s="876"/>
      <c r="FK4" s="876"/>
      <c r="FL4" s="876"/>
      <c r="FM4" s="876"/>
      <c r="FN4" s="876"/>
      <c r="FO4" s="876"/>
      <c r="FP4" s="876"/>
      <c r="FQ4" s="876"/>
      <c r="FR4" s="876"/>
      <c r="FS4" s="876"/>
      <c r="FT4" s="876"/>
      <c r="FU4" s="876"/>
      <c r="FV4" s="876"/>
      <c r="FW4" s="876"/>
      <c r="FX4" s="876"/>
      <c r="FY4" s="876"/>
      <c r="FZ4" s="876"/>
      <c r="GA4" s="876"/>
      <c r="GB4" s="876"/>
      <c r="GC4" s="876"/>
      <c r="GD4" s="876"/>
      <c r="GE4" s="876"/>
      <c r="GF4" s="876"/>
      <c r="GG4" s="876"/>
      <c r="GH4" s="876"/>
      <c r="GI4" s="876"/>
      <c r="GJ4" s="876"/>
      <c r="GK4" s="876"/>
      <c r="GL4" s="876"/>
      <c r="GM4" s="876"/>
      <c r="GN4" s="876"/>
      <c r="GO4" s="876"/>
      <c r="GP4" s="876"/>
      <c r="GQ4" s="876"/>
      <c r="GR4" s="876"/>
      <c r="GS4" s="876"/>
      <c r="GT4" s="876"/>
      <c r="GU4" s="876"/>
      <c r="GV4" s="876"/>
      <c r="GW4" s="876"/>
      <c r="GX4" s="876"/>
      <c r="GY4" s="876"/>
      <c r="GZ4" s="876"/>
      <c r="HA4" s="876"/>
      <c r="HB4" s="876"/>
      <c r="HC4" s="876"/>
      <c r="HD4" s="876"/>
      <c r="HE4" s="876"/>
      <c r="HF4" s="876"/>
      <c r="HG4" s="876"/>
      <c r="HH4" s="876"/>
      <c r="HI4" s="876"/>
      <c r="HJ4" s="876"/>
      <c r="HK4" s="876"/>
      <c r="HL4" s="876"/>
      <c r="HM4" s="876"/>
      <c r="HN4" s="876"/>
      <c r="HO4" s="876"/>
      <c r="HP4" s="876"/>
      <c r="HQ4" s="876"/>
      <c r="HR4" s="876"/>
      <c r="HS4" s="876"/>
      <c r="HT4" s="876"/>
      <c r="HU4" s="876"/>
      <c r="HV4" s="876"/>
      <c r="HW4" s="876"/>
      <c r="HX4" s="876"/>
      <c r="HY4" s="876"/>
      <c r="HZ4" s="876"/>
      <c r="IA4" s="876"/>
      <c r="IB4" s="876"/>
      <c r="IC4" s="876"/>
      <c r="ID4" s="876"/>
      <c r="IE4" s="876"/>
      <c r="IF4" s="876"/>
      <c r="IG4" s="876"/>
      <c r="IH4" s="876"/>
      <c r="II4" s="876"/>
      <c r="IJ4" s="876"/>
      <c r="IK4" s="876"/>
      <c r="IL4" s="876"/>
      <c r="IM4" s="876"/>
      <c r="IN4" s="876"/>
      <c r="IO4" s="876"/>
      <c r="IP4" s="876"/>
      <c r="IQ4" s="876"/>
      <c r="IR4" s="876"/>
      <c r="IS4" s="876"/>
      <c r="IT4" s="876"/>
      <c r="IU4" s="876"/>
      <c r="IV4" s="876"/>
    </row>
    <row r="5" spans="1:256" ht="17.399999999999999">
      <c r="A5" s="878" t="s">
        <v>384</v>
      </c>
      <c r="B5" s="873"/>
      <c r="C5" s="873"/>
      <c r="D5" s="874"/>
      <c r="E5" s="874"/>
      <c r="F5" s="873"/>
      <c r="G5" s="873"/>
      <c r="H5" s="873"/>
      <c r="I5" s="873"/>
      <c r="J5" s="873"/>
      <c r="K5" s="873"/>
      <c r="L5" s="873"/>
      <c r="M5" s="874"/>
      <c r="N5" s="876"/>
      <c r="O5" s="876"/>
      <c r="P5" s="876"/>
      <c r="Q5" s="876"/>
      <c r="R5" s="876"/>
      <c r="S5" s="876"/>
      <c r="T5" s="876"/>
      <c r="U5" s="876"/>
      <c r="V5" s="876"/>
      <c r="W5" s="876"/>
      <c r="X5" s="876"/>
      <c r="Y5" s="876"/>
      <c r="Z5" s="876"/>
      <c r="AA5" s="876"/>
      <c r="AB5" s="876"/>
      <c r="AC5" s="876"/>
      <c r="AD5" s="876"/>
      <c r="AE5" s="876"/>
      <c r="AF5" s="876"/>
      <c r="AG5" s="876"/>
      <c r="AH5" s="876"/>
      <c r="AI5" s="876"/>
      <c r="AJ5" s="876"/>
      <c r="AK5" s="876"/>
      <c r="AL5" s="876"/>
      <c r="AM5" s="876"/>
      <c r="AN5" s="876"/>
      <c r="AO5" s="876"/>
      <c r="AP5" s="876"/>
      <c r="AQ5" s="876"/>
      <c r="AR5" s="876"/>
      <c r="AS5" s="876"/>
      <c r="AT5" s="876"/>
      <c r="AU5" s="876"/>
      <c r="AV5" s="876"/>
      <c r="AW5" s="876"/>
      <c r="AX5" s="876"/>
      <c r="AY5" s="876"/>
      <c r="AZ5" s="876"/>
      <c r="BA5" s="876"/>
      <c r="BB5" s="876"/>
      <c r="BC5" s="876"/>
      <c r="BD5" s="876"/>
      <c r="BE5" s="876"/>
      <c r="BF5" s="876"/>
      <c r="BG5" s="876"/>
      <c r="BH5" s="876"/>
      <c r="BI5" s="876"/>
      <c r="BJ5" s="876"/>
      <c r="BK5" s="876"/>
      <c r="BL5" s="876"/>
      <c r="BM5" s="876"/>
      <c r="BN5" s="876"/>
      <c r="BO5" s="876"/>
      <c r="BP5" s="876"/>
      <c r="BQ5" s="876"/>
      <c r="BR5" s="876"/>
      <c r="BS5" s="876"/>
      <c r="BT5" s="876"/>
      <c r="BU5" s="876"/>
      <c r="BV5" s="876"/>
      <c r="BW5" s="876"/>
      <c r="BX5" s="876"/>
      <c r="BY5" s="876"/>
      <c r="BZ5" s="876"/>
      <c r="CA5" s="876"/>
      <c r="CB5" s="876"/>
      <c r="CC5" s="876"/>
      <c r="CD5" s="876"/>
      <c r="CE5" s="876"/>
      <c r="CF5" s="876"/>
      <c r="CG5" s="876"/>
      <c r="CH5" s="876"/>
      <c r="CI5" s="876"/>
      <c r="CJ5" s="876"/>
      <c r="CK5" s="876"/>
      <c r="CL5" s="876"/>
      <c r="CM5" s="876"/>
      <c r="CN5" s="876"/>
      <c r="CO5" s="876"/>
      <c r="CP5" s="876"/>
      <c r="CQ5" s="876"/>
      <c r="CR5" s="876"/>
      <c r="CS5" s="876"/>
      <c r="CT5" s="876"/>
      <c r="CU5" s="876"/>
      <c r="CV5" s="876"/>
      <c r="CW5" s="876"/>
      <c r="CX5" s="876"/>
      <c r="CY5" s="876"/>
      <c r="CZ5" s="876"/>
      <c r="DA5" s="876"/>
      <c r="DB5" s="876"/>
      <c r="DC5" s="876"/>
      <c r="DD5" s="876"/>
      <c r="DE5" s="876"/>
      <c r="DF5" s="876"/>
      <c r="DG5" s="876"/>
      <c r="DH5" s="876"/>
      <c r="DI5" s="876"/>
      <c r="DJ5" s="876"/>
      <c r="DK5" s="876"/>
      <c r="DL5" s="876"/>
      <c r="DM5" s="876"/>
      <c r="DN5" s="876"/>
      <c r="DO5" s="876"/>
      <c r="DP5" s="876"/>
      <c r="DQ5" s="876"/>
      <c r="DR5" s="876"/>
      <c r="DS5" s="876"/>
      <c r="DT5" s="876"/>
      <c r="DU5" s="876"/>
      <c r="DV5" s="876"/>
      <c r="DW5" s="876"/>
      <c r="DX5" s="876"/>
      <c r="DY5" s="876"/>
      <c r="DZ5" s="876"/>
      <c r="EA5" s="876"/>
      <c r="EB5" s="876"/>
      <c r="EC5" s="876"/>
      <c r="ED5" s="876"/>
      <c r="EE5" s="876"/>
      <c r="EF5" s="876"/>
      <c r="EG5" s="876"/>
      <c r="EH5" s="876"/>
      <c r="EI5" s="876"/>
      <c r="EJ5" s="876"/>
      <c r="EK5" s="876"/>
      <c r="EL5" s="876"/>
      <c r="EM5" s="876"/>
      <c r="EN5" s="876"/>
      <c r="EO5" s="876"/>
      <c r="EP5" s="876"/>
      <c r="EQ5" s="876"/>
      <c r="ER5" s="876"/>
      <c r="ES5" s="876"/>
      <c r="ET5" s="876"/>
      <c r="EU5" s="876"/>
      <c r="EV5" s="876"/>
      <c r="EW5" s="876"/>
      <c r="EX5" s="876"/>
      <c r="EY5" s="876"/>
      <c r="EZ5" s="876"/>
      <c r="FA5" s="876"/>
      <c r="FB5" s="876"/>
      <c r="FC5" s="876"/>
      <c r="FD5" s="876"/>
      <c r="FE5" s="876"/>
      <c r="FF5" s="876"/>
      <c r="FG5" s="876"/>
      <c r="FH5" s="876"/>
      <c r="FI5" s="876"/>
      <c r="FJ5" s="876"/>
      <c r="FK5" s="876"/>
      <c r="FL5" s="876"/>
      <c r="FM5" s="876"/>
      <c r="FN5" s="876"/>
      <c r="FO5" s="876"/>
      <c r="FP5" s="876"/>
      <c r="FQ5" s="876"/>
      <c r="FR5" s="876"/>
      <c r="FS5" s="876"/>
      <c r="FT5" s="876"/>
      <c r="FU5" s="876"/>
      <c r="FV5" s="876"/>
      <c r="FW5" s="876"/>
      <c r="FX5" s="876"/>
      <c r="FY5" s="876"/>
      <c r="FZ5" s="876"/>
      <c r="GA5" s="876"/>
      <c r="GB5" s="876"/>
      <c r="GC5" s="876"/>
      <c r="GD5" s="876"/>
      <c r="GE5" s="876"/>
      <c r="GF5" s="876"/>
      <c r="GG5" s="876"/>
      <c r="GH5" s="876"/>
      <c r="GI5" s="876"/>
      <c r="GJ5" s="876"/>
      <c r="GK5" s="876"/>
      <c r="GL5" s="876"/>
      <c r="GM5" s="876"/>
      <c r="GN5" s="876"/>
      <c r="GO5" s="876"/>
      <c r="GP5" s="876"/>
      <c r="GQ5" s="876"/>
      <c r="GR5" s="876"/>
      <c r="GS5" s="876"/>
      <c r="GT5" s="876"/>
      <c r="GU5" s="876"/>
      <c r="GV5" s="876"/>
      <c r="GW5" s="876"/>
      <c r="GX5" s="876"/>
      <c r="GY5" s="876"/>
      <c r="GZ5" s="876"/>
      <c r="HA5" s="876"/>
      <c r="HB5" s="876"/>
      <c r="HC5" s="876"/>
      <c r="HD5" s="876"/>
      <c r="HE5" s="876"/>
      <c r="HF5" s="876"/>
      <c r="HG5" s="876"/>
      <c r="HH5" s="876"/>
      <c r="HI5" s="876"/>
      <c r="HJ5" s="876"/>
      <c r="HK5" s="876"/>
      <c r="HL5" s="876"/>
      <c r="HM5" s="876"/>
      <c r="HN5" s="876"/>
      <c r="HO5" s="876"/>
      <c r="HP5" s="876"/>
      <c r="HQ5" s="876"/>
      <c r="HR5" s="876"/>
      <c r="HS5" s="876"/>
      <c r="HT5" s="876"/>
      <c r="HU5" s="876"/>
      <c r="HV5" s="876"/>
      <c r="HW5" s="876"/>
      <c r="HX5" s="876"/>
      <c r="HY5" s="876"/>
      <c r="HZ5" s="876"/>
      <c r="IA5" s="876"/>
      <c r="IB5" s="876"/>
      <c r="IC5" s="876"/>
      <c r="ID5" s="876"/>
      <c r="IE5" s="876"/>
      <c r="IF5" s="876"/>
      <c r="IG5" s="876"/>
      <c r="IH5" s="876"/>
      <c r="II5" s="876"/>
      <c r="IJ5" s="876"/>
      <c r="IK5" s="876"/>
      <c r="IL5" s="876"/>
      <c r="IM5" s="876"/>
      <c r="IN5" s="876"/>
      <c r="IO5" s="876"/>
      <c r="IP5" s="876"/>
      <c r="IQ5" s="876"/>
      <c r="IR5" s="876"/>
      <c r="IS5" s="876"/>
      <c r="IT5" s="876"/>
      <c r="IU5" s="876"/>
      <c r="IV5" s="876"/>
    </row>
    <row r="6" spans="1:256" ht="17.399999999999999">
      <c r="A6" s="878" t="s">
        <v>1482</v>
      </c>
      <c r="B6" s="873"/>
      <c r="C6" s="873"/>
      <c r="D6" s="874"/>
      <c r="E6" s="874"/>
      <c r="F6" s="873"/>
      <c r="G6" s="873"/>
      <c r="H6" s="873"/>
      <c r="I6" s="873"/>
      <c r="J6" s="873"/>
      <c r="K6" s="873"/>
      <c r="L6" s="873"/>
      <c r="M6" s="874"/>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6"/>
      <c r="AY6" s="876"/>
      <c r="AZ6" s="876"/>
      <c r="BA6" s="876"/>
      <c r="BB6" s="876"/>
      <c r="BC6" s="876"/>
      <c r="BD6" s="876"/>
      <c r="BE6" s="876"/>
      <c r="BF6" s="876"/>
      <c r="BG6" s="876"/>
      <c r="BH6" s="876"/>
      <c r="BI6" s="876"/>
      <c r="BJ6" s="876"/>
      <c r="BK6" s="876"/>
      <c r="BL6" s="876"/>
      <c r="BM6" s="876"/>
      <c r="BN6" s="876"/>
      <c r="BO6" s="876"/>
      <c r="BP6" s="876"/>
      <c r="BQ6" s="876"/>
      <c r="BR6" s="876"/>
      <c r="BS6" s="876"/>
      <c r="BT6" s="876"/>
      <c r="BU6" s="876"/>
      <c r="BV6" s="876"/>
      <c r="BW6" s="876"/>
      <c r="BX6" s="876"/>
      <c r="BY6" s="876"/>
      <c r="BZ6" s="876"/>
      <c r="CA6" s="876"/>
      <c r="CB6" s="876"/>
      <c r="CC6" s="876"/>
      <c r="CD6" s="876"/>
      <c r="CE6" s="876"/>
      <c r="CF6" s="876"/>
      <c r="CG6" s="876"/>
      <c r="CH6" s="876"/>
      <c r="CI6" s="876"/>
      <c r="CJ6" s="876"/>
      <c r="CK6" s="876"/>
      <c r="CL6" s="876"/>
      <c r="CM6" s="876"/>
      <c r="CN6" s="876"/>
      <c r="CO6" s="876"/>
      <c r="CP6" s="876"/>
      <c r="CQ6" s="876"/>
      <c r="CR6" s="876"/>
      <c r="CS6" s="876"/>
      <c r="CT6" s="876"/>
      <c r="CU6" s="876"/>
      <c r="CV6" s="876"/>
      <c r="CW6" s="876"/>
      <c r="CX6" s="876"/>
      <c r="CY6" s="876"/>
      <c r="CZ6" s="876"/>
      <c r="DA6" s="876"/>
      <c r="DB6" s="876"/>
      <c r="DC6" s="876"/>
      <c r="DD6" s="876"/>
      <c r="DE6" s="876"/>
      <c r="DF6" s="876"/>
      <c r="DG6" s="876"/>
      <c r="DH6" s="876"/>
      <c r="DI6" s="876"/>
      <c r="DJ6" s="876"/>
      <c r="DK6" s="876"/>
      <c r="DL6" s="876"/>
      <c r="DM6" s="876"/>
      <c r="DN6" s="876"/>
      <c r="DO6" s="876"/>
      <c r="DP6" s="876"/>
      <c r="DQ6" s="876"/>
      <c r="DR6" s="876"/>
      <c r="DS6" s="876"/>
      <c r="DT6" s="876"/>
      <c r="DU6" s="876"/>
      <c r="DV6" s="876"/>
      <c r="DW6" s="876"/>
      <c r="DX6" s="876"/>
      <c r="DY6" s="876"/>
      <c r="DZ6" s="876"/>
      <c r="EA6" s="876"/>
      <c r="EB6" s="876"/>
      <c r="EC6" s="876"/>
      <c r="ED6" s="876"/>
      <c r="EE6" s="876"/>
      <c r="EF6" s="876"/>
      <c r="EG6" s="876"/>
      <c r="EH6" s="876"/>
      <c r="EI6" s="876"/>
      <c r="EJ6" s="876"/>
      <c r="EK6" s="876"/>
      <c r="EL6" s="876"/>
      <c r="EM6" s="876"/>
      <c r="EN6" s="876"/>
      <c r="EO6" s="876"/>
      <c r="EP6" s="876"/>
      <c r="EQ6" s="876"/>
      <c r="ER6" s="876"/>
      <c r="ES6" s="876"/>
      <c r="ET6" s="876"/>
      <c r="EU6" s="876"/>
      <c r="EV6" s="876"/>
      <c r="EW6" s="876"/>
      <c r="EX6" s="876"/>
      <c r="EY6" s="876"/>
      <c r="EZ6" s="876"/>
      <c r="FA6" s="876"/>
      <c r="FB6" s="876"/>
      <c r="FC6" s="876"/>
      <c r="FD6" s="876"/>
      <c r="FE6" s="876"/>
      <c r="FF6" s="876"/>
      <c r="FG6" s="876"/>
      <c r="FH6" s="876"/>
      <c r="FI6" s="876"/>
      <c r="FJ6" s="876"/>
      <c r="FK6" s="876"/>
      <c r="FL6" s="876"/>
      <c r="FM6" s="876"/>
      <c r="FN6" s="876"/>
      <c r="FO6" s="876"/>
      <c r="FP6" s="876"/>
      <c r="FQ6" s="876"/>
      <c r="FR6" s="876"/>
      <c r="FS6" s="876"/>
      <c r="FT6" s="876"/>
      <c r="FU6" s="876"/>
      <c r="FV6" s="876"/>
      <c r="FW6" s="876"/>
      <c r="FX6" s="876"/>
      <c r="FY6" s="876"/>
      <c r="FZ6" s="876"/>
      <c r="GA6" s="876"/>
      <c r="GB6" s="876"/>
      <c r="GC6" s="876"/>
      <c r="GD6" s="876"/>
      <c r="GE6" s="876"/>
      <c r="GF6" s="876"/>
      <c r="GG6" s="876"/>
      <c r="GH6" s="876"/>
      <c r="GI6" s="876"/>
      <c r="GJ6" s="876"/>
      <c r="GK6" s="876"/>
      <c r="GL6" s="876"/>
      <c r="GM6" s="876"/>
      <c r="GN6" s="876"/>
      <c r="GO6" s="876"/>
      <c r="GP6" s="876"/>
      <c r="GQ6" s="876"/>
      <c r="GR6" s="876"/>
      <c r="GS6" s="876"/>
      <c r="GT6" s="876"/>
      <c r="GU6" s="876"/>
      <c r="GV6" s="876"/>
      <c r="GW6" s="876"/>
      <c r="GX6" s="876"/>
      <c r="GY6" s="876"/>
      <c r="GZ6" s="876"/>
      <c r="HA6" s="876"/>
      <c r="HB6" s="876"/>
      <c r="HC6" s="876"/>
      <c r="HD6" s="876"/>
      <c r="HE6" s="876"/>
      <c r="HF6" s="876"/>
      <c r="HG6" s="876"/>
      <c r="HH6" s="876"/>
      <c r="HI6" s="876"/>
      <c r="HJ6" s="876"/>
      <c r="HK6" s="876"/>
      <c r="HL6" s="876"/>
      <c r="HM6" s="876"/>
      <c r="HN6" s="876"/>
      <c r="HO6" s="876"/>
      <c r="HP6" s="876"/>
      <c r="HQ6" s="876"/>
      <c r="HR6" s="876"/>
      <c r="HS6" s="876"/>
      <c r="HT6" s="876"/>
      <c r="HU6" s="876"/>
      <c r="HV6" s="876"/>
      <c r="HW6" s="876"/>
      <c r="HX6" s="876"/>
      <c r="HY6" s="876"/>
      <c r="HZ6" s="876"/>
      <c r="IA6" s="876"/>
      <c r="IB6" s="876"/>
      <c r="IC6" s="876"/>
      <c r="ID6" s="876"/>
      <c r="IE6" s="876"/>
      <c r="IF6" s="876"/>
      <c r="IG6" s="876"/>
      <c r="IH6" s="876"/>
      <c r="II6" s="876"/>
      <c r="IJ6" s="876"/>
      <c r="IK6" s="876"/>
      <c r="IL6" s="876"/>
      <c r="IM6" s="876"/>
      <c r="IN6" s="876"/>
      <c r="IO6" s="876"/>
      <c r="IP6" s="876"/>
      <c r="IQ6" s="876"/>
      <c r="IR6" s="876"/>
      <c r="IS6" s="876"/>
      <c r="IT6" s="876"/>
      <c r="IU6" s="876"/>
      <c r="IV6" s="876"/>
    </row>
    <row r="7" spans="1:256" ht="17.399999999999999">
      <c r="A7" s="1596" t="s">
        <v>991</v>
      </c>
      <c r="B7" s="873"/>
      <c r="C7" s="873"/>
      <c r="D7" s="874"/>
      <c r="E7" s="874"/>
      <c r="F7" s="873"/>
      <c r="G7" s="873"/>
      <c r="H7" s="873"/>
      <c r="I7" s="873"/>
      <c r="J7" s="873"/>
      <c r="K7" s="873"/>
      <c r="L7" s="873"/>
      <c r="M7" s="874"/>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6"/>
      <c r="AY7" s="876"/>
      <c r="AZ7" s="876"/>
      <c r="BA7" s="876"/>
      <c r="BB7" s="876"/>
      <c r="BC7" s="876"/>
      <c r="BD7" s="876"/>
      <c r="BE7" s="876"/>
      <c r="BF7" s="876"/>
      <c r="BG7" s="876"/>
      <c r="BH7" s="876"/>
      <c r="BI7" s="876"/>
      <c r="BJ7" s="876"/>
      <c r="BK7" s="876"/>
      <c r="BL7" s="876"/>
      <c r="BM7" s="876"/>
      <c r="BN7" s="876"/>
      <c r="BO7" s="876"/>
      <c r="BP7" s="876"/>
      <c r="BQ7" s="876"/>
      <c r="BR7" s="876"/>
      <c r="BS7" s="876"/>
      <c r="BT7" s="876"/>
      <c r="BU7" s="876"/>
      <c r="BV7" s="876"/>
      <c r="BW7" s="876"/>
      <c r="BX7" s="876"/>
      <c r="BY7" s="876"/>
      <c r="BZ7" s="876"/>
      <c r="CA7" s="876"/>
      <c r="CB7" s="876"/>
      <c r="CC7" s="876"/>
      <c r="CD7" s="876"/>
      <c r="CE7" s="876"/>
      <c r="CF7" s="876"/>
      <c r="CG7" s="876"/>
      <c r="CH7" s="876"/>
      <c r="CI7" s="876"/>
      <c r="CJ7" s="876"/>
      <c r="CK7" s="876"/>
      <c r="CL7" s="876"/>
      <c r="CM7" s="876"/>
      <c r="CN7" s="876"/>
      <c r="CO7" s="876"/>
      <c r="CP7" s="876"/>
      <c r="CQ7" s="876"/>
      <c r="CR7" s="876"/>
      <c r="CS7" s="876"/>
      <c r="CT7" s="876"/>
      <c r="CU7" s="876"/>
      <c r="CV7" s="876"/>
      <c r="CW7" s="876"/>
      <c r="CX7" s="876"/>
      <c r="CY7" s="876"/>
      <c r="CZ7" s="876"/>
      <c r="DA7" s="876"/>
      <c r="DB7" s="876"/>
      <c r="DC7" s="876"/>
      <c r="DD7" s="876"/>
      <c r="DE7" s="876"/>
      <c r="DF7" s="876"/>
      <c r="DG7" s="876"/>
      <c r="DH7" s="876"/>
      <c r="DI7" s="876"/>
      <c r="DJ7" s="876"/>
      <c r="DK7" s="876"/>
      <c r="DL7" s="876"/>
      <c r="DM7" s="876"/>
      <c r="DN7" s="876"/>
      <c r="DO7" s="876"/>
      <c r="DP7" s="876"/>
      <c r="DQ7" s="876"/>
      <c r="DR7" s="876"/>
      <c r="DS7" s="876"/>
      <c r="DT7" s="876"/>
      <c r="DU7" s="876"/>
      <c r="DV7" s="876"/>
      <c r="DW7" s="876"/>
      <c r="DX7" s="876"/>
      <c r="DY7" s="876"/>
      <c r="DZ7" s="876"/>
      <c r="EA7" s="876"/>
      <c r="EB7" s="876"/>
      <c r="EC7" s="876"/>
      <c r="ED7" s="876"/>
      <c r="EE7" s="876"/>
      <c r="EF7" s="876"/>
      <c r="EG7" s="876"/>
      <c r="EH7" s="876"/>
      <c r="EI7" s="876"/>
      <c r="EJ7" s="876"/>
      <c r="EK7" s="876"/>
      <c r="EL7" s="876"/>
      <c r="EM7" s="876"/>
      <c r="EN7" s="876"/>
      <c r="EO7" s="876"/>
      <c r="EP7" s="876"/>
      <c r="EQ7" s="876"/>
      <c r="ER7" s="876"/>
      <c r="ES7" s="876"/>
      <c r="ET7" s="876"/>
      <c r="EU7" s="876"/>
      <c r="EV7" s="876"/>
      <c r="EW7" s="876"/>
      <c r="EX7" s="876"/>
      <c r="EY7" s="876"/>
      <c r="EZ7" s="876"/>
      <c r="FA7" s="876"/>
      <c r="FB7" s="876"/>
      <c r="FC7" s="876"/>
      <c r="FD7" s="876"/>
      <c r="FE7" s="876"/>
      <c r="FF7" s="876"/>
      <c r="FG7" s="876"/>
      <c r="FH7" s="876"/>
      <c r="FI7" s="876"/>
      <c r="FJ7" s="876"/>
      <c r="FK7" s="876"/>
      <c r="FL7" s="876"/>
      <c r="FM7" s="876"/>
      <c r="FN7" s="876"/>
      <c r="FO7" s="876"/>
      <c r="FP7" s="876"/>
      <c r="FQ7" s="876"/>
      <c r="FR7" s="876"/>
      <c r="FS7" s="876"/>
      <c r="FT7" s="876"/>
      <c r="FU7" s="876"/>
      <c r="FV7" s="876"/>
      <c r="FW7" s="876"/>
      <c r="FX7" s="876"/>
      <c r="FY7" s="876"/>
      <c r="FZ7" s="876"/>
      <c r="GA7" s="876"/>
      <c r="GB7" s="876"/>
      <c r="GC7" s="876"/>
      <c r="GD7" s="876"/>
      <c r="GE7" s="876"/>
      <c r="GF7" s="876"/>
      <c r="GG7" s="876"/>
      <c r="GH7" s="876"/>
      <c r="GI7" s="876"/>
      <c r="GJ7" s="876"/>
      <c r="GK7" s="876"/>
      <c r="GL7" s="876"/>
      <c r="GM7" s="876"/>
      <c r="GN7" s="876"/>
      <c r="GO7" s="876"/>
      <c r="GP7" s="876"/>
      <c r="GQ7" s="876"/>
      <c r="GR7" s="876"/>
      <c r="GS7" s="876"/>
      <c r="GT7" s="876"/>
      <c r="GU7" s="876"/>
      <c r="GV7" s="876"/>
      <c r="GW7" s="876"/>
      <c r="GX7" s="876"/>
      <c r="GY7" s="876"/>
      <c r="GZ7" s="876"/>
      <c r="HA7" s="876"/>
      <c r="HB7" s="876"/>
      <c r="HC7" s="876"/>
      <c r="HD7" s="876"/>
      <c r="HE7" s="876"/>
      <c r="HF7" s="876"/>
      <c r="HG7" s="876"/>
      <c r="HH7" s="876"/>
      <c r="HI7" s="876"/>
      <c r="HJ7" s="876"/>
      <c r="HK7" s="876"/>
      <c r="HL7" s="876"/>
      <c r="HM7" s="876"/>
      <c r="HN7" s="876"/>
      <c r="HO7" s="876"/>
      <c r="HP7" s="876"/>
      <c r="HQ7" s="876"/>
      <c r="HR7" s="876"/>
      <c r="HS7" s="876"/>
      <c r="HT7" s="876"/>
      <c r="HU7" s="876"/>
      <c r="HV7" s="876"/>
      <c r="HW7" s="876"/>
      <c r="HX7" s="876"/>
      <c r="HY7" s="876"/>
      <c r="HZ7" s="876"/>
      <c r="IA7" s="876"/>
      <c r="IB7" s="876"/>
      <c r="IC7" s="876"/>
      <c r="ID7" s="876"/>
      <c r="IE7" s="876"/>
      <c r="IF7" s="876"/>
      <c r="IG7" s="876"/>
      <c r="IH7" s="876"/>
      <c r="II7" s="876"/>
      <c r="IJ7" s="876"/>
      <c r="IK7" s="876"/>
      <c r="IL7" s="876"/>
      <c r="IM7" s="876"/>
      <c r="IN7" s="876"/>
      <c r="IO7" s="876"/>
      <c r="IP7" s="876"/>
      <c r="IQ7" s="876"/>
      <c r="IR7" s="876"/>
      <c r="IS7" s="876"/>
      <c r="IT7" s="876"/>
      <c r="IU7" s="876"/>
      <c r="IV7" s="876"/>
    </row>
    <row r="8" spans="1:256" ht="17.399999999999999">
      <c r="A8" s="872"/>
      <c r="B8" s="872"/>
      <c r="C8" s="872"/>
      <c r="D8" s="1349"/>
      <c r="E8" s="872"/>
      <c r="F8" s="872"/>
      <c r="G8" s="872"/>
      <c r="H8" s="872"/>
      <c r="I8" s="872"/>
      <c r="J8" s="1349" t="s">
        <v>366</v>
      </c>
      <c r="K8" s="872"/>
      <c r="L8" s="1349"/>
      <c r="M8" s="874"/>
      <c r="N8" s="876"/>
      <c r="O8" s="876"/>
      <c r="P8" s="876"/>
      <c r="Q8" s="876"/>
      <c r="R8" s="876"/>
      <c r="S8" s="876"/>
      <c r="T8" s="876"/>
      <c r="U8" s="876"/>
      <c r="V8" s="876"/>
      <c r="W8" s="876"/>
      <c r="X8" s="876"/>
      <c r="Y8" s="876"/>
      <c r="Z8" s="876"/>
      <c r="AA8" s="876"/>
      <c r="AB8" s="876"/>
      <c r="AC8" s="876"/>
      <c r="AD8" s="876"/>
      <c r="AE8" s="876"/>
      <c r="AF8" s="876"/>
      <c r="AG8" s="876"/>
      <c r="AH8" s="876"/>
      <c r="AI8" s="876"/>
      <c r="AJ8" s="876"/>
      <c r="AK8" s="876"/>
      <c r="AL8" s="876"/>
      <c r="AM8" s="876"/>
      <c r="AN8" s="876"/>
      <c r="AO8" s="876"/>
      <c r="AP8" s="876"/>
      <c r="AQ8" s="876"/>
      <c r="AR8" s="876"/>
      <c r="AS8" s="876"/>
      <c r="AT8" s="876"/>
      <c r="AU8" s="876"/>
      <c r="AV8" s="876"/>
      <c r="AW8" s="876"/>
      <c r="AX8" s="876"/>
      <c r="AY8" s="876"/>
      <c r="AZ8" s="876"/>
      <c r="BA8" s="876"/>
      <c r="BB8" s="876"/>
      <c r="BC8" s="876"/>
      <c r="BD8" s="876"/>
      <c r="BE8" s="876"/>
      <c r="BF8" s="876"/>
      <c r="BG8" s="876"/>
      <c r="BH8" s="876"/>
      <c r="BI8" s="876"/>
      <c r="BJ8" s="876"/>
      <c r="BK8" s="876"/>
      <c r="BL8" s="876"/>
      <c r="BM8" s="876"/>
      <c r="BN8" s="876"/>
      <c r="BO8" s="876"/>
      <c r="BP8" s="876"/>
      <c r="BQ8" s="876"/>
      <c r="BR8" s="876"/>
      <c r="BS8" s="876"/>
      <c r="BT8" s="876"/>
      <c r="BU8" s="876"/>
      <c r="BV8" s="876"/>
      <c r="BW8" s="876"/>
      <c r="BX8" s="876"/>
      <c r="BY8" s="876"/>
      <c r="BZ8" s="876"/>
      <c r="CA8" s="876"/>
      <c r="CB8" s="876"/>
      <c r="CC8" s="876"/>
      <c r="CD8" s="876"/>
      <c r="CE8" s="876"/>
      <c r="CF8" s="876"/>
      <c r="CG8" s="876"/>
      <c r="CH8" s="876"/>
      <c r="CI8" s="876"/>
      <c r="CJ8" s="876"/>
      <c r="CK8" s="876"/>
      <c r="CL8" s="876"/>
      <c r="CM8" s="876"/>
      <c r="CN8" s="876"/>
      <c r="CO8" s="876"/>
      <c r="CP8" s="876"/>
      <c r="CQ8" s="876"/>
      <c r="CR8" s="876"/>
      <c r="CS8" s="876"/>
      <c r="CT8" s="876"/>
      <c r="CU8" s="876"/>
      <c r="CV8" s="876"/>
      <c r="CW8" s="876"/>
      <c r="CX8" s="876"/>
      <c r="CY8" s="876"/>
      <c r="CZ8" s="876"/>
      <c r="DA8" s="876"/>
      <c r="DB8" s="876"/>
      <c r="DC8" s="876"/>
      <c r="DD8" s="876"/>
      <c r="DE8" s="876"/>
      <c r="DF8" s="876"/>
      <c r="DG8" s="876"/>
      <c r="DH8" s="876"/>
      <c r="DI8" s="876"/>
      <c r="DJ8" s="876"/>
      <c r="DK8" s="876"/>
      <c r="DL8" s="876"/>
      <c r="DM8" s="876"/>
      <c r="DN8" s="876"/>
      <c r="DO8" s="876"/>
      <c r="DP8" s="876"/>
      <c r="DQ8" s="876"/>
      <c r="DR8" s="876"/>
      <c r="DS8" s="876"/>
      <c r="DT8" s="876"/>
      <c r="DU8" s="876"/>
      <c r="DV8" s="876"/>
      <c r="DW8" s="876"/>
      <c r="DX8" s="876"/>
      <c r="DY8" s="876"/>
      <c r="DZ8" s="876"/>
      <c r="EA8" s="876"/>
      <c r="EB8" s="876"/>
      <c r="EC8" s="876"/>
      <c r="ED8" s="876"/>
      <c r="EE8" s="876"/>
      <c r="EF8" s="876"/>
      <c r="EG8" s="876"/>
      <c r="EH8" s="876"/>
      <c r="EI8" s="876"/>
      <c r="EJ8" s="876"/>
      <c r="EK8" s="876"/>
      <c r="EL8" s="876"/>
      <c r="EM8" s="876"/>
      <c r="EN8" s="876"/>
      <c r="EO8" s="876"/>
      <c r="EP8" s="876"/>
      <c r="EQ8" s="876"/>
      <c r="ER8" s="876"/>
      <c r="ES8" s="876"/>
      <c r="ET8" s="876"/>
      <c r="EU8" s="876"/>
      <c r="EV8" s="876"/>
      <c r="EW8" s="876"/>
      <c r="EX8" s="876"/>
      <c r="EY8" s="876"/>
      <c r="EZ8" s="876"/>
      <c r="FA8" s="876"/>
      <c r="FB8" s="876"/>
      <c r="FC8" s="876"/>
      <c r="FD8" s="876"/>
      <c r="FE8" s="876"/>
      <c r="FF8" s="876"/>
      <c r="FG8" s="876"/>
      <c r="FH8" s="876"/>
      <c r="FI8" s="876"/>
      <c r="FJ8" s="876"/>
      <c r="FK8" s="876"/>
      <c r="FL8" s="876"/>
      <c r="FM8" s="876"/>
      <c r="FN8" s="876"/>
      <c r="FO8" s="876"/>
      <c r="FP8" s="876"/>
      <c r="FQ8" s="876"/>
      <c r="FR8" s="876"/>
      <c r="FS8" s="876"/>
      <c r="FT8" s="876"/>
      <c r="FU8" s="876"/>
      <c r="FV8" s="876"/>
      <c r="FW8" s="876"/>
      <c r="FX8" s="876"/>
      <c r="FY8" s="876"/>
      <c r="FZ8" s="876"/>
      <c r="GA8" s="876"/>
      <c r="GB8" s="876"/>
      <c r="GC8" s="876"/>
      <c r="GD8" s="876"/>
      <c r="GE8" s="876"/>
      <c r="GF8" s="876"/>
      <c r="GG8" s="876"/>
      <c r="GH8" s="876"/>
      <c r="GI8" s="876"/>
      <c r="GJ8" s="876"/>
      <c r="GK8" s="876"/>
      <c r="GL8" s="876"/>
      <c r="GM8" s="876"/>
      <c r="GN8" s="876"/>
      <c r="GO8" s="876"/>
      <c r="GP8" s="876"/>
      <c r="GQ8" s="876"/>
      <c r="GR8" s="876"/>
      <c r="GS8" s="876"/>
      <c r="GT8" s="876"/>
      <c r="GU8" s="876"/>
      <c r="GV8" s="876"/>
      <c r="GW8" s="876"/>
      <c r="GX8" s="876"/>
      <c r="GY8" s="876"/>
      <c r="GZ8" s="876"/>
      <c r="HA8" s="876"/>
      <c r="HB8" s="876"/>
      <c r="HC8" s="876"/>
      <c r="HD8" s="876"/>
      <c r="HE8" s="876"/>
      <c r="HF8" s="876"/>
      <c r="HG8" s="876"/>
      <c r="HH8" s="876"/>
      <c r="HI8" s="876"/>
      <c r="HJ8" s="876"/>
      <c r="HK8" s="876"/>
      <c r="HL8" s="876"/>
      <c r="HM8" s="876"/>
      <c r="HN8" s="876"/>
      <c r="HO8" s="876"/>
      <c r="HP8" s="876"/>
      <c r="HQ8" s="876"/>
      <c r="HR8" s="876"/>
      <c r="HS8" s="876"/>
      <c r="HT8" s="876"/>
      <c r="HU8" s="876"/>
      <c r="HV8" s="876"/>
      <c r="HW8" s="876"/>
      <c r="HX8" s="876"/>
      <c r="HY8" s="876"/>
      <c r="HZ8" s="876"/>
      <c r="IA8" s="876"/>
      <c r="IB8" s="876"/>
      <c r="IC8" s="876"/>
      <c r="ID8" s="876"/>
      <c r="IE8" s="876"/>
      <c r="IF8" s="876"/>
      <c r="IG8" s="876"/>
      <c r="IH8" s="876"/>
      <c r="II8" s="876"/>
      <c r="IJ8" s="876"/>
      <c r="IK8" s="876"/>
      <c r="IL8" s="876"/>
      <c r="IM8" s="876"/>
      <c r="IN8" s="876"/>
      <c r="IO8" s="876"/>
      <c r="IP8" s="876"/>
      <c r="IQ8" s="876"/>
      <c r="IR8" s="876"/>
      <c r="IS8" s="876"/>
      <c r="IT8" s="876"/>
      <c r="IU8" s="876"/>
      <c r="IV8" s="876"/>
    </row>
    <row r="9" spans="1:256" ht="17.399999999999999">
      <c r="A9" s="872"/>
      <c r="B9" s="872"/>
      <c r="C9" s="872"/>
      <c r="D9" s="1349" t="s">
        <v>242</v>
      </c>
      <c r="E9" s="872"/>
      <c r="F9" s="872"/>
      <c r="G9" s="872"/>
      <c r="H9" s="872"/>
      <c r="I9" s="872"/>
      <c r="J9" s="1349" t="s">
        <v>367</v>
      </c>
      <c r="K9" s="872"/>
      <c r="L9" s="1349" t="s">
        <v>242</v>
      </c>
      <c r="M9" s="874"/>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6"/>
      <c r="AY9" s="876"/>
      <c r="AZ9" s="876"/>
      <c r="BA9" s="876"/>
      <c r="BB9" s="876"/>
      <c r="BC9" s="876"/>
      <c r="BD9" s="876"/>
      <c r="BE9" s="876"/>
      <c r="BF9" s="876"/>
      <c r="BG9" s="876"/>
      <c r="BH9" s="876"/>
      <c r="BI9" s="876"/>
      <c r="BJ9" s="876"/>
      <c r="BK9" s="876"/>
      <c r="BL9" s="876"/>
      <c r="BM9" s="876"/>
      <c r="BN9" s="876"/>
      <c r="BO9" s="876"/>
      <c r="BP9" s="876"/>
      <c r="BQ9" s="876"/>
      <c r="BR9" s="876"/>
      <c r="BS9" s="876"/>
      <c r="BT9" s="876"/>
      <c r="BU9" s="876"/>
      <c r="BV9" s="876"/>
      <c r="BW9" s="876"/>
      <c r="BX9" s="876"/>
      <c r="BY9" s="876"/>
      <c r="BZ9" s="876"/>
      <c r="CA9" s="876"/>
      <c r="CB9" s="876"/>
      <c r="CC9" s="876"/>
      <c r="CD9" s="876"/>
      <c r="CE9" s="876"/>
      <c r="CF9" s="876"/>
      <c r="CG9" s="876"/>
      <c r="CH9" s="876"/>
      <c r="CI9" s="876"/>
      <c r="CJ9" s="876"/>
      <c r="CK9" s="876"/>
      <c r="CL9" s="876"/>
      <c r="CM9" s="876"/>
      <c r="CN9" s="876"/>
      <c r="CO9" s="876"/>
      <c r="CP9" s="876"/>
      <c r="CQ9" s="876"/>
      <c r="CR9" s="876"/>
      <c r="CS9" s="876"/>
      <c r="CT9" s="876"/>
      <c r="CU9" s="876"/>
      <c r="CV9" s="876"/>
      <c r="CW9" s="876"/>
      <c r="CX9" s="876"/>
      <c r="CY9" s="876"/>
      <c r="CZ9" s="876"/>
      <c r="DA9" s="876"/>
      <c r="DB9" s="876"/>
      <c r="DC9" s="876"/>
      <c r="DD9" s="876"/>
      <c r="DE9" s="876"/>
      <c r="DF9" s="876"/>
      <c r="DG9" s="876"/>
      <c r="DH9" s="876"/>
      <c r="DI9" s="876"/>
      <c r="DJ9" s="876"/>
      <c r="DK9" s="876"/>
      <c r="DL9" s="876"/>
      <c r="DM9" s="876"/>
      <c r="DN9" s="876"/>
      <c r="DO9" s="876"/>
      <c r="DP9" s="876"/>
      <c r="DQ9" s="876"/>
      <c r="DR9" s="876"/>
      <c r="DS9" s="876"/>
      <c r="DT9" s="876"/>
      <c r="DU9" s="876"/>
      <c r="DV9" s="876"/>
      <c r="DW9" s="876"/>
      <c r="DX9" s="876"/>
      <c r="DY9" s="876"/>
      <c r="DZ9" s="876"/>
      <c r="EA9" s="876"/>
      <c r="EB9" s="876"/>
      <c r="EC9" s="876"/>
      <c r="ED9" s="876"/>
      <c r="EE9" s="876"/>
      <c r="EF9" s="876"/>
      <c r="EG9" s="876"/>
      <c r="EH9" s="876"/>
      <c r="EI9" s="876"/>
      <c r="EJ9" s="876"/>
      <c r="EK9" s="876"/>
      <c r="EL9" s="876"/>
      <c r="EM9" s="876"/>
      <c r="EN9" s="876"/>
      <c r="EO9" s="876"/>
      <c r="EP9" s="876"/>
      <c r="EQ9" s="876"/>
      <c r="ER9" s="876"/>
      <c r="ES9" s="876"/>
      <c r="ET9" s="876"/>
      <c r="EU9" s="876"/>
      <c r="EV9" s="876"/>
      <c r="EW9" s="876"/>
      <c r="EX9" s="876"/>
      <c r="EY9" s="876"/>
      <c r="EZ9" s="876"/>
      <c r="FA9" s="876"/>
      <c r="FB9" s="876"/>
      <c r="FC9" s="876"/>
      <c r="FD9" s="876"/>
      <c r="FE9" s="876"/>
      <c r="FF9" s="876"/>
      <c r="FG9" s="876"/>
      <c r="FH9" s="876"/>
      <c r="FI9" s="876"/>
      <c r="FJ9" s="876"/>
      <c r="FK9" s="876"/>
      <c r="FL9" s="876"/>
      <c r="FM9" s="876"/>
      <c r="FN9" s="876"/>
      <c r="FO9" s="876"/>
      <c r="FP9" s="876"/>
      <c r="FQ9" s="876"/>
      <c r="FR9" s="876"/>
      <c r="FS9" s="876"/>
      <c r="FT9" s="876"/>
      <c r="FU9" s="876"/>
      <c r="FV9" s="876"/>
      <c r="FW9" s="876"/>
      <c r="FX9" s="876"/>
      <c r="FY9" s="876"/>
      <c r="FZ9" s="876"/>
      <c r="GA9" s="876"/>
      <c r="GB9" s="876"/>
      <c r="GC9" s="876"/>
      <c r="GD9" s="876"/>
      <c r="GE9" s="876"/>
      <c r="GF9" s="876"/>
      <c r="GG9" s="876"/>
      <c r="GH9" s="876"/>
      <c r="GI9" s="876"/>
      <c r="GJ9" s="876"/>
      <c r="GK9" s="876"/>
      <c r="GL9" s="876"/>
      <c r="GM9" s="876"/>
      <c r="GN9" s="876"/>
      <c r="GO9" s="876"/>
      <c r="GP9" s="876"/>
      <c r="GQ9" s="876"/>
      <c r="GR9" s="876"/>
      <c r="GS9" s="876"/>
      <c r="GT9" s="876"/>
      <c r="GU9" s="876"/>
      <c r="GV9" s="876"/>
      <c r="GW9" s="876"/>
      <c r="GX9" s="876"/>
      <c r="GY9" s="876"/>
      <c r="GZ9" s="876"/>
      <c r="HA9" s="876"/>
      <c r="HB9" s="876"/>
      <c r="HC9" s="876"/>
      <c r="HD9" s="876"/>
      <c r="HE9" s="876"/>
      <c r="HF9" s="876"/>
      <c r="HG9" s="876"/>
      <c r="HH9" s="876"/>
      <c r="HI9" s="876"/>
      <c r="HJ9" s="876"/>
      <c r="HK9" s="876"/>
      <c r="HL9" s="876"/>
      <c r="HM9" s="876"/>
      <c r="HN9" s="876"/>
      <c r="HO9" s="876"/>
      <c r="HP9" s="876"/>
      <c r="HQ9" s="876"/>
      <c r="HR9" s="876"/>
      <c r="HS9" s="876"/>
      <c r="HT9" s="876"/>
      <c r="HU9" s="876"/>
      <c r="HV9" s="876"/>
      <c r="HW9" s="876"/>
      <c r="HX9" s="876"/>
      <c r="HY9" s="876"/>
      <c r="HZ9" s="876"/>
      <c r="IA9" s="876"/>
      <c r="IB9" s="876"/>
      <c r="IC9" s="876"/>
      <c r="ID9" s="876"/>
      <c r="IE9" s="876"/>
      <c r="IF9" s="876"/>
      <c r="IG9" s="876"/>
      <c r="IH9" s="876"/>
      <c r="II9" s="876"/>
      <c r="IJ9" s="876"/>
      <c r="IK9" s="876"/>
      <c r="IL9" s="876"/>
      <c r="IM9" s="876"/>
      <c r="IN9" s="876"/>
      <c r="IO9" s="876"/>
      <c r="IP9" s="876"/>
      <c r="IQ9" s="876"/>
      <c r="IR9" s="876"/>
      <c r="IS9" s="876"/>
      <c r="IT9" s="876"/>
      <c r="IU9" s="876"/>
      <c r="IV9" s="876"/>
    </row>
    <row r="10" spans="1:256" ht="17.399999999999999">
      <c r="A10" s="892" t="s">
        <v>368</v>
      </c>
      <c r="B10" s="872"/>
      <c r="C10" s="872"/>
      <c r="D10" s="1806" t="s">
        <v>1483</v>
      </c>
      <c r="E10" s="872"/>
      <c r="F10" s="1349" t="s">
        <v>244</v>
      </c>
      <c r="G10" s="872"/>
      <c r="H10" s="1349" t="s">
        <v>245</v>
      </c>
      <c r="I10" s="872"/>
      <c r="J10" s="1349" t="s">
        <v>246</v>
      </c>
      <c r="K10" s="872"/>
      <c r="L10" s="1806" t="s">
        <v>1462</v>
      </c>
      <c r="M10" s="874"/>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876"/>
      <c r="AX10" s="876"/>
      <c r="AY10" s="876"/>
      <c r="AZ10" s="876"/>
      <c r="BA10" s="876"/>
      <c r="BB10" s="876"/>
      <c r="BC10" s="876"/>
      <c r="BD10" s="876"/>
      <c r="BE10" s="876"/>
      <c r="BF10" s="876"/>
      <c r="BG10" s="876"/>
      <c r="BH10" s="876"/>
      <c r="BI10" s="876"/>
      <c r="BJ10" s="876"/>
      <c r="BK10" s="876"/>
      <c r="BL10" s="876"/>
      <c r="BM10" s="876"/>
      <c r="BN10" s="876"/>
      <c r="BO10" s="876"/>
      <c r="BP10" s="876"/>
      <c r="BQ10" s="876"/>
      <c r="BR10" s="876"/>
      <c r="BS10" s="876"/>
      <c r="BT10" s="876"/>
      <c r="BU10" s="876"/>
      <c r="BV10" s="876"/>
      <c r="BW10" s="876"/>
      <c r="BX10" s="876"/>
      <c r="BY10" s="876"/>
      <c r="BZ10" s="876"/>
      <c r="CA10" s="876"/>
      <c r="CB10" s="876"/>
      <c r="CC10" s="876"/>
      <c r="CD10" s="876"/>
      <c r="CE10" s="876"/>
      <c r="CF10" s="876"/>
      <c r="CG10" s="876"/>
      <c r="CH10" s="876"/>
      <c r="CI10" s="876"/>
      <c r="CJ10" s="876"/>
      <c r="CK10" s="876"/>
      <c r="CL10" s="876"/>
      <c r="CM10" s="876"/>
      <c r="CN10" s="876"/>
      <c r="CO10" s="876"/>
      <c r="CP10" s="876"/>
      <c r="CQ10" s="876"/>
      <c r="CR10" s="876"/>
      <c r="CS10" s="876"/>
      <c r="CT10" s="876"/>
      <c r="CU10" s="876"/>
      <c r="CV10" s="876"/>
      <c r="CW10" s="876"/>
      <c r="CX10" s="876"/>
      <c r="CY10" s="876"/>
      <c r="CZ10" s="876"/>
      <c r="DA10" s="876"/>
      <c r="DB10" s="876"/>
      <c r="DC10" s="876"/>
      <c r="DD10" s="876"/>
      <c r="DE10" s="876"/>
      <c r="DF10" s="876"/>
      <c r="DG10" s="876"/>
      <c r="DH10" s="876"/>
      <c r="DI10" s="876"/>
      <c r="DJ10" s="876"/>
      <c r="DK10" s="876"/>
      <c r="DL10" s="876"/>
      <c r="DM10" s="876"/>
      <c r="DN10" s="876"/>
      <c r="DO10" s="876"/>
      <c r="DP10" s="876"/>
      <c r="DQ10" s="876"/>
      <c r="DR10" s="876"/>
      <c r="DS10" s="876"/>
      <c r="DT10" s="876"/>
      <c r="DU10" s="876"/>
      <c r="DV10" s="876"/>
      <c r="DW10" s="876"/>
      <c r="DX10" s="876"/>
      <c r="DY10" s="876"/>
      <c r="DZ10" s="876"/>
      <c r="EA10" s="876"/>
      <c r="EB10" s="876"/>
      <c r="EC10" s="876"/>
      <c r="ED10" s="876"/>
      <c r="EE10" s="876"/>
      <c r="EF10" s="876"/>
      <c r="EG10" s="876"/>
      <c r="EH10" s="876"/>
      <c r="EI10" s="876"/>
      <c r="EJ10" s="876"/>
      <c r="EK10" s="876"/>
      <c r="EL10" s="876"/>
      <c r="EM10" s="876"/>
      <c r="EN10" s="876"/>
      <c r="EO10" s="876"/>
      <c r="EP10" s="876"/>
      <c r="EQ10" s="876"/>
      <c r="ER10" s="876"/>
      <c r="ES10" s="876"/>
      <c r="ET10" s="876"/>
      <c r="EU10" s="876"/>
      <c r="EV10" s="876"/>
      <c r="EW10" s="876"/>
      <c r="EX10" s="876"/>
      <c r="EY10" s="876"/>
      <c r="EZ10" s="876"/>
      <c r="FA10" s="876"/>
      <c r="FB10" s="876"/>
      <c r="FC10" s="876"/>
      <c r="FD10" s="876"/>
      <c r="FE10" s="876"/>
      <c r="FF10" s="876"/>
      <c r="FG10" s="876"/>
      <c r="FH10" s="876"/>
      <c r="FI10" s="876"/>
      <c r="FJ10" s="876"/>
      <c r="FK10" s="876"/>
      <c r="FL10" s="876"/>
      <c r="FM10" s="876"/>
      <c r="FN10" s="876"/>
      <c r="FO10" s="876"/>
      <c r="FP10" s="876"/>
      <c r="FQ10" s="876"/>
      <c r="FR10" s="876"/>
      <c r="FS10" s="876"/>
      <c r="FT10" s="876"/>
      <c r="FU10" s="876"/>
      <c r="FV10" s="876"/>
      <c r="FW10" s="876"/>
      <c r="FX10" s="876"/>
      <c r="FY10" s="876"/>
      <c r="FZ10" s="876"/>
      <c r="GA10" s="876"/>
      <c r="GB10" s="876"/>
      <c r="GC10" s="876"/>
      <c r="GD10" s="876"/>
      <c r="GE10" s="876"/>
      <c r="GF10" s="876"/>
      <c r="GG10" s="876"/>
      <c r="GH10" s="876"/>
      <c r="GI10" s="876"/>
      <c r="GJ10" s="876"/>
      <c r="GK10" s="876"/>
      <c r="GL10" s="876"/>
      <c r="GM10" s="876"/>
      <c r="GN10" s="876"/>
      <c r="GO10" s="876"/>
      <c r="GP10" s="876"/>
      <c r="GQ10" s="876"/>
      <c r="GR10" s="876"/>
      <c r="GS10" s="876"/>
      <c r="GT10" s="876"/>
      <c r="GU10" s="876"/>
      <c r="GV10" s="876"/>
      <c r="GW10" s="876"/>
      <c r="GX10" s="876"/>
      <c r="GY10" s="876"/>
      <c r="GZ10" s="876"/>
      <c r="HA10" s="876"/>
      <c r="HB10" s="876"/>
      <c r="HC10" s="876"/>
      <c r="HD10" s="876"/>
      <c r="HE10" s="876"/>
      <c r="HF10" s="876"/>
      <c r="HG10" s="876"/>
      <c r="HH10" s="876"/>
      <c r="HI10" s="876"/>
      <c r="HJ10" s="876"/>
      <c r="HK10" s="876"/>
      <c r="HL10" s="876"/>
      <c r="HM10" s="876"/>
      <c r="HN10" s="876"/>
      <c r="HO10" s="876"/>
      <c r="HP10" s="876"/>
      <c r="HQ10" s="876"/>
      <c r="HR10" s="876"/>
      <c r="HS10" s="876"/>
      <c r="HT10" s="876"/>
      <c r="HU10" s="876"/>
      <c r="HV10" s="876"/>
      <c r="HW10" s="876"/>
      <c r="HX10" s="876"/>
      <c r="HY10" s="876"/>
      <c r="HZ10" s="876"/>
      <c r="IA10" s="876"/>
      <c r="IB10" s="876"/>
      <c r="IC10" s="876"/>
      <c r="ID10" s="876"/>
      <c r="IE10" s="876"/>
      <c r="IF10" s="876"/>
      <c r="IG10" s="876"/>
      <c r="IH10" s="876"/>
      <c r="II10" s="876"/>
      <c r="IJ10" s="876"/>
      <c r="IK10" s="876"/>
      <c r="IL10" s="876"/>
      <c r="IM10" s="876"/>
      <c r="IN10" s="876"/>
      <c r="IO10" s="876"/>
      <c r="IP10" s="876"/>
      <c r="IQ10" s="876"/>
      <c r="IR10" s="876"/>
      <c r="IS10" s="876"/>
      <c r="IT10" s="876"/>
      <c r="IU10" s="876"/>
      <c r="IV10" s="876"/>
    </row>
    <row r="11" spans="1:256" ht="9.75" customHeight="1">
      <c r="A11" s="872" t="s">
        <v>16</v>
      </c>
      <c r="B11" s="872"/>
      <c r="C11" s="872"/>
      <c r="D11" s="1350" t="s">
        <v>16</v>
      </c>
      <c r="E11" s="872"/>
      <c r="F11" s="1350" t="s">
        <v>16</v>
      </c>
      <c r="G11" s="872"/>
      <c r="H11" s="1350" t="s">
        <v>16</v>
      </c>
      <c r="I11" s="872"/>
      <c r="J11" s="1350" t="s">
        <v>16</v>
      </c>
      <c r="K11" s="872" t="s">
        <v>16</v>
      </c>
      <c r="L11" s="1350" t="s">
        <v>16</v>
      </c>
      <c r="M11" s="874"/>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6"/>
      <c r="AY11" s="876"/>
      <c r="AZ11" s="876"/>
      <c r="BA11" s="876"/>
      <c r="BB11" s="876"/>
      <c r="BC11" s="876"/>
      <c r="BD11" s="876"/>
      <c r="BE11" s="876"/>
      <c r="BF11" s="876"/>
      <c r="BG11" s="876"/>
      <c r="BH11" s="876"/>
      <c r="BI11" s="876"/>
      <c r="BJ11" s="876"/>
      <c r="BK11" s="876"/>
      <c r="BL11" s="876"/>
      <c r="BM11" s="876"/>
      <c r="BN11" s="876"/>
      <c r="BO11" s="876"/>
      <c r="BP11" s="876"/>
      <c r="BQ11" s="876"/>
      <c r="BR11" s="876"/>
      <c r="BS11" s="876"/>
      <c r="BT11" s="876"/>
      <c r="BU11" s="876"/>
      <c r="BV11" s="876"/>
      <c r="BW11" s="876"/>
      <c r="BX11" s="876"/>
      <c r="BY11" s="876"/>
      <c r="BZ11" s="876"/>
      <c r="CA11" s="876"/>
      <c r="CB11" s="876"/>
      <c r="CC11" s="876"/>
      <c r="CD11" s="876"/>
      <c r="CE11" s="876"/>
      <c r="CF11" s="876"/>
      <c r="CG11" s="876"/>
      <c r="CH11" s="876"/>
      <c r="CI11" s="876"/>
      <c r="CJ11" s="876"/>
      <c r="CK11" s="876"/>
      <c r="CL11" s="876"/>
      <c r="CM11" s="876"/>
      <c r="CN11" s="876"/>
      <c r="CO11" s="876"/>
      <c r="CP11" s="876"/>
      <c r="CQ11" s="876"/>
      <c r="CR11" s="876"/>
      <c r="CS11" s="876"/>
      <c r="CT11" s="876"/>
      <c r="CU11" s="876"/>
      <c r="CV11" s="876"/>
      <c r="CW11" s="876"/>
      <c r="CX11" s="876"/>
      <c r="CY11" s="876"/>
      <c r="CZ11" s="876"/>
      <c r="DA11" s="876"/>
      <c r="DB11" s="876"/>
      <c r="DC11" s="876"/>
      <c r="DD11" s="876"/>
      <c r="DE11" s="876"/>
      <c r="DF11" s="876"/>
      <c r="DG11" s="876"/>
      <c r="DH11" s="876"/>
      <c r="DI11" s="876"/>
      <c r="DJ11" s="876"/>
      <c r="DK11" s="876"/>
      <c r="DL11" s="876"/>
      <c r="DM11" s="876"/>
      <c r="DN11" s="876"/>
      <c r="DO11" s="876"/>
      <c r="DP11" s="876"/>
      <c r="DQ11" s="876"/>
      <c r="DR11" s="876"/>
      <c r="DS11" s="876"/>
      <c r="DT11" s="876"/>
      <c r="DU11" s="876"/>
      <c r="DV11" s="876"/>
      <c r="DW11" s="876"/>
      <c r="DX11" s="876"/>
      <c r="DY11" s="876"/>
      <c r="DZ11" s="876"/>
      <c r="EA11" s="876"/>
      <c r="EB11" s="876"/>
      <c r="EC11" s="876"/>
      <c r="ED11" s="876"/>
      <c r="EE11" s="876"/>
      <c r="EF11" s="876"/>
      <c r="EG11" s="876"/>
      <c r="EH11" s="876"/>
      <c r="EI11" s="876"/>
      <c r="EJ11" s="876"/>
      <c r="EK11" s="876"/>
      <c r="EL11" s="876"/>
      <c r="EM11" s="876"/>
      <c r="EN11" s="876"/>
      <c r="EO11" s="876"/>
      <c r="EP11" s="876"/>
      <c r="EQ11" s="876"/>
      <c r="ER11" s="876"/>
      <c r="ES11" s="876"/>
      <c r="ET11" s="876"/>
      <c r="EU11" s="876"/>
      <c r="EV11" s="876"/>
      <c r="EW11" s="876"/>
      <c r="EX11" s="876"/>
      <c r="EY11" s="876"/>
      <c r="EZ11" s="876"/>
      <c r="FA11" s="876"/>
      <c r="FB11" s="876"/>
      <c r="FC11" s="876"/>
      <c r="FD11" s="876"/>
      <c r="FE11" s="876"/>
      <c r="FF11" s="876"/>
      <c r="FG11" s="876"/>
      <c r="FH11" s="876"/>
      <c r="FI11" s="876"/>
      <c r="FJ11" s="876"/>
      <c r="FK11" s="876"/>
      <c r="FL11" s="876"/>
      <c r="FM11" s="876"/>
      <c r="FN11" s="876"/>
      <c r="FO11" s="876"/>
      <c r="FP11" s="876"/>
      <c r="FQ11" s="876"/>
      <c r="FR11" s="876"/>
      <c r="FS11" s="876"/>
      <c r="FT11" s="876"/>
      <c r="FU11" s="876"/>
      <c r="FV11" s="876"/>
      <c r="FW11" s="876"/>
      <c r="FX11" s="876"/>
      <c r="FY11" s="876"/>
      <c r="FZ11" s="876"/>
      <c r="GA11" s="876"/>
      <c r="GB11" s="876"/>
      <c r="GC11" s="876"/>
      <c r="GD11" s="876"/>
      <c r="GE11" s="876"/>
      <c r="GF11" s="876"/>
      <c r="GG11" s="876"/>
      <c r="GH11" s="876"/>
      <c r="GI11" s="876"/>
      <c r="GJ11" s="876"/>
      <c r="GK11" s="876"/>
      <c r="GL11" s="876"/>
      <c r="GM11" s="876"/>
      <c r="GN11" s="876"/>
      <c r="GO11" s="876"/>
      <c r="GP11" s="876"/>
      <c r="GQ11" s="876"/>
      <c r="GR11" s="876"/>
      <c r="GS11" s="876"/>
      <c r="GT11" s="876"/>
      <c r="GU11" s="876"/>
      <c r="GV11" s="876"/>
      <c r="GW11" s="876"/>
      <c r="GX11" s="876"/>
      <c r="GY11" s="876"/>
      <c r="GZ11" s="876"/>
      <c r="HA11" s="876"/>
      <c r="HB11" s="876"/>
      <c r="HC11" s="876"/>
      <c r="HD11" s="876"/>
      <c r="HE11" s="876"/>
      <c r="HF11" s="876"/>
      <c r="HG11" s="876"/>
      <c r="HH11" s="876"/>
      <c r="HI11" s="876"/>
      <c r="HJ11" s="876"/>
      <c r="HK11" s="876"/>
      <c r="HL11" s="876"/>
      <c r="HM11" s="876"/>
      <c r="HN11" s="876"/>
      <c r="HO11" s="876"/>
      <c r="HP11" s="876"/>
      <c r="HQ11" s="876"/>
      <c r="HR11" s="876"/>
      <c r="HS11" s="876"/>
      <c r="HT11" s="876"/>
      <c r="HU11" s="876"/>
      <c r="HV11" s="876"/>
      <c r="HW11" s="876"/>
      <c r="HX11" s="876"/>
      <c r="HY11" s="876"/>
      <c r="HZ11" s="876"/>
      <c r="IA11" s="876"/>
      <c r="IB11" s="876"/>
      <c r="IC11" s="876"/>
      <c r="ID11" s="876"/>
      <c r="IE11" s="876"/>
      <c r="IF11" s="876"/>
      <c r="IG11" s="876"/>
      <c r="IH11" s="876"/>
      <c r="II11" s="876"/>
      <c r="IJ11" s="876"/>
      <c r="IK11" s="876"/>
      <c r="IL11" s="876"/>
      <c r="IM11" s="876"/>
      <c r="IN11" s="876"/>
      <c r="IO11" s="876"/>
      <c r="IP11" s="876"/>
      <c r="IQ11" s="876"/>
      <c r="IR11" s="876"/>
      <c r="IS11" s="876"/>
      <c r="IT11" s="876"/>
      <c r="IU11" s="876"/>
      <c r="IV11" s="876"/>
    </row>
    <row r="12" spans="1:256" ht="18" customHeight="1">
      <c r="A12" s="879" t="s">
        <v>231</v>
      </c>
      <c r="B12" s="876"/>
      <c r="C12" s="876"/>
      <c r="D12" s="1351"/>
      <c r="E12" s="1351"/>
      <c r="F12" s="895"/>
      <c r="G12" s="843"/>
      <c r="H12" s="895"/>
      <c r="I12" s="1351"/>
      <c r="J12" s="1351"/>
      <c r="K12" s="1351"/>
      <c r="L12" s="1351"/>
      <c r="M12" s="880"/>
      <c r="N12" s="881"/>
      <c r="O12" s="882"/>
      <c r="P12" s="882"/>
      <c r="Q12" s="876"/>
      <c r="R12" s="876"/>
      <c r="S12" s="876"/>
      <c r="T12" s="876"/>
      <c r="U12" s="876"/>
      <c r="V12" s="876"/>
      <c r="W12" s="876"/>
      <c r="X12" s="876"/>
      <c r="Y12" s="876"/>
      <c r="Z12" s="876"/>
      <c r="AA12" s="876"/>
      <c r="AB12" s="876"/>
      <c r="AC12" s="876"/>
      <c r="AD12" s="876"/>
      <c r="AE12" s="876"/>
      <c r="AF12" s="876"/>
      <c r="AG12" s="876"/>
      <c r="AH12" s="876"/>
      <c r="AI12" s="876"/>
      <c r="AJ12" s="876"/>
      <c r="AK12" s="876"/>
      <c r="AL12" s="876"/>
      <c r="AM12" s="876"/>
      <c r="AN12" s="876"/>
      <c r="AO12" s="876"/>
      <c r="AP12" s="876"/>
      <c r="AQ12" s="876"/>
      <c r="AR12" s="876"/>
      <c r="AS12" s="876"/>
      <c r="AT12" s="876"/>
      <c r="AU12" s="876"/>
      <c r="AV12" s="876"/>
      <c r="AW12" s="876"/>
      <c r="AX12" s="876"/>
      <c r="AY12" s="876"/>
      <c r="AZ12" s="876"/>
      <c r="BA12" s="876"/>
      <c r="BB12" s="876"/>
      <c r="BC12" s="876"/>
      <c r="BD12" s="876"/>
      <c r="BE12" s="876"/>
      <c r="BF12" s="876"/>
      <c r="BG12" s="876"/>
      <c r="BH12" s="876"/>
      <c r="BI12" s="876"/>
      <c r="BJ12" s="876"/>
      <c r="BK12" s="876"/>
      <c r="BL12" s="876"/>
      <c r="BM12" s="876"/>
      <c r="BN12" s="876"/>
      <c r="BO12" s="876"/>
      <c r="BP12" s="876"/>
      <c r="BQ12" s="876"/>
      <c r="BR12" s="876"/>
      <c r="BS12" s="876"/>
      <c r="BT12" s="876"/>
      <c r="BU12" s="876"/>
      <c r="BV12" s="876"/>
      <c r="BW12" s="876"/>
      <c r="BX12" s="876"/>
      <c r="BY12" s="876"/>
      <c r="BZ12" s="876"/>
      <c r="CA12" s="876"/>
      <c r="CB12" s="876"/>
      <c r="CC12" s="876"/>
      <c r="CD12" s="876"/>
      <c r="CE12" s="876"/>
      <c r="CF12" s="876"/>
      <c r="CG12" s="876"/>
      <c r="CH12" s="876"/>
      <c r="CI12" s="876"/>
      <c r="CJ12" s="876"/>
      <c r="CK12" s="876"/>
      <c r="CL12" s="876"/>
      <c r="CM12" s="876"/>
      <c r="CN12" s="876"/>
      <c r="CO12" s="876"/>
      <c r="CP12" s="876"/>
      <c r="CQ12" s="876"/>
      <c r="CR12" s="876"/>
      <c r="CS12" s="876"/>
      <c r="CT12" s="876"/>
      <c r="CU12" s="876"/>
      <c r="CV12" s="876"/>
      <c r="CW12" s="876"/>
      <c r="CX12" s="876"/>
      <c r="CY12" s="876"/>
      <c r="CZ12" s="876"/>
      <c r="DA12" s="876"/>
      <c r="DB12" s="876"/>
      <c r="DC12" s="876"/>
      <c r="DD12" s="876"/>
      <c r="DE12" s="876"/>
      <c r="DF12" s="876"/>
      <c r="DG12" s="876"/>
      <c r="DH12" s="876"/>
      <c r="DI12" s="876"/>
      <c r="DJ12" s="876"/>
      <c r="DK12" s="876"/>
      <c r="DL12" s="876"/>
      <c r="DM12" s="876"/>
      <c r="DN12" s="876"/>
      <c r="DO12" s="876"/>
      <c r="DP12" s="876"/>
      <c r="DQ12" s="876"/>
      <c r="DR12" s="876"/>
      <c r="DS12" s="876"/>
      <c r="DT12" s="876"/>
      <c r="DU12" s="876"/>
      <c r="DV12" s="876"/>
      <c r="DW12" s="876"/>
      <c r="DX12" s="876"/>
      <c r="DY12" s="876"/>
      <c r="DZ12" s="876"/>
      <c r="EA12" s="876"/>
      <c r="EB12" s="876"/>
      <c r="EC12" s="876"/>
      <c r="ED12" s="876"/>
      <c r="EE12" s="876"/>
      <c r="EF12" s="876"/>
      <c r="EG12" s="876"/>
      <c r="EH12" s="876"/>
      <c r="EI12" s="876"/>
      <c r="EJ12" s="876"/>
      <c r="EK12" s="876"/>
      <c r="EL12" s="876"/>
      <c r="EM12" s="876"/>
      <c r="EN12" s="876"/>
      <c r="EO12" s="876"/>
      <c r="EP12" s="876"/>
      <c r="EQ12" s="876"/>
      <c r="ER12" s="876"/>
      <c r="ES12" s="876"/>
      <c r="ET12" s="876"/>
      <c r="EU12" s="876"/>
      <c r="EV12" s="876"/>
      <c r="EW12" s="876"/>
      <c r="EX12" s="876"/>
      <c r="EY12" s="876"/>
      <c r="EZ12" s="876"/>
      <c r="FA12" s="876"/>
      <c r="FB12" s="876"/>
      <c r="FC12" s="876"/>
      <c r="FD12" s="876"/>
      <c r="FE12" s="876"/>
      <c r="FF12" s="876"/>
      <c r="FG12" s="876"/>
      <c r="FH12" s="876"/>
      <c r="FI12" s="876"/>
      <c r="FJ12" s="876"/>
      <c r="FK12" s="876"/>
      <c r="FL12" s="876"/>
      <c r="FM12" s="876"/>
      <c r="FN12" s="876"/>
      <c r="FO12" s="876"/>
      <c r="FP12" s="876"/>
      <c r="FQ12" s="876"/>
      <c r="FR12" s="876"/>
      <c r="FS12" s="876"/>
      <c r="FT12" s="876"/>
      <c r="FU12" s="876"/>
      <c r="FV12" s="876"/>
      <c r="FW12" s="876"/>
      <c r="FX12" s="876"/>
      <c r="FY12" s="876"/>
      <c r="FZ12" s="876"/>
      <c r="GA12" s="876"/>
      <c r="GB12" s="876"/>
      <c r="GC12" s="876"/>
      <c r="GD12" s="876"/>
      <c r="GE12" s="876"/>
      <c r="GF12" s="876"/>
      <c r="GG12" s="876"/>
      <c r="GH12" s="876"/>
      <c r="GI12" s="876"/>
      <c r="GJ12" s="876"/>
      <c r="GK12" s="876"/>
      <c r="GL12" s="876"/>
      <c r="GM12" s="876"/>
      <c r="GN12" s="876"/>
      <c r="GO12" s="876"/>
      <c r="GP12" s="876"/>
      <c r="GQ12" s="876"/>
      <c r="GR12" s="876"/>
      <c r="GS12" s="876"/>
      <c r="GT12" s="876"/>
      <c r="GU12" s="876"/>
      <c r="GV12" s="876"/>
      <c r="GW12" s="876"/>
      <c r="GX12" s="876"/>
      <c r="GY12" s="876"/>
      <c r="GZ12" s="876"/>
      <c r="HA12" s="876"/>
      <c r="HB12" s="876"/>
      <c r="HC12" s="876"/>
      <c r="HD12" s="876"/>
      <c r="HE12" s="876"/>
      <c r="HF12" s="876"/>
      <c r="HG12" s="876"/>
      <c r="HH12" s="876"/>
      <c r="HI12" s="876"/>
      <c r="HJ12" s="876"/>
      <c r="HK12" s="876"/>
      <c r="HL12" s="876"/>
      <c r="HM12" s="876"/>
      <c r="HN12" s="876"/>
      <c r="HO12" s="876"/>
      <c r="HP12" s="876"/>
      <c r="HQ12" s="876"/>
      <c r="HR12" s="876"/>
      <c r="HS12" s="876"/>
      <c r="HT12" s="876"/>
      <c r="HU12" s="876"/>
      <c r="HV12" s="876"/>
      <c r="HW12" s="876"/>
      <c r="HX12" s="876"/>
      <c r="HY12" s="876"/>
      <c r="HZ12" s="876"/>
      <c r="IA12" s="876"/>
      <c r="IB12" s="876"/>
      <c r="IC12" s="876"/>
      <c r="ID12" s="876"/>
      <c r="IE12" s="876"/>
      <c r="IF12" s="876"/>
      <c r="IG12" s="876"/>
      <c r="IH12" s="876"/>
      <c r="II12" s="876"/>
      <c r="IJ12" s="876"/>
      <c r="IK12" s="876"/>
      <c r="IL12" s="876"/>
      <c r="IM12" s="876"/>
      <c r="IN12" s="876"/>
      <c r="IO12" s="876"/>
      <c r="IP12" s="876"/>
      <c r="IQ12" s="876"/>
      <c r="IR12" s="876"/>
      <c r="IS12" s="876"/>
      <c r="IT12" s="876"/>
      <c r="IU12" s="876"/>
      <c r="IV12" s="876"/>
    </row>
    <row r="13" spans="1:256" ht="7.5" customHeight="1">
      <c r="A13" s="872"/>
      <c r="B13" s="876"/>
      <c r="C13" s="876"/>
      <c r="D13" s="1351"/>
      <c r="E13" s="1351"/>
      <c r="F13" s="1351"/>
      <c r="G13" s="1351"/>
      <c r="H13" s="1351"/>
      <c r="I13" s="1351"/>
      <c r="J13" s="1351"/>
      <c r="K13" s="1351"/>
      <c r="L13" s="1351"/>
      <c r="M13" s="880"/>
      <c r="N13" s="881"/>
      <c r="O13" s="882"/>
      <c r="P13" s="882"/>
      <c r="Q13" s="876"/>
      <c r="R13" s="876"/>
      <c r="S13" s="876"/>
      <c r="T13" s="876"/>
      <c r="U13" s="876"/>
      <c r="V13" s="876"/>
      <c r="W13" s="876"/>
      <c r="X13" s="876"/>
      <c r="Y13" s="876"/>
      <c r="Z13" s="876"/>
      <c r="AA13" s="876"/>
      <c r="AB13" s="876"/>
      <c r="AC13" s="876"/>
      <c r="AD13" s="876"/>
      <c r="AE13" s="876"/>
      <c r="AF13" s="876"/>
      <c r="AG13" s="876"/>
      <c r="AH13" s="876"/>
      <c r="AI13" s="876"/>
      <c r="AJ13" s="876"/>
      <c r="AK13" s="876"/>
      <c r="AL13" s="876"/>
      <c r="AM13" s="876"/>
      <c r="AN13" s="876"/>
      <c r="AO13" s="876"/>
      <c r="AP13" s="876"/>
      <c r="AQ13" s="876"/>
      <c r="AR13" s="876"/>
      <c r="AS13" s="876"/>
      <c r="AT13" s="876"/>
      <c r="AU13" s="876"/>
      <c r="AV13" s="876"/>
      <c r="AW13" s="876"/>
      <c r="AX13" s="876"/>
      <c r="AY13" s="876"/>
      <c r="AZ13" s="876"/>
      <c r="BA13" s="876"/>
      <c r="BB13" s="876"/>
      <c r="BC13" s="876"/>
      <c r="BD13" s="876"/>
      <c r="BE13" s="876"/>
      <c r="BF13" s="876"/>
      <c r="BG13" s="876"/>
      <c r="BH13" s="876"/>
      <c r="BI13" s="876"/>
      <c r="BJ13" s="876"/>
      <c r="BK13" s="876"/>
      <c r="BL13" s="876"/>
      <c r="BM13" s="876"/>
      <c r="BN13" s="876"/>
      <c r="BO13" s="876"/>
      <c r="BP13" s="876"/>
      <c r="BQ13" s="876"/>
      <c r="BR13" s="876"/>
      <c r="BS13" s="876"/>
      <c r="BT13" s="876"/>
      <c r="BU13" s="876"/>
      <c r="BV13" s="876"/>
      <c r="BW13" s="876"/>
      <c r="BX13" s="876"/>
      <c r="BY13" s="876"/>
      <c r="BZ13" s="876"/>
      <c r="CA13" s="876"/>
      <c r="CB13" s="876"/>
      <c r="CC13" s="876"/>
      <c r="CD13" s="876"/>
      <c r="CE13" s="876"/>
      <c r="CF13" s="876"/>
      <c r="CG13" s="876"/>
      <c r="CH13" s="876"/>
      <c r="CI13" s="876"/>
      <c r="CJ13" s="876"/>
      <c r="CK13" s="876"/>
      <c r="CL13" s="876"/>
      <c r="CM13" s="876"/>
      <c r="CN13" s="876"/>
      <c r="CO13" s="876"/>
      <c r="CP13" s="876"/>
      <c r="CQ13" s="876"/>
      <c r="CR13" s="876"/>
      <c r="CS13" s="876"/>
      <c r="CT13" s="876"/>
      <c r="CU13" s="876"/>
      <c r="CV13" s="876"/>
      <c r="CW13" s="876"/>
      <c r="CX13" s="876"/>
      <c r="CY13" s="876"/>
      <c r="CZ13" s="876"/>
      <c r="DA13" s="876"/>
      <c r="DB13" s="876"/>
      <c r="DC13" s="876"/>
      <c r="DD13" s="876"/>
      <c r="DE13" s="876"/>
      <c r="DF13" s="876"/>
      <c r="DG13" s="876"/>
      <c r="DH13" s="876"/>
      <c r="DI13" s="876"/>
      <c r="DJ13" s="876"/>
      <c r="DK13" s="876"/>
      <c r="DL13" s="876"/>
      <c r="DM13" s="876"/>
      <c r="DN13" s="876"/>
      <c r="DO13" s="876"/>
      <c r="DP13" s="876"/>
      <c r="DQ13" s="876"/>
      <c r="DR13" s="876"/>
      <c r="DS13" s="876"/>
      <c r="DT13" s="876"/>
      <c r="DU13" s="876"/>
      <c r="DV13" s="876"/>
      <c r="DW13" s="876"/>
      <c r="DX13" s="876"/>
      <c r="DY13" s="876"/>
      <c r="DZ13" s="876"/>
      <c r="EA13" s="876"/>
      <c r="EB13" s="876"/>
      <c r="EC13" s="876"/>
      <c r="ED13" s="876"/>
      <c r="EE13" s="876"/>
      <c r="EF13" s="876"/>
      <c r="EG13" s="876"/>
      <c r="EH13" s="876"/>
      <c r="EI13" s="876"/>
      <c r="EJ13" s="876"/>
      <c r="EK13" s="876"/>
      <c r="EL13" s="876"/>
      <c r="EM13" s="876"/>
      <c r="EN13" s="876"/>
      <c r="EO13" s="876"/>
      <c r="EP13" s="876"/>
      <c r="EQ13" s="876"/>
      <c r="ER13" s="876"/>
      <c r="ES13" s="876"/>
      <c r="ET13" s="876"/>
      <c r="EU13" s="876"/>
      <c r="EV13" s="876"/>
      <c r="EW13" s="876"/>
      <c r="EX13" s="876"/>
      <c r="EY13" s="876"/>
      <c r="EZ13" s="876"/>
      <c r="FA13" s="876"/>
      <c r="FB13" s="876"/>
      <c r="FC13" s="876"/>
      <c r="FD13" s="876"/>
      <c r="FE13" s="876"/>
      <c r="FF13" s="876"/>
      <c r="FG13" s="876"/>
      <c r="FH13" s="876"/>
      <c r="FI13" s="876"/>
      <c r="FJ13" s="876"/>
      <c r="FK13" s="876"/>
      <c r="FL13" s="876"/>
      <c r="FM13" s="876"/>
      <c r="FN13" s="876"/>
      <c r="FO13" s="876"/>
      <c r="FP13" s="876"/>
      <c r="FQ13" s="876"/>
      <c r="FR13" s="876"/>
      <c r="FS13" s="876"/>
      <c r="FT13" s="876"/>
      <c r="FU13" s="876"/>
      <c r="FV13" s="876"/>
      <c r="FW13" s="876"/>
      <c r="FX13" s="876"/>
      <c r="FY13" s="876"/>
      <c r="FZ13" s="876"/>
      <c r="GA13" s="876"/>
      <c r="GB13" s="876"/>
      <c r="GC13" s="876"/>
      <c r="GD13" s="876"/>
      <c r="GE13" s="876"/>
      <c r="GF13" s="876"/>
      <c r="GG13" s="876"/>
      <c r="GH13" s="876"/>
      <c r="GI13" s="876"/>
      <c r="GJ13" s="876"/>
      <c r="GK13" s="876"/>
      <c r="GL13" s="876"/>
      <c r="GM13" s="876"/>
      <c r="GN13" s="876"/>
      <c r="GO13" s="876"/>
      <c r="GP13" s="876"/>
      <c r="GQ13" s="876"/>
      <c r="GR13" s="876"/>
      <c r="GS13" s="876"/>
      <c r="GT13" s="876"/>
      <c r="GU13" s="876"/>
      <c r="GV13" s="876"/>
      <c r="GW13" s="876"/>
      <c r="GX13" s="876"/>
      <c r="GY13" s="876"/>
      <c r="GZ13" s="876"/>
      <c r="HA13" s="876"/>
      <c r="HB13" s="876"/>
      <c r="HC13" s="876"/>
      <c r="HD13" s="876"/>
      <c r="HE13" s="876"/>
      <c r="HF13" s="876"/>
      <c r="HG13" s="876"/>
      <c r="HH13" s="876"/>
      <c r="HI13" s="876"/>
      <c r="HJ13" s="876"/>
      <c r="HK13" s="876"/>
      <c r="HL13" s="876"/>
      <c r="HM13" s="876"/>
      <c r="HN13" s="876"/>
      <c r="HO13" s="876"/>
      <c r="HP13" s="876"/>
      <c r="HQ13" s="876"/>
      <c r="HR13" s="876"/>
      <c r="HS13" s="876"/>
      <c r="HT13" s="876"/>
      <c r="HU13" s="876"/>
      <c r="HV13" s="876"/>
      <c r="HW13" s="876"/>
      <c r="HX13" s="876"/>
      <c r="HY13" s="876"/>
      <c r="HZ13" s="876"/>
      <c r="IA13" s="876"/>
      <c r="IB13" s="876"/>
      <c r="IC13" s="876"/>
      <c r="ID13" s="876"/>
      <c r="IE13" s="876"/>
      <c r="IF13" s="876"/>
      <c r="IG13" s="876"/>
      <c r="IH13" s="876"/>
      <c r="II13" s="876"/>
      <c r="IJ13" s="876"/>
      <c r="IK13" s="876"/>
      <c r="IL13" s="876"/>
      <c r="IM13" s="876"/>
      <c r="IN13" s="876"/>
      <c r="IO13" s="876"/>
      <c r="IP13" s="876"/>
      <c r="IQ13" s="876"/>
      <c r="IR13" s="876"/>
      <c r="IS13" s="876"/>
      <c r="IT13" s="876"/>
      <c r="IU13" s="876"/>
      <c r="IV13" s="876"/>
    </row>
    <row r="14" spans="1:256" ht="15.75" customHeight="1">
      <c r="A14" s="876" t="s">
        <v>1158</v>
      </c>
      <c r="B14" s="876"/>
      <c r="C14" s="876"/>
      <c r="D14" s="1352">
        <v>0.06</v>
      </c>
      <c r="E14" s="1353"/>
      <c r="F14" s="1354">
        <v>7.2089999999999996</v>
      </c>
      <c r="G14" s="1353"/>
      <c r="H14" s="1354">
        <v>5.4530000000000003</v>
      </c>
      <c r="I14" s="1353"/>
      <c r="J14" s="1355">
        <v>0</v>
      </c>
      <c r="K14" s="1353"/>
      <c r="L14" s="1354">
        <f>ROUND(D14+F14-H14+J14,3)</f>
        <v>1.8160000000000001</v>
      </c>
      <c r="M14" s="880"/>
      <c r="N14" s="881"/>
      <c r="O14" s="882"/>
      <c r="P14" s="882"/>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6"/>
      <c r="AY14" s="876"/>
      <c r="AZ14" s="876"/>
      <c r="BA14" s="876"/>
      <c r="BB14" s="876"/>
      <c r="BC14" s="876"/>
      <c r="BD14" s="876"/>
      <c r="BE14" s="876"/>
      <c r="BF14" s="876"/>
      <c r="BG14" s="876"/>
      <c r="BH14" s="876"/>
      <c r="BI14" s="876"/>
      <c r="BJ14" s="876"/>
      <c r="BK14" s="876"/>
      <c r="BL14" s="876"/>
      <c r="BM14" s="876"/>
      <c r="BN14" s="876"/>
      <c r="BO14" s="876"/>
      <c r="BP14" s="876"/>
      <c r="BQ14" s="876"/>
      <c r="BR14" s="876"/>
      <c r="BS14" s="876"/>
      <c r="BT14" s="876"/>
      <c r="BU14" s="876"/>
      <c r="BV14" s="876"/>
      <c r="BW14" s="876"/>
      <c r="BX14" s="876"/>
      <c r="BY14" s="876"/>
      <c r="BZ14" s="876"/>
      <c r="CA14" s="876"/>
      <c r="CB14" s="876"/>
      <c r="CC14" s="876"/>
      <c r="CD14" s="876"/>
      <c r="CE14" s="876"/>
      <c r="CF14" s="876"/>
      <c r="CG14" s="876"/>
      <c r="CH14" s="876"/>
      <c r="CI14" s="876"/>
      <c r="CJ14" s="876"/>
      <c r="CK14" s="876"/>
      <c r="CL14" s="876"/>
      <c r="CM14" s="876"/>
      <c r="CN14" s="876"/>
      <c r="CO14" s="876"/>
      <c r="CP14" s="876"/>
      <c r="CQ14" s="876"/>
      <c r="CR14" s="876"/>
      <c r="CS14" s="876"/>
      <c r="CT14" s="876"/>
      <c r="CU14" s="876"/>
      <c r="CV14" s="876"/>
      <c r="CW14" s="876"/>
      <c r="CX14" s="876"/>
      <c r="CY14" s="876"/>
      <c r="CZ14" s="876"/>
      <c r="DA14" s="876"/>
      <c r="DB14" s="876"/>
      <c r="DC14" s="876"/>
      <c r="DD14" s="876"/>
      <c r="DE14" s="876"/>
      <c r="DF14" s="876"/>
      <c r="DG14" s="876"/>
      <c r="DH14" s="876"/>
      <c r="DI14" s="876"/>
      <c r="DJ14" s="876"/>
      <c r="DK14" s="876"/>
      <c r="DL14" s="876"/>
      <c r="DM14" s="876"/>
      <c r="DN14" s="876"/>
      <c r="DO14" s="876"/>
      <c r="DP14" s="876"/>
      <c r="DQ14" s="876"/>
      <c r="DR14" s="876"/>
      <c r="DS14" s="876"/>
      <c r="DT14" s="876"/>
      <c r="DU14" s="876"/>
      <c r="DV14" s="876"/>
      <c r="DW14" s="876"/>
      <c r="DX14" s="876"/>
      <c r="DY14" s="876"/>
      <c r="DZ14" s="876"/>
      <c r="EA14" s="876"/>
      <c r="EB14" s="876"/>
      <c r="EC14" s="876"/>
      <c r="ED14" s="876"/>
      <c r="EE14" s="876"/>
      <c r="EF14" s="876"/>
      <c r="EG14" s="876"/>
      <c r="EH14" s="876"/>
      <c r="EI14" s="876"/>
      <c r="EJ14" s="876"/>
      <c r="EK14" s="876"/>
      <c r="EL14" s="876"/>
      <c r="EM14" s="876"/>
      <c r="EN14" s="876"/>
      <c r="EO14" s="876"/>
      <c r="EP14" s="876"/>
      <c r="EQ14" s="876"/>
      <c r="ER14" s="876"/>
      <c r="ES14" s="876"/>
      <c r="ET14" s="876"/>
      <c r="EU14" s="876"/>
      <c r="EV14" s="876"/>
      <c r="EW14" s="876"/>
      <c r="EX14" s="876"/>
      <c r="EY14" s="876"/>
      <c r="EZ14" s="876"/>
      <c r="FA14" s="876"/>
      <c r="FB14" s="876"/>
      <c r="FC14" s="876"/>
      <c r="FD14" s="876"/>
      <c r="FE14" s="876"/>
      <c r="FF14" s="876"/>
      <c r="FG14" s="876"/>
      <c r="FH14" s="876"/>
      <c r="FI14" s="876"/>
      <c r="FJ14" s="876"/>
      <c r="FK14" s="876"/>
      <c r="FL14" s="876"/>
      <c r="FM14" s="876"/>
      <c r="FN14" s="876"/>
      <c r="FO14" s="876"/>
      <c r="FP14" s="876"/>
      <c r="FQ14" s="876"/>
      <c r="FR14" s="876"/>
      <c r="FS14" s="876"/>
      <c r="FT14" s="876"/>
      <c r="FU14" s="876"/>
      <c r="FV14" s="876"/>
      <c r="FW14" s="876"/>
      <c r="FX14" s="876"/>
      <c r="FY14" s="876"/>
      <c r="FZ14" s="876"/>
      <c r="GA14" s="876"/>
      <c r="GB14" s="876"/>
      <c r="GC14" s="876"/>
      <c r="GD14" s="876"/>
      <c r="GE14" s="876"/>
      <c r="GF14" s="876"/>
      <c r="GG14" s="876"/>
      <c r="GH14" s="876"/>
      <c r="GI14" s="876"/>
      <c r="GJ14" s="876"/>
      <c r="GK14" s="876"/>
      <c r="GL14" s="876"/>
      <c r="GM14" s="876"/>
      <c r="GN14" s="876"/>
      <c r="GO14" s="876"/>
      <c r="GP14" s="876"/>
      <c r="GQ14" s="876"/>
      <c r="GR14" s="876"/>
      <c r="GS14" s="876"/>
      <c r="GT14" s="876"/>
      <c r="GU14" s="876"/>
      <c r="GV14" s="876"/>
      <c r="GW14" s="876"/>
      <c r="GX14" s="876"/>
      <c r="GY14" s="876"/>
      <c r="GZ14" s="876"/>
      <c r="HA14" s="876"/>
      <c r="HB14" s="876"/>
      <c r="HC14" s="876"/>
      <c r="HD14" s="876"/>
      <c r="HE14" s="876"/>
      <c r="HF14" s="876"/>
      <c r="HG14" s="876"/>
      <c r="HH14" s="876"/>
      <c r="HI14" s="876"/>
      <c r="HJ14" s="876"/>
      <c r="HK14" s="876"/>
      <c r="HL14" s="876"/>
      <c r="HM14" s="876"/>
      <c r="HN14" s="876"/>
      <c r="HO14" s="876"/>
      <c r="HP14" s="876"/>
      <c r="HQ14" s="876"/>
      <c r="HR14" s="876"/>
      <c r="HS14" s="876"/>
      <c r="HT14" s="876"/>
      <c r="HU14" s="876"/>
      <c r="HV14" s="876"/>
      <c r="HW14" s="876"/>
      <c r="HX14" s="876"/>
      <c r="HY14" s="876"/>
      <c r="HZ14" s="876"/>
      <c r="IA14" s="876"/>
      <c r="IB14" s="876"/>
      <c r="IC14" s="876"/>
      <c r="ID14" s="876"/>
      <c r="IE14" s="876"/>
      <c r="IF14" s="876"/>
      <c r="IG14" s="876"/>
      <c r="IH14" s="876"/>
      <c r="II14" s="876"/>
      <c r="IJ14" s="876"/>
      <c r="IK14" s="876"/>
      <c r="IL14" s="876"/>
      <c r="IM14" s="876"/>
      <c r="IN14" s="876"/>
      <c r="IO14" s="876"/>
      <c r="IP14" s="876"/>
      <c r="IQ14" s="876"/>
      <c r="IR14" s="876"/>
      <c r="IS14" s="876"/>
      <c r="IT14" s="876"/>
      <c r="IU14" s="876"/>
      <c r="IV14" s="876"/>
    </row>
    <row r="15" spans="1:256" ht="6.75" customHeight="1">
      <c r="A15" s="872"/>
      <c r="B15" s="876"/>
      <c r="C15" s="876"/>
      <c r="D15" s="1356" t="s">
        <v>16</v>
      </c>
      <c r="E15" s="1357"/>
      <c r="F15" s="1358" t="s">
        <v>16</v>
      </c>
      <c r="G15" s="1357"/>
      <c r="H15" s="1358" t="s">
        <v>16</v>
      </c>
      <c r="I15" s="1357"/>
      <c r="J15" s="1359" t="s">
        <v>16</v>
      </c>
      <c r="K15" s="1357"/>
      <c r="L15" s="1360" t="s">
        <v>16</v>
      </c>
      <c r="M15" s="883"/>
      <c r="N15" s="876"/>
      <c r="O15" s="882"/>
      <c r="P15" s="882"/>
      <c r="Q15" s="876"/>
      <c r="R15" s="876"/>
      <c r="S15" s="876"/>
      <c r="T15" s="876"/>
      <c r="U15" s="876"/>
      <c r="V15" s="876"/>
      <c r="W15" s="876"/>
      <c r="X15" s="876"/>
      <c r="Y15" s="876"/>
      <c r="Z15" s="876"/>
      <c r="AA15" s="876"/>
      <c r="AB15" s="876"/>
      <c r="AC15" s="876"/>
      <c r="AD15" s="876"/>
      <c r="AE15" s="876"/>
      <c r="AF15" s="876"/>
      <c r="AG15" s="876"/>
      <c r="AH15" s="876"/>
      <c r="AI15" s="876"/>
      <c r="AJ15" s="876"/>
      <c r="AK15" s="876"/>
      <c r="AL15" s="876"/>
      <c r="AM15" s="876"/>
      <c r="AN15" s="876"/>
      <c r="AO15" s="876"/>
      <c r="AP15" s="876"/>
      <c r="AQ15" s="876"/>
      <c r="AR15" s="876"/>
      <c r="AS15" s="876"/>
      <c r="AT15" s="876"/>
      <c r="AU15" s="876"/>
      <c r="AV15" s="876"/>
      <c r="AW15" s="876"/>
      <c r="AX15" s="876"/>
      <c r="AY15" s="876"/>
      <c r="AZ15" s="876"/>
      <c r="BA15" s="876"/>
      <c r="BB15" s="876"/>
      <c r="BC15" s="876"/>
      <c r="BD15" s="876"/>
      <c r="BE15" s="876"/>
      <c r="BF15" s="876"/>
      <c r="BG15" s="876"/>
      <c r="BH15" s="876"/>
      <c r="BI15" s="876"/>
      <c r="BJ15" s="876"/>
      <c r="BK15" s="876"/>
      <c r="BL15" s="876"/>
      <c r="BM15" s="876"/>
      <c r="BN15" s="876"/>
      <c r="BO15" s="876"/>
      <c r="BP15" s="876"/>
      <c r="BQ15" s="876"/>
      <c r="BR15" s="876"/>
      <c r="BS15" s="876"/>
      <c r="BT15" s="876"/>
      <c r="BU15" s="876"/>
      <c r="BV15" s="876"/>
      <c r="BW15" s="876"/>
      <c r="BX15" s="876"/>
      <c r="BY15" s="876"/>
      <c r="BZ15" s="876"/>
      <c r="CA15" s="876"/>
      <c r="CB15" s="876"/>
      <c r="CC15" s="876"/>
      <c r="CD15" s="876"/>
      <c r="CE15" s="876"/>
      <c r="CF15" s="876"/>
      <c r="CG15" s="876"/>
      <c r="CH15" s="876"/>
      <c r="CI15" s="876"/>
      <c r="CJ15" s="876"/>
      <c r="CK15" s="876"/>
      <c r="CL15" s="876"/>
      <c r="CM15" s="876"/>
      <c r="CN15" s="876"/>
      <c r="CO15" s="876"/>
      <c r="CP15" s="876"/>
      <c r="CQ15" s="876"/>
      <c r="CR15" s="876"/>
      <c r="CS15" s="876"/>
      <c r="CT15" s="876"/>
      <c r="CU15" s="876"/>
      <c r="CV15" s="876"/>
      <c r="CW15" s="876"/>
      <c r="CX15" s="876"/>
      <c r="CY15" s="876"/>
      <c r="CZ15" s="876"/>
      <c r="DA15" s="876"/>
      <c r="DB15" s="876"/>
      <c r="DC15" s="876"/>
      <c r="DD15" s="876"/>
      <c r="DE15" s="876"/>
      <c r="DF15" s="876"/>
      <c r="DG15" s="876"/>
      <c r="DH15" s="876"/>
      <c r="DI15" s="876"/>
      <c r="DJ15" s="876"/>
      <c r="DK15" s="876"/>
      <c r="DL15" s="876"/>
      <c r="DM15" s="876"/>
      <c r="DN15" s="876"/>
      <c r="DO15" s="876"/>
      <c r="DP15" s="876"/>
      <c r="DQ15" s="876"/>
      <c r="DR15" s="876"/>
      <c r="DS15" s="876"/>
      <c r="DT15" s="876"/>
      <c r="DU15" s="876"/>
      <c r="DV15" s="876"/>
      <c r="DW15" s="876"/>
      <c r="DX15" s="876"/>
      <c r="DY15" s="876"/>
      <c r="DZ15" s="876"/>
      <c r="EA15" s="876"/>
      <c r="EB15" s="876"/>
      <c r="EC15" s="876"/>
      <c r="ED15" s="876"/>
      <c r="EE15" s="876"/>
      <c r="EF15" s="876"/>
      <c r="EG15" s="876"/>
      <c r="EH15" s="876"/>
      <c r="EI15" s="876"/>
      <c r="EJ15" s="876"/>
      <c r="EK15" s="876"/>
      <c r="EL15" s="876"/>
      <c r="EM15" s="876"/>
      <c r="EN15" s="876"/>
      <c r="EO15" s="876"/>
      <c r="EP15" s="876"/>
      <c r="EQ15" s="876"/>
      <c r="ER15" s="876"/>
      <c r="ES15" s="876"/>
      <c r="ET15" s="876"/>
      <c r="EU15" s="876"/>
      <c r="EV15" s="876"/>
      <c r="EW15" s="876"/>
      <c r="EX15" s="876"/>
      <c r="EY15" s="876"/>
      <c r="EZ15" s="876"/>
      <c r="FA15" s="876"/>
      <c r="FB15" s="876"/>
      <c r="FC15" s="876"/>
      <c r="FD15" s="876"/>
      <c r="FE15" s="876"/>
      <c r="FF15" s="876"/>
      <c r="FG15" s="876"/>
      <c r="FH15" s="876"/>
      <c r="FI15" s="876"/>
      <c r="FJ15" s="876"/>
      <c r="FK15" s="876"/>
      <c r="FL15" s="876"/>
      <c r="FM15" s="876"/>
      <c r="FN15" s="876"/>
      <c r="FO15" s="876"/>
      <c r="FP15" s="876"/>
      <c r="FQ15" s="876"/>
      <c r="FR15" s="876"/>
      <c r="FS15" s="876"/>
      <c r="FT15" s="876"/>
      <c r="FU15" s="876"/>
      <c r="FV15" s="876"/>
      <c r="FW15" s="876"/>
      <c r="FX15" s="876"/>
      <c r="FY15" s="876"/>
      <c r="FZ15" s="876"/>
      <c r="GA15" s="876"/>
      <c r="GB15" s="876"/>
      <c r="GC15" s="876"/>
      <c r="GD15" s="876"/>
      <c r="GE15" s="876"/>
      <c r="GF15" s="876"/>
      <c r="GG15" s="876"/>
      <c r="GH15" s="876"/>
      <c r="GI15" s="876"/>
      <c r="GJ15" s="876"/>
      <c r="GK15" s="876"/>
      <c r="GL15" s="876"/>
      <c r="GM15" s="876"/>
      <c r="GN15" s="876"/>
      <c r="GO15" s="876"/>
      <c r="GP15" s="876"/>
      <c r="GQ15" s="876"/>
      <c r="GR15" s="876"/>
      <c r="GS15" s="876"/>
      <c r="GT15" s="876"/>
      <c r="GU15" s="876"/>
      <c r="GV15" s="876"/>
      <c r="GW15" s="876"/>
      <c r="GX15" s="876"/>
      <c r="GY15" s="876"/>
      <c r="GZ15" s="876"/>
      <c r="HA15" s="876"/>
      <c r="HB15" s="876"/>
      <c r="HC15" s="876"/>
      <c r="HD15" s="876"/>
      <c r="HE15" s="876"/>
      <c r="HF15" s="876"/>
      <c r="HG15" s="876"/>
      <c r="HH15" s="876"/>
      <c r="HI15" s="876"/>
      <c r="HJ15" s="876"/>
      <c r="HK15" s="876"/>
      <c r="HL15" s="876"/>
      <c r="HM15" s="876"/>
      <c r="HN15" s="876"/>
      <c r="HO15" s="876"/>
      <c r="HP15" s="876"/>
      <c r="HQ15" s="876"/>
      <c r="HR15" s="876"/>
      <c r="HS15" s="876"/>
      <c r="HT15" s="876"/>
      <c r="HU15" s="876"/>
      <c r="HV15" s="876"/>
      <c r="HW15" s="876"/>
      <c r="HX15" s="876"/>
      <c r="HY15" s="876"/>
      <c r="HZ15" s="876"/>
      <c r="IA15" s="876"/>
      <c r="IB15" s="876"/>
      <c r="IC15" s="876"/>
      <c r="ID15" s="876"/>
      <c r="IE15" s="876"/>
      <c r="IF15" s="876"/>
      <c r="IG15" s="876"/>
      <c r="IH15" s="876"/>
      <c r="II15" s="876"/>
      <c r="IJ15" s="876"/>
      <c r="IK15" s="876"/>
      <c r="IL15" s="876"/>
      <c r="IM15" s="876"/>
      <c r="IN15" s="876"/>
      <c r="IO15" s="876"/>
      <c r="IP15" s="876"/>
      <c r="IQ15" s="876"/>
      <c r="IR15" s="876"/>
      <c r="IS15" s="876"/>
      <c r="IT15" s="876"/>
      <c r="IU15" s="876"/>
      <c r="IV15" s="876"/>
    </row>
    <row r="16" spans="1:256" ht="17.25" customHeight="1">
      <c r="A16" s="872" t="s">
        <v>385</v>
      </c>
      <c r="B16" s="876"/>
      <c r="C16" s="876"/>
      <c r="D16" s="1361">
        <f>ROUND(SUM(D14),3)</f>
        <v>0.06</v>
      </c>
      <c r="E16" s="1362"/>
      <c r="F16" s="1361">
        <f>ROUND(SUM(F14),3)</f>
        <v>7.2089999999999996</v>
      </c>
      <c r="G16" s="1362"/>
      <c r="H16" s="1361">
        <f>ROUND(SUM(H14),3)</f>
        <v>5.4530000000000003</v>
      </c>
      <c r="I16" s="1362"/>
      <c r="J16" s="1791">
        <f>ROUND(SUM(J14),3)</f>
        <v>0</v>
      </c>
      <c r="K16" s="1362"/>
      <c r="L16" s="1361">
        <f>ROUND(SUM(L14),3)</f>
        <v>1.8160000000000001</v>
      </c>
      <c r="M16" s="884"/>
      <c r="N16" s="876"/>
      <c r="O16" s="882"/>
      <c r="P16" s="882"/>
      <c r="Q16" s="876"/>
      <c r="R16" s="876"/>
      <c r="S16" s="876"/>
      <c r="T16" s="876"/>
      <c r="U16" s="876"/>
      <c r="V16" s="876"/>
      <c r="W16" s="876"/>
      <c r="X16" s="876"/>
      <c r="Y16" s="876"/>
      <c r="Z16" s="876"/>
      <c r="AA16" s="876"/>
      <c r="AB16" s="876"/>
      <c r="AC16" s="876"/>
      <c r="AD16" s="876"/>
      <c r="AE16" s="876"/>
      <c r="AF16" s="876"/>
      <c r="AG16" s="876"/>
      <c r="AH16" s="876"/>
      <c r="AI16" s="876"/>
      <c r="AJ16" s="876"/>
      <c r="AK16" s="876"/>
      <c r="AL16" s="876"/>
      <c r="AM16" s="876"/>
      <c r="AN16" s="876"/>
      <c r="AO16" s="876"/>
      <c r="AP16" s="876"/>
      <c r="AQ16" s="876"/>
      <c r="AR16" s="876"/>
      <c r="AS16" s="876"/>
      <c r="AT16" s="876"/>
      <c r="AU16" s="876"/>
      <c r="AV16" s="876"/>
      <c r="AW16" s="876"/>
      <c r="AX16" s="876"/>
      <c r="AY16" s="876"/>
      <c r="AZ16" s="876"/>
      <c r="BA16" s="876"/>
      <c r="BB16" s="876"/>
      <c r="BC16" s="876"/>
      <c r="BD16" s="876"/>
      <c r="BE16" s="876"/>
      <c r="BF16" s="876"/>
      <c r="BG16" s="876"/>
      <c r="BH16" s="876"/>
      <c r="BI16" s="876"/>
      <c r="BJ16" s="876"/>
      <c r="BK16" s="876"/>
      <c r="BL16" s="876"/>
      <c r="BM16" s="876"/>
      <c r="BN16" s="876"/>
      <c r="BO16" s="876"/>
      <c r="BP16" s="876"/>
      <c r="BQ16" s="876"/>
      <c r="BR16" s="876"/>
      <c r="BS16" s="876"/>
      <c r="BT16" s="876"/>
      <c r="BU16" s="876"/>
      <c r="BV16" s="876"/>
      <c r="BW16" s="876"/>
      <c r="BX16" s="876"/>
      <c r="BY16" s="876"/>
      <c r="BZ16" s="876"/>
      <c r="CA16" s="876"/>
      <c r="CB16" s="876"/>
      <c r="CC16" s="876"/>
      <c r="CD16" s="876"/>
      <c r="CE16" s="876"/>
      <c r="CF16" s="876"/>
      <c r="CG16" s="876"/>
      <c r="CH16" s="876"/>
      <c r="CI16" s="876"/>
      <c r="CJ16" s="876"/>
      <c r="CK16" s="876"/>
      <c r="CL16" s="876"/>
      <c r="CM16" s="876"/>
      <c r="CN16" s="876"/>
      <c r="CO16" s="876"/>
      <c r="CP16" s="876"/>
      <c r="CQ16" s="876"/>
      <c r="CR16" s="876"/>
      <c r="CS16" s="876"/>
      <c r="CT16" s="876"/>
      <c r="CU16" s="876"/>
      <c r="CV16" s="876"/>
      <c r="CW16" s="876"/>
      <c r="CX16" s="876"/>
      <c r="CY16" s="876"/>
      <c r="CZ16" s="876"/>
      <c r="DA16" s="876"/>
      <c r="DB16" s="876"/>
      <c r="DC16" s="876"/>
      <c r="DD16" s="876"/>
      <c r="DE16" s="876"/>
      <c r="DF16" s="876"/>
      <c r="DG16" s="876"/>
      <c r="DH16" s="876"/>
      <c r="DI16" s="876"/>
      <c r="DJ16" s="876"/>
      <c r="DK16" s="876"/>
      <c r="DL16" s="876"/>
      <c r="DM16" s="876"/>
      <c r="DN16" s="876"/>
      <c r="DO16" s="876"/>
      <c r="DP16" s="876"/>
      <c r="DQ16" s="876"/>
      <c r="DR16" s="876"/>
      <c r="DS16" s="876"/>
      <c r="DT16" s="876"/>
      <c r="DU16" s="876"/>
      <c r="DV16" s="876"/>
      <c r="DW16" s="876"/>
      <c r="DX16" s="876"/>
      <c r="DY16" s="876"/>
      <c r="DZ16" s="876"/>
      <c r="EA16" s="876"/>
      <c r="EB16" s="876"/>
      <c r="EC16" s="876"/>
      <c r="ED16" s="876"/>
      <c r="EE16" s="876"/>
      <c r="EF16" s="876"/>
      <c r="EG16" s="876"/>
      <c r="EH16" s="876"/>
      <c r="EI16" s="876"/>
      <c r="EJ16" s="876"/>
      <c r="EK16" s="876"/>
      <c r="EL16" s="876"/>
      <c r="EM16" s="876"/>
      <c r="EN16" s="876"/>
      <c r="EO16" s="876"/>
      <c r="EP16" s="876"/>
      <c r="EQ16" s="876"/>
      <c r="ER16" s="876"/>
      <c r="ES16" s="876"/>
      <c r="ET16" s="876"/>
      <c r="EU16" s="876"/>
      <c r="EV16" s="876"/>
      <c r="EW16" s="876"/>
      <c r="EX16" s="876"/>
      <c r="EY16" s="876"/>
      <c r="EZ16" s="876"/>
      <c r="FA16" s="876"/>
      <c r="FB16" s="876"/>
      <c r="FC16" s="876"/>
      <c r="FD16" s="876"/>
      <c r="FE16" s="876"/>
      <c r="FF16" s="876"/>
      <c r="FG16" s="876"/>
      <c r="FH16" s="876"/>
      <c r="FI16" s="876"/>
      <c r="FJ16" s="876"/>
      <c r="FK16" s="876"/>
      <c r="FL16" s="876"/>
      <c r="FM16" s="876"/>
      <c r="FN16" s="876"/>
      <c r="FO16" s="876"/>
      <c r="FP16" s="876"/>
      <c r="FQ16" s="876"/>
      <c r="FR16" s="876"/>
      <c r="FS16" s="876"/>
      <c r="FT16" s="876"/>
      <c r="FU16" s="876"/>
      <c r="FV16" s="876"/>
      <c r="FW16" s="876"/>
      <c r="FX16" s="876"/>
      <c r="FY16" s="876"/>
      <c r="FZ16" s="876"/>
      <c r="GA16" s="876"/>
      <c r="GB16" s="876"/>
      <c r="GC16" s="876"/>
      <c r="GD16" s="876"/>
      <c r="GE16" s="876"/>
      <c r="GF16" s="876"/>
      <c r="GG16" s="876"/>
      <c r="GH16" s="876"/>
      <c r="GI16" s="876"/>
      <c r="GJ16" s="876"/>
      <c r="GK16" s="876"/>
      <c r="GL16" s="876"/>
      <c r="GM16" s="876"/>
      <c r="GN16" s="876"/>
      <c r="GO16" s="876"/>
      <c r="GP16" s="876"/>
      <c r="GQ16" s="876"/>
      <c r="GR16" s="876"/>
      <c r="GS16" s="876"/>
      <c r="GT16" s="876"/>
      <c r="GU16" s="876"/>
      <c r="GV16" s="876"/>
      <c r="GW16" s="876"/>
      <c r="GX16" s="876"/>
      <c r="GY16" s="876"/>
      <c r="GZ16" s="876"/>
      <c r="HA16" s="876"/>
      <c r="HB16" s="876"/>
      <c r="HC16" s="876"/>
      <c r="HD16" s="876"/>
      <c r="HE16" s="876"/>
      <c r="HF16" s="876"/>
      <c r="HG16" s="876"/>
      <c r="HH16" s="876"/>
      <c r="HI16" s="876"/>
      <c r="HJ16" s="876"/>
      <c r="HK16" s="876"/>
      <c r="HL16" s="876"/>
      <c r="HM16" s="876"/>
      <c r="HN16" s="876"/>
      <c r="HO16" s="876"/>
      <c r="HP16" s="876"/>
      <c r="HQ16" s="876"/>
      <c r="HR16" s="876"/>
      <c r="HS16" s="876"/>
      <c r="HT16" s="876"/>
      <c r="HU16" s="876"/>
      <c r="HV16" s="876"/>
      <c r="HW16" s="876"/>
      <c r="HX16" s="876"/>
      <c r="HY16" s="876"/>
      <c r="HZ16" s="876"/>
      <c r="IA16" s="876"/>
      <c r="IB16" s="876"/>
      <c r="IC16" s="876"/>
      <c r="ID16" s="876"/>
      <c r="IE16" s="876"/>
      <c r="IF16" s="876"/>
      <c r="IG16" s="876"/>
      <c r="IH16" s="876"/>
      <c r="II16" s="876"/>
      <c r="IJ16" s="876"/>
      <c r="IK16" s="876"/>
      <c r="IL16" s="876"/>
      <c r="IM16" s="876"/>
      <c r="IN16" s="876"/>
      <c r="IO16" s="876"/>
      <c r="IP16" s="876"/>
      <c r="IQ16" s="876"/>
      <c r="IR16" s="876"/>
      <c r="IS16" s="876"/>
      <c r="IT16" s="876"/>
      <c r="IU16" s="876"/>
      <c r="IV16" s="876"/>
    </row>
    <row r="17" spans="1:256" ht="12" customHeight="1">
      <c r="A17" s="872"/>
      <c r="B17" s="876"/>
      <c r="C17" s="876"/>
      <c r="D17" s="1363"/>
      <c r="E17" s="848"/>
      <c r="F17" s="1363"/>
      <c r="G17" s="848"/>
      <c r="H17" s="1363"/>
      <c r="I17" s="848"/>
      <c r="J17" s="851"/>
      <c r="K17" s="848"/>
      <c r="L17" s="1363"/>
      <c r="M17" s="883"/>
      <c r="N17" s="876"/>
      <c r="O17" s="882"/>
      <c r="P17" s="882"/>
      <c r="Q17" s="876"/>
      <c r="R17" s="876"/>
      <c r="S17" s="876"/>
      <c r="T17" s="876"/>
      <c r="U17" s="876"/>
      <c r="V17" s="876"/>
      <c r="W17" s="876"/>
      <c r="X17" s="876"/>
      <c r="Y17" s="876"/>
      <c r="Z17" s="876"/>
      <c r="AA17" s="876"/>
      <c r="AB17" s="876"/>
      <c r="AC17" s="876"/>
      <c r="AD17" s="876"/>
      <c r="AE17" s="876"/>
      <c r="AF17" s="876"/>
      <c r="AG17" s="876"/>
      <c r="AH17" s="876"/>
      <c r="AI17" s="876"/>
      <c r="AJ17" s="876"/>
      <c r="AK17" s="876"/>
      <c r="AL17" s="876"/>
      <c r="AM17" s="876"/>
      <c r="AN17" s="876"/>
      <c r="AO17" s="876"/>
      <c r="AP17" s="876"/>
      <c r="AQ17" s="876"/>
      <c r="AR17" s="876"/>
      <c r="AS17" s="876"/>
      <c r="AT17" s="876"/>
      <c r="AU17" s="876"/>
      <c r="AV17" s="876"/>
      <c r="AW17" s="876"/>
      <c r="AX17" s="876"/>
      <c r="AY17" s="876"/>
      <c r="AZ17" s="876"/>
      <c r="BA17" s="876"/>
      <c r="BB17" s="876"/>
      <c r="BC17" s="876"/>
      <c r="BD17" s="876"/>
      <c r="BE17" s="876"/>
      <c r="BF17" s="876"/>
      <c r="BG17" s="876"/>
      <c r="BH17" s="876"/>
      <c r="BI17" s="876"/>
      <c r="BJ17" s="876"/>
      <c r="BK17" s="876"/>
      <c r="BL17" s="876"/>
      <c r="BM17" s="876"/>
      <c r="BN17" s="876"/>
      <c r="BO17" s="876"/>
      <c r="BP17" s="876"/>
      <c r="BQ17" s="876"/>
      <c r="BR17" s="876"/>
      <c r="BS17" s="876"/>
      <c r="BT17" s="876"/>
      <c r="BU17" s="876"/>
      <c r="BV17" s="876"/>
      <c r="BW17" s="876"/>
      <c r="BX17" s="876"/>
      <c r="BY17" s="876"/>
      <c r="BZ17" s="876"/>
      <c r="CA17" s="876"/>
      <c r="CB17" s="876"/>
      <c r="CC17" s="876"/>
      <c r="CD17" s="876"/>
      <c r="CE17" s="876"/>
      <c r="CF17" s="876"/>
      <c r="CG17" s="876"/>
      <c r="CH17" s="876"/>
      <c r="CI17" s="876"/>
      <c r="CJ17" s="876"/>
      <c r="CK17" s="876"/>
      <c r="CL17" s="876"/>
      <c r="CM17" s="876"/>
      <c r="CN17" s="876"/>
      <c r="CO17" s="876"/>
      <c r="CP17" s="876"/>
      <c r="CQ17" s="876"/>
      <c r="CR17" s="876"/>
      <c r="CS17" s="876"/>
      <c r="CT17" s="876"/>
      <c r="CU17" s="876"/>
      <c r="CV17" s="876"/>
      <c r="CW17" s="876"/>
      <c r="CX17" s="876"/>
      <c r="CY17" s="876"/>
      <c r="CZ17" s="876"/>
      <c r="DA17" s="876"/>
      <c r="DB17" s="876"/>
      <c r="DC17" s="876"/>
      <c r="DD17" s="876"/>
      <c r="DE17" s="876"/>
      <c r="DF17" s="876"/>
      <c r="DG17" s="876"/>
      <c r="DH17" s="876"/>
      <c r="DI17" s="876"/>
      <c r="DJ17" s="876"/>
      <c r="DK17" s="876"/>
      <c r="DL17" s="876"/>
      <c r="DM17" s="876"/>
      <c r="DN17" s="876"/>
      <c r="DO17" s="876"/>
      <c r="DP17" s="876"/>
      <c r="DQ17" s="876"/>
      <c r="DR17" s="876"/>
      <c r="DS17" s="876"/>
      <c r="DT17" s="876"/>
      <c r="DU17" s="876"/>
      <c r="DV17" s="876"/>
      <c r="DW17" s="876"/>
      <c r="DX17" s="876"/>
      <c r="DY17" s="876"/>
      <c r="DZ17" s="876"/>
      <c r="EA17" s="876"/>
      <c r="EB17" s="876"/>
      <c r="EC17" s="876"/>
      <c r="ED17" s="876"/>
      <c r="EE17" s="876"/>
      <c r="EF17" s="876"/>
      <c r="EG17" s="876"/>
      <c r="EH17" s="876"/>
      <c r="EI17" s="876"/>
      <c r="EJ17" s="876"/>
      <c r="EK17" s="876"/>
      <c r="EL17" s="876"/>
      <c r="EM17" s="876"/>
      <c r="EN17" s="876"/>
      <c r="EO17" s="876"/>
      <c r="EP17" s="876"/>
      <c r="EQ17" s="876"/>
      <c r="ER17" s="876"/>
      <c r="ES17" s="876"/>
      <c r="ET17" s="876"/>
      <c r="EU17" s="876"/>
      <c r="EV17" s="876"/>
      <c r="EW17" s="876"/>
      <c r="EX17" s="876"/>
      <c r="EY17" s="876"/>
      <c r="EZ17" s="876"/>
      <c r="FA17" s="876"/>
      <c r="FB17" s="876"/>
      <c r="FC17" s="876"/>
      <c r="FD17" s="876"/>
      <c r="FE17" s="876"/>
      <c r="FF17" s="876"/>
      <c r="FG17" s="876"/>
      <c r="FH17" s="876"/>
      <c r="FI17" s="876"/>
      <c r="FJ17" s="876"/>
      <c r="FK17" s="876"/>
      <c r="FL17" s="876"/>
      <c r="FM17" s="876"/>
      <c r="FN17" s="876"/>
      <c r="FO17" s="876"/>
      <c r="FP17" s="876"/>
      <c r="FQ17" s="876"/>
      <c r="FR17" s="876"/>
      <c r="FS17" s="876"/>
      <c r="FT17" s="876"/>
      <c r="FU17" s="876"/>
      <c r="FV17" s="876"/>
      <c r="FW17" s="876"/>
      <c r="FX17" s="876"/>
      <c r="FY17" s="876"/>
      <c r="FZ17" s="876"/>
      <c r="GA17" s="876"/>
      <c r="GB17" s="876"/>
      <c r="GC17" s="876"/>
      <c r="GD17" s="876"/>
      <c r="GE17" s="876"/>
      <c r="GF17" s="876"/>
      <c r="GG17" s="876"/>
      <c r="GH17" s="876"/>
      <c r="GI17" s="876"/>
      <c r="GJ17" s="876"/>
      <c r="GK17" s="876"/>
      <c r="GL17" s="876"/>
      <c r="GM17" s="876"/>
      <c r="GN17" s="876"/>
      <c r="GO17" s="876"/>
      <c r="GP17" s="876"/>
      <c r="GQ17" s="876"/>
      <c r="GR17" s="876"/>
      <c r="GS17" s="876"/>
      <c r="GT17" s="876"/>
      <c r="GU17" s="876"/>
      <c r="GV17" s="876"/>
      <c r="GW17" s="876"/>
      <c r="GX17" s="876"/>
      <c r="GY17" s="876"/>
      <c r="GZ17" s="876"/>
      <c r="HA17" s="876"/>
      <c r="HB17" s="876"/>
      <c r="HC17" s="876"/>
      <c r="HD17" s="876"/>
      <c r="HE17" s="876"/>
      <c r="HF17" s="876"/>
      <c r="HG17" s="876"/>
      <c r="HH17" s="876"/>
      <c r="HI17" s="876"/>
      <c r="HJ17" s="876"/>
      <c r="HK17" s="876"/>
      <c r="HL17" s="876"/>
      <c r="HM17" s="876"/>
      <c r="HN17" s="876"/>
      <c r="HO17" s="876"/>
      <c r="HP17" s="876"/>
      <c r="HQ17" s="876"/>
      <c r="HR17" s="876"/>
      <c r="HS17" s="876"/>
      <c r="HT17" s="876"/>
      <c r="HU17" s="876"/>
      <c r="HV17" s="876"/>
      <c r="HW17" s="876"/>
      <c r="HX17" s="876"/>
      <c r="HY17" s="876"/>
      <c r="HZ17" s="876"/>
      <c r="IA17" s="876"/>
      <c r="IB17" s="876"/>
      <c r="IC17" s="876"/>
      <c r="ID17" s="876"/>
      <c r="IE17" s="876"/>
      <c r="IF17" s="876"/>
      <c r="IG17" s="876"/>
      <c r="IH17" s="876"/>
      <c r="II17" s="876"/>
      <c r="IJ17" s="876"/>
      <c r="IK17" s="876"/>
      <c r="IL17" s="876"/>
      <c r="IM17" s="876"/>
      <c r="IN17" s="876"/>
      <c r="IO17" s="876"/>
      <c r="IP17" s="876"/>
      <c r="IQ17" s="876"/>
      <c r="IR17" s="876"/>
      <c r="IS17" s="876"/>
      <c r="IT17" s="876"/>
      <c r="IU17" s="876"/>
      <c r="IV17" s="876"/>
    </row>
    <row r="18" spans="1:256" ht="18" customHeight="1">
      <c r="A18" s="885" t="s">
        <v>235</v>
      </c>
      <c r="B18" s="872"/>
      <c r="C18" s="872"/>
      <c r="D18" s="1364"/>
      <c r="E18" s="1364"/>
      <c r="F18" s="1364"/>
      <c r="G18" s="1364"/>
      <c r="H18" s="1364"/>
      <c r="I18" s="1364"/>
      <c r="J18" s="1364"/>
      <c r="K18" s="1364"/>
      <c r="L18" s="1364"/>
      <c r="M18" s="874"/>
      <c r="N18" s="876"/>
      <c r="O18" s="876"/>
      <c r="P18" s="876"/>
      <c r="Q18" s="876"/>
      <c r="R18" s="876"/>
      <c r="S18" s="876"/>
      <c r="T18" s="876"/>
      <c r="U18" s="876"/>
      <c r="V18" s="876"/>
      <c r="W18" s="876"/>
      <c r="X18" s="876"/>
      <c r="Y18" s="876"/>
      <c r="Z18" s="876"/>
      <c r="AA18" s="876"/>
      <c r="AB18" s="876"/>
      <c r="AC18" s="876"/>
      <c r="AD18" s="876"/>
      <c r="AE18" s="876"/>
      <c r="AF18" s="876"/>
      <c r="AG18" s="876"/>
      <c r="AH18" s="876"/>
      <c r="AI18" s="876"/>
      <c r="AJ18" s="876"/>
      <c r="AK18" s="876"/>
      <c r="AL18" s="876"/>
      <c r="AM18" s="876"/>
      <c r="AN18" s="876"/>
      <c r="AO18" s="876"/>
      <c r="AP18" s="876"/>
      <c r="AQ18" s="876"/>
      <c r="AR18" s="876"/>
      <c r="AS18" s="876"/>
      <c r="AT18" s="876"/>
      <c r="AU18" s="876"/>
      <c r="AV18" s="876"/>
      <c r="AW18" s="876"/>
      <c r="AX18" s="876"/>
      <c r="AY18" s="876"/>
      <c r="AZ18" s="876"/>
      <c r="BA18" s="876"/>
      <c r="BB18" s="876"/>
      <c r="BC18" s="876"/>
      <c r="BD18" s="876"/>
      <c r="BE18" s="876"/>
      <c r="BF18" s="876"/>
      <c r="BG18" s="876"/>
      <c r="BH18" s="876"/>
      <c r="BI18" s="876"/>
      <c r="BJ18" s="876"/>
      <c r="BK18" s="876"/>
      <c r="BL18" s="876"/>
      <c r="BM18" s="876"/>
      <c r="BN18" s="876"/>
      <c r="BO18" s="876"/>
      <c r="BP18" s="876"/>
      <c r="BQ18" s="876"/>
      <c r="BR18" s="876"/>
      <c r="BS18" s="876"/>
      <c r="BT18" s="876"/>
      <c r="BU18" s="876"/>
      <c r="BV18" s="876"/>
      <c r="BW18" s="876"/>
      <c r="BX18" s="876"/>
      <c r="BY18" s="876"/>
      <c r="BZ18" s="876"/>
      <c r="CA18" s="876"/>
      <c r="CB18" s="876"/>
      <c r="CC18" s="876"/>
      <c r="CD18" s="876"/>
      <c r="CE18" s="876"/>
      <c r="CF18" s="876"/>
      <c r="CG18" s="876"/>
      <c r="CH18" s="876"/>
      <c r="CI18" s="876"/>
      <c r="CJ18" s="876"/>
      <c r="CK18" s="876"/>
      <c r="CL18" s="876"/>
      <c r="CM18" s="876"/>
      <c r="CN18" s="876"/>
      <c r="CO18" s="876"/>
      <c r="CP18" s="876"/>
      <c r="CQ18" s="876"/>
      <c r="CR18" s="876"/>
      <c r="CS18" s="876"/>
      <c r="CT18" s="876"/>
      <c r="CU18" s="876"/>
      <c r="CV18" s="876"/>
      <c r="CW18" s="876"/>
      <c r="CX18" s="876"/>
      <c r="CY18" s="876"/>
      <c r="CZ18" s="876"/>
      <c r="DA18" s="876"/>
      <c r="DB18" s="876"/>
      <c r="DC18" s="876"/>
      <c r="DD18" s="876"/>
      <c r="DE18" s="876"/>
      <c r="DF18" s="876"/>
      <c r="DG18" s="876"/>
      <c r="DH18" s="876"/>
      <c r="DI18" s="876"/>
      <c r="DJ18" s="876"/>
      <c r="DK18" s="876"/>
      <c r="DL18" s="876"/>
      <c r="DM18" s="876"/>
      <c r="DN18" s="876"/>
      <c r="DO18" s="876"/>
      <c r="DP18" s="876"/>
      <c r="DQ18" s="876"/>
      <c r="DR18" s="876"/>
      <c r="DS18" s="876"/>
      <c r="DT18" s="876"/>
      <c r="DU18" s="876"/>
      <c r="DV18" s="876"/>
      <c r="DW18" s="876"/>
      <c r="DX18" s="876"/>
      <c r="DY18" s="876"/>
      <c r="DZ18" s="876"/>
      <c r="EA18" s="876"/>
      <c r="EB18" s="876"/>
      <c r="EC18" s="876"/>
      <c r="ED18" s="876"/>
      <c r="EE18" s="876"/>
      <c r="EF18" s="876"/>
      <c r="EG18" s="876"/>
      <c r="EH18" s="876"/>
      <c r="EI18" s="876"/>
      <c r="EJ18" s="876"/>
      <c r="EK18" s="876"/>
      <c r="EL18" s="876"/>
      <c r="EM18" s="876"/>
      <c r="EN18" s="876"/>
      <c r="EO18" s="876"/>
      <c r="EP18" s="876"/>
      <c r="EQ18" s="876"/>
      <c r="ER18" s="876"/>
      <c r="ES18" s="876"/>
      <c r="ET18" s="876"/>
      <c r="EU18" s="876"/>
      <c r="EV18" s="876"/>
      <c r="EW18" s="876"/>
      <c r="EX18" s="876"/>
      <c r="EY18" s="876"/>
      <c r="EZ18" s="876"/>
      <c r="FA18" s="876"/>
      <c r="FB18" s="876"/>
      <c r="FC18" s="876"/>
      <c r="FD18" s="876"/>
      <c r="FE18" s="876"/>
      <c r="FF18" s="876"/>
      <c r="FG18" s="876"/>
      <c r="FH18" s="876"/>
      <c r="FI18" s="876"/>
      <c r="FJ18" s="876"/>
      <c r="FK18" s="876"/>
      <c r="FL18" s="876"/>
      <c r="FM18" s="876"/>
      <c r="FN18" s="876"/>
      <c r="FO18" s="876"/>
      <c r="FP18" s="876"/>
      <c r="FQ18" s="876"/>
      <c r="FR18" s="876"/>
      <c r="FS18" s="876"/>
      <c r="FT18" s="876"/>
      <c r="FU18" s="876"/>
      <c r="FV18" s="876"/>
      <c r="FW18" s="876"/>
      <c r="FX18" s="876"/>
      <c r="FY18" s="876"/>
      <c r="FZ18" s="876"/>
      <c r="GA18" s="876"/>
      <c r="GB18" s="876"/>
      <c r="GC18" s="876"/>
      <c r="GD18" s="876"/>
      <c r="GE18" s="876"/>
      <c r="GF18" s="876"/>
      <c r="GG18" s="876"/>
      <c r="GH18" s="876"/>
      <c r="GI18" s="876"/>
      <c r="GJ18" s="876"/>
      <c r="GK18" s="876"/>
      <c r="GL18" s="876"/>
      <c r="GM18" s="876"/>
      <c r="GN18" s="876"/>
      <c r="GO18" s="876"/>
      <c r="GP18" s="876"/>
      <c r="GQ18" s="876"/>
      <c r="GR18" s="876"/>
      <c r="GS18" s="876"/>
      <c r="GT18" s="876"/>
      <c r="GU18" s="876"/>
      <c r="GV18" s="876"/>
      <c r="GW18" s="876"/>
      <c r="GX18" s="876"/>
      <c r="GY18" s="876"/>
      <c r="GZ18" s="876"/>
      <c r="HA18" s="876"/>
      <c r="HB18" s="876"/>
      <c r="HC18" s="876"/>
      <c r="HD18" s="876"/>
      <c r="HE18" s="876"/>
      <c r="HF18" s="876"/>
      <c r="HG18" s="876"/>
      <c r="HH18" s="876"/>
      <c r="HI18" s="876"/>
      <c r="HJ18" s="876"/>
      <c r="HK18" s="876"/>
      <c r="HL18" s="876"/>
      <c r="HM18" s="876"/>
      <c r="HN18" s="876"/>
      <c r="HO18" s="876"/>
      <c r="HP18" s="876"/>
      <c r="HQ18" s="876"/>
      <c r="HR18" s="876"/>
      <c r="HS18" s="876"/>
      <c r="HT18" s="876"/>
      <c r="HU18" s="876"/>
      <c r="HV18" s="876"/>
      <c r="HW18" s="876"/>
      <c r="HX18" s="876"/>
      <c r="HY18" s="876"/>
      <c r="HZ18" s="876"/>
      <c r="IA18" s="876"/>
      <c r="IB18" s="876"/>
      <c r="IC18" s="876"/>
      <c r="ID18" s="876"/>
      <c r="IE18" s="876"/>
      <c r="IF18" s="876"/>
      <c r="IG18" s="876"/>
      <c r="IH18" s="876"/>
      <c r="II18" s="876"/>
      <c r="IJ18" s="876"/>
      <c r="IK18" s="876"/>
      <c r="IL18" s="876"/>
      <c r="IM18" s="876"/>
      <c r="IN18" s="876"/>
      <c r="IO18" s="876"/>
      <c r="IP18" s="876"/>
      <c r="IQ18" s="876"/>
      <c r="IR18" s="876"/>
      <c r="IS18" s="876"/>
      <c r="IT18" s="876"/>
      <c r="IU18" s="876"/>
      <c r="IV18" s="876"/>
    </row>
    <row r="19" spans="1:256" ht="7.5" customHeight="1">
      <c r="A19" s="872"/>
      <c r="B19" s="872"/>
      <c r="C19" s="872"/>
      <c r="D19" s="1364"/>
      <c r="E19" s="1364"/>
      <c r="F19" s="1364"/>
      <c r="G19" s="1364"/>
      <c r="H19" s="1364"/>
      <c r="I19" s="1364"/>
      <c r="J19" s="1364"/>
      <c r="K19" s="1364"/>
      <c r="L19" s="848"/>
      <c r="M19" s="874"/>
      <c r="N19" s="876"/>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6"/>
      <c r="AL19" s="876"/>
      <c r="AM19" s="876"/>
      <c r="AN19" s="876"/>
      <c r="AO19" s="876"/>
      <c r="AP19" s="876"/>
      <c r="AQ19" s="876"/>
      <c r="AR19" s="876"/>
      <c r="AS19" s="876"/>
      <c r="AT19" s="876"/>
      <c r="AU19" s="876"/>
      <c r="AV19" s="876"/>
      <c r="AW19" s="876"/>
      <c r="AX19" s="876"/>
      <c r="AY19" s="876"/>
      <c r="AZ19" s="876"/>
      <c r="BA19" s="876"/>
      <c r="BB19" s="876"/>
      <c r="BC19" s="876"/>
      <c r="BD19" s="876"/>
      <c r="BE19" s="876"/>
      <c r="BF19" s="876"/>
      <c r="BG19" s="876"/>
      <c r="BH19" s="876"/>
      <c r="BI19" s="876"/>
      <c r="BJ19" s="876"/>
      <c r="BK19" s="876"/>
      <c r="BL19" s="876"/>
      <c r="BM19" s="876"/>
      <c r="BN19" s="876"/>
      <c r="BO19" s="876"/>
      <c r="BP19" s="876"/>
      <c r="BQ19" s="876"/>
      <c r="BR19" s="876"/>
      <c r="BS19" s="876"/>
      <c r="BT19" s="876"/>
      <c r="BU19" s="876"/>
      <c r="BV19" s="876"/>
      <c r="BW19" s="876"/>
      <c r="BX19" s="876"/>
      <c r="BY19" s="876"/>
      <c r="BZ19" s="876"/>
      <c r="CA19" s="876"/>
      <c r="CB19" s="876"/>
      <c r="CC19" s="876"/>
      <c r="CD19" s="876"/>
      <c r="CE19" s="876"/>
      <c r="CF19" s="876"/>
      <c r="CG19" s="876"/>
      <c r="CH19" s="876"/>
      <c r="CI19" s="876"/>
      <c r="CJ19" s="876"/>
      <c r="CK19" s="876"/>
      <c r="CL19" s="876"/>
      <c r="CM19" s="876"/>
      <c r="CN19" s="876"/>
      <c r="CO19" s="876"/>
      <c r="CP19" s="876"/>
      <c r="CQ19" s="876"/>
      <c r="CR19" s="876"/>
      <c r="CS19" s="876"/>
      <c r="CT19" s="876"/>
      <c r="CU19" s="876"/>
      <c r="CV19" s="876"/>
      <c r="CW19" s="876"/>
      <c r="CX19" s="876"/>
      <c r="CY19" s="876"/>
      <c r="CZ19" s="876"/>
      <c r="DA19" s="876"/>
      <c r="DB19" s="876"/>
      <c r="DC19" s="876"/>
      <c r="DD19" s="876"/>
      <c r="DE19" s="876"/>
      <c r="DF19" s="876"/>
      <c r="DG19" s="876"/>
      <c r="DH19" s="876"/>
      <c r="DI19" s="876"/>
      <c r="DJ19" s="876"/>
      <c r="DK19" s="876"/>
      <c r="DL19" s="876"/>
      <c r="DM19" s="876"/>
      <c r="DN19" s="876"/>
      <c r="DO19" s="876"/>
      <c r="DP19" s="876"/>
      <c r="DQ19" s="876"/>
      <c r="DR19" s="876"/>
      <c r="DS19" s="876"/>
      <c r="DT19" s="876"/>
      <c r="DU19" s="876"/>
      <c r="DV19" s="876"/>
      <c r="DW19" s="876"/>
      <c r="DX19" s="876"/>
      <c r="DY19" s="876"/>
      <c r="DZ19" s="876"/>
      <c r="EA19" s="876"/>
      <c r="EB19" s="876"/>
      <c r="EC19" s="876"/>
      <c r="ED19" s="876"/>
      <c r="EE19" s="876"/>
      <c r="EF19" s="876"/>
      <c r="EG19" s="876"/>
      <c r="EH19" s="876"/>
      <c r="EI19" s="876"/>
      <c r="EJ19" s="876"/>
      <c r="EK19" s="876"/>
      <c r="EL19" s="876"/>
      <c r="EM19" s="876"/>
      <c r="EN19" s="876"/>
      <c r="EO19" s="876"/>
      <c r="EP19" s="876"/>
      <c r="EQ19" s="876"/>
      <c r="ER19" s="876"/>
      <c r="ES19" s="876"/>
      <c r="ET19" s="876"/>
      <c r="EU19" s="876"/>
      <c r="EV19" s="876"/>
      <c r="EW19" s="876"/>
      <c r="EX19" s="876"/>
      <c r="EY19" s="876"/>
      <c r="EZ19" s="876"/>
      <c r="FA19" s="876"/>
      <c r="FB19" s="876"/>
      <c r="FC19" s="876"/>
      <c r="FD19" s="876"/>
      <c r="FE19" s="876"/>
      <c r="FF19" s="876"/>
      <c r="FG19" s="876"/>
      <c r="FH19" s="876"/>
      <c r="FI19" s="876"/>
      <c r="FJ19" s="876"/>
      <c r="FK19" s="876"/>
      <c r="FL19" s="876"/>
      <c r="FM19" s="876"/>
      <c r="FN19" s="876"/>
      <c r="FO19" s="876"/>
      <c r="FP19" s="876"/>
      <c r="FQ19" s="876"/>
      <c r="FR19" s="876"/>
      <c r="FS19" s="876"/>
      <c r="FT19" s="876"/>
      <c r="FU19" s="876"/>
      <c r="FV19" s="876"/>
      <c r="FW19" s="876"/>
      <c r="FX19" s="876"/>
      <c r="FY19" s="876"/>
      <c r="FZ19" s="876"/>
      <c r="GA19" s="876"/>
      <c r="GB19" s="876"/>
      <c r="GC19" s="876"/>
      <c r="GD19" s="876"/>
      <c r="GE19" s="876"/>
      <c r="GF19" s="876"/>
      <c r="GG19" s="876"/>
      <c r="GH19" s="876"/>
      <c r="GI19" s="876"/>
      <c r="GJ19" s="876"/>
      <c r="GK19" s="876"/>
      <c r="GL19" s="876"/>
      <c r="GM19" s="876"/>
      <c r="GN19" s="876"/>
      <c r="GO19" s="876"/>
      <c r="GP19" s="876"/>
      <c r="GQ19" s="876"/>
      <c r="GR19" s="876"/>
      <c r="GS19" s="876"/>
      <c r="GT19" s="876"/>
      <c r="GU19" s="876"/>
      <c r="GV19" s="876"/>
      <c r="GW19" s="876"/>
      <c r="GX19" s="876"/>
      <c r="GY19" s="876"/>
      <c r="GZ19" s="876"/>
      <c r="HA19" s="876"/>
      <c r="HB19" s="876"/>
      <c r="HC19" s="876"/>
      <c r="HD19" s="876"/>
      <c r="HE19" s="876"/>
      <c r="HF19" s="876"/>
      <c r="HG19" s="876"/>
      <c r="HH19" s="876"/>
      <c r="HI19" s="876"/>
      <c r="HJ19" s="876"/>
      <c r="HK19" s="876"/>
      <c r="HL19" s="876"/>
      <c r="HM19" s="876"/>
      <c r="HN19" s="876"/>
      <c r="HO19" s="876"/>
      <c r="HP19" s="876"/>
      <c r="HQ19" s="876"/>
      <c r="HR19" s="876"/>
      <c r="HS19" s="876"/>
      <c r="HT19" s="876"/>
      <c r="HU19" s="876"/>
      <c r="HV19" s="876"/>
      <c r="HW19" s="876"/>
      <c r="HX19" s="876"/>
      <c r="HY19" s="876"/>
      <c r="HZ19" s="876"/>
      <c r="IA19" s="876"/>
      <c r="IB19" s="876"/>
      <c r="IC19" s="876"/>
      <c r="ID19" s="876"/>
      <c r="IE19" s="876"/>
      <c r="IF19" s="876"/>
      <c r="IG19" s="876"/>
      <c r="IH19" s="876"/>
      <c r="II19" s="876"/>
      <c r="IJ19" s="876"/>
      <c r="IK19" s="876"/>
      <c r="IL19" s="876"/>
      <c r="IM19" s="876"/>
      <c r="IN19" s="876"/>
      <c r="IO19" s="876"/>
      <c r="IP19" s="876"/>
      <c r="IQ19" s="876"/>
      <c r="IR19" s="876"/>
      <c r="IS19" s="876"/>
      <c r="IT19" s="876"/>
      <c r="IU19" s="876"/>
      <c r="IV19" s="876"/>
    </row>
    <row r="20" spans="1:256" ht="16.5" customHeight="1">
      <c r="A20" s="1365" t="s">
        <v>386</v>
      </c>
      <c r="B20" s="872"/>
      <c r="C20" s="894"/>
      <c r="D20" s="848">
        <v>2.3370000000000002</v>
      </c>
      <c r="E20" s="847"/>
      <c r="F20" s="1324">
        <v>0.14799999999999999</v>
      </c>
      <c r="G20" s="847"/>
      <c r="H20" s="3302">
        <v>8.9999999999999993E-3</v>
      </c>
      <c r="I20" s="847"/>
      <c r="J20" s="1366">
        <v>0</v>
      </c>
      <c r="K20" s="847"/>
      <c r="L20" s="848">
        <f>ROUND(D20+F20-H20+J20,3)</f>
        <v>2.476</v>
      </c>
      <c r="M20" s="874"/>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6"/>
      <c r="AP20" s="876"/>
      <c r="AQ20" s="876"/>
      <c r="AR20" s="876"/>
      <c r="AS20" s="876"/>
      <c r="AT20" s="876"/>
      <c r="AU20" s="876"/>
      <c r="AV20" s="876"/>
      <c r="AW20" s="876"/>
      <c r="AX20" s="876"/>
      <c r="AY20" s="876"/>
      <c r="AZ20" s="876"/>
      <c r="BA20" s="876"/>
      <c r="BB20" s="876"/>
      <c r="BC20" s="876"/>
      <c r="BD20" s="876"/>
      <c r="BE20" s="876"/>
      <c r="BF20" s="876"/>
      <c r="BG20" s="876"/>
      <c r="BH20" s="876"/>
      <c r="BI20" s="876"/>
      <c r="BJ20" s="876"/>
      <c r="BK20" s="876"/>
      <c r="BL20" s="876"/>
      <c r="BM20" s="876"/>
      <c r="BN20" s="876"/>
      <c r="BO20" s="876"/>
      <c r="BP20" s="876"/>
      <c r="BQ20" s="876"/>
      <c r="BR20" s="876"/>
      <c r="BS20" s="876"/>
      <c r="BT20" s="876"/>
      <c r="BU20" s="876"/>
      <c r="BV20" s="876"/>
      <c r="BW20" s="876"/>
      <c r="BX20" s="876"/>
      <c r="BY20" s="876"/>
      <c r="BZ20" s="876"/>
      <c r="CA20" s="876"/>
      <c r="CB20" s="876"/>
      <c r="CC20" s="876"/>
      <c r="CD20" s="876"/>
      <c r="CE20" s="876"/>
      <c r="CF20" s="876"/>
      <c r="CG20" s="876"/>
      <c r="CH20" s="876"/>
      <c r="CI20" s="876"/>
      <c r="CJ20" s="876"/>
      <c r="CK20" s="876"/>
      <c r="CL20" s="876"/>
      <c r="CM20" s="876"/>
      <c r="CN20" s="876"/>
      <c r="CO20" s="876"/>
      <c r="CP20" s="876"/>
      <c r="CQ20" s="876"/>
      <c r="CR20" s="876"/>
      <c r="CS20" s="876"/>
      <c r="CT20" s="876"/>
      <c r="CU20" s="876"/>
      <c r="CV20" s="876"/>
      <c r="CW20" s="876"/>
      <c r="CX20" s="876"/>
      <c r="CY20" s="876"/>
      <c r="CZ20" s="876"/>
      <c r="DA20" s="876"/>
      <c r="DB20" s="876"/>
      <c r="DC20" s="876"/>
      <c r="DD20" s="876"/>
      <c r="DE20" s="876"/>
      <c r="DF20" s="876"/>
      <c r="DG20" s="876"/>
      <c r="DH20" s="876"/>
      <c r="DI20" s="876"/>
      <c r="DJ20" s="876"/>
      <c r="DK20" s="876"/>
      <c r="DL20" s="876"/>
      <c r="DM20" s="876"/>
      <c r="DN20" s="876"/>
      <c r="DO20" s="876"/>
      <c r="DP20" s="876"/>
      <c r="DQ20" s="876"/>
      <c r="DR20" s="876"/>
      <c r="DS20" s="876"/>
      <c r="DT20" s="876"/>
      <c r="DU20" s="876"/>
      <c r="DV20" s="876"/>
      <c r="DW20" s="876"/>
      <c r="DX20" s="876"/>
      <c r="DY20" s="876"/>
      <c r="DZ20" s="876"/>
      <c r="EA20" s="876"/>
      <c r="EB20" s="876"/>
      <c r="EC20" s="876"/>
      <c r="ED20" s="876"/>
      <c r="EE20" s="876"/>
      <c r="EF20" s="876"/>
      <c r="EG20" s="876"/>
      <c r="EH20" s="876"/>
      <c r="EI20" s="876"/>
      <c r="EJ20" s="876"/>
      <c r="EK20" s="876"/>
      <c r="EL20" s="876"/>
      <c r="EM20" s="876"/>
      <c r="EN20" s="876"/>
      <c r="EO20" s="876"/>
      <c r="EP20" s="876"/>
      <c r="EQ20" s="876"/>
      <c r="ER20" s="876"/>
      <c r="ES20" s="876"/>
      <c r="ET20" s="876"/>
      <c r="EU20" s="876"/>
      <c r="EV20" s="876"/>
      <c r="EW20" s="876"/>
      <c r="EX20" s="876"/>
      <c r="EY20" s="876"/>
      <c r="EZ20" s="876"/>
      <c r="FA20" s="876"/>
      <c r="FB20" s="876"/>
      <c r="FC20" s="876"/>
      <c r="FD20" s="876"/>
      <c r="FE20" s="876"/>
      <c r="FF20" s="876"/>
      <c r="FG20" s="876"/>
      <c r="FH20" s="876"/>
      <c r="FI20" s="876"/>
      <c r="FJ20" s="876"/>
      <c r="FK20" s="876"/>
      <c r="FL20" s="876"/>
      <c r="FM20" s="876"/>
      <c r="FN20" s="876"/>
      <c r="FO20" s="876"/>
      <c r="FP20" s="876"/>
      <c r="FQ20" s="876"/>
      <c r="FR20" s="876"/>
      <c r="FS20" s="876"/>
      <c r="FT20" s="876"/>
      <c r="FU20" s="876"/>
      <c r="FV20" s="876"/>
      <c r="FW20" s="876"/>
      <c r="FX20" s="876"/>
      <c r="FY20" s="876"/>
      <c r="FZ20" s="876"/>
      <c r="GA20" s="876"/>
      <c r="GB20" s="876"/>
      <c r="GC20" s="876"/>
      <c r="GD20" s="876"/>
      <c r="GE20" s="876"/>
      <c r="GF20" s="876"/>
      <c r="GG20" s="876"/>
      <c r="GH20" s="876"/>
      <c r="GI20" s="876"/>
      <c r="GJ20" s="876"/>
      <c r="GK20" s="876"/>
      <c r="GL20" s="876"/>
      <c r="GM20" s="876"/>
      <c r="GN20" s="876"/>
      <c r="GO20" s="876"/>
      <c r="GP20" s="876"/>
      <c r="GQ20" s="876"/>
      <c r="GR20" s="876"/>
      <c r="GS20" s="876"/>
      <c r="GT20" s="876"/>
      <c r="GU20" s="876"/>
      <c r="GV20" s="876"/>
      <c r="GW20" s="876"/>
      <c r="GX20" s="876"/>
      <c r="GY20" s="876"/>
      <c r="GZ20" s="876"/>
      <c r="HA20" s="876"/>
      <c r="HB20" s="876"/>
      <c r="HC20" s="876"/>
      <c r="HD20" s="876"/>
      <c r="HE20" s="876"/>
      <c r="HF20" s="876"/>
      <c r="HG20" s="876"/>
      <c r="HH20" s="876"/>
      <c r="HI20" s="876"/>
      <c r="HJ20" s="876"/>
      <c r="HK20" s="876"/>
      <c r="HL20" s="876"/>
      <c r="HM20" s="876"/>
      <c r="HN20" s="876"/>
      <c r="HO20" s="876"/>
      <c r="HP20" s="876"/>
      <c r="HQ20" s="876"/>
      <c r="HR20" s="876"/>
      <c r="HS20" s="876"/>
      <c r="HT20" s="876"/>
      <c r="HU20" s="876"/>
      <c r="HV20" s="876"/>
      <c r="HW20" s="876"/>
      <c r="HX20" s="876"/>
      <c r="HY20" s="876"/>
      <c r="HZ20" s="876"/>
      <c r="IA20" s="876"/>
      <c r="IB20" s="876"/>
      <c r="IC20" s="876"/>
      <c r="ID20" s="876"/>
      <c r="IE20" s="876"/>
      <c r="IF20" s="876"/>
      <c r="IG20" s="876"/>
      <c r="IH20" s="876"/>
      <c r="II20" s="876"/>
      <c r="IJ20" s="876"/>
      <c r="IK20" s="876"/>
      <c r="IL20" s="876"/>
      <c r="IM20" s="876"/>
      <c r="IN20" s="876"/>
      <c r="IO20" s="876"/>
      <c r="IP20" s="876"/>
      <c r="IQ20" s="876"/>
      <c r="IR20" s="876"/>
      <c r="IS20" s="876"/>
      <c r="IT20" s="876"/>
      <c r="IU20" s="876"/>
      <c r="IV20" s="876"/>
    </row>
    <row r="21" spans="1:256" ht="15.75" customHeight="1">
      <c r="A21" s="1365" t="s">
        <v>387</v>
      </c>
      <c r="B21" s="872"/>
      <c r="C21" s="872"/>
      <c r="D21" s="1367">
        <v>9.2149999999999999</v>
      </c>
      <c r="E21" s="848"/>
      <c r="F21" s="3303">
        <v>-1.6359999999999999</v>
      </c>
      <c r="G21" s="848"/>
      <c r="H21" s="3304">
        <v>8.9999999999999993E-3</v>
      </c>
      <c r="I21" s="848"/>
      <c r="J21" s="1368">
        <v>0</v>
      </c>
      <c r="K21" s="848"/>
      <c r="L21" s="1792">
        <f>ROUND(D21+F21-H21+J21,3)</f>
        <v>7.57</v>
      </c>
      <c r="M21" s="874"/>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6"/>
      <c r="AY21" s="876"/>
      <c r="AZ21" s="876"/>
      <c r="BA21" s="876"/>
      <c r="BB21" s="876"/>
      <c r="BC21" s="876"/>
      <c r="BD21" s="876"/>
      <c r="BE21" s="876"/>
      <c r="BF21" s="876"/>
      <c r="BG21" s="876"/>
      <c r="BH21" s="876"/>
      <c r="BI21" s="876"/>
      <c r="BJ21" s="876"/>
      <c r="BK21" s="876"/>
      <c r="BL21" s="876"/>
      <c r="BM21" s="876"/>
      <c r="BN21" s="876"/>
      <c r="BO21" s="876"/>
      <c r="BP21" s="876"/>
      <c r="BQ21" s="876"/>
      <c r="BR21" s="876"/>
      <c r="BS21" s="876"/>
      <c r="BT21" s="876"/>
      <c r="BU21" s="876"/>
      <c r="BV21" s="876"/>
      <c r="BW21" s="876"/>
      <c r="BX21" s="876"/>
      <c r="BY21" s="876"/>
      <c r="BZ21" s="876"/>
      <c r="CA21" s="876"/>
      <c r="CB21" s="876"/>
      <c r="CC21" s="876"/>
      <c r="CD21" s="876"/>
      <c r="CE21" s="876"/>
      <c r="CF21" s="876"/>
      <c r="CG21" s="876"/>
      <c r="CH21" s="876"/>
      <c r="CI21" s="876"/>
      <c r="CJ21" s="876"/>
      <c r="CK21" s="876"/>
      <c r="CL21" s="876"/>
      <c r="CM21" s="876"/>
      <c r="CN21" s="876"/>
      <c r="CO21" s="876"/>
      <c r="CP21" s="876"/>
      <c r="CQ21" s="876"/>
      <c r="CR21" s="876"/>
      <c r="CS21" s="876"/>
      <c r="CT21" s="876"/>
      <c r="CU21" s="876"/>
      <c r="CV21" s="876"/>
      <c r="CW21" s="876"/>
      <c r="CX21" s="876"/>
      <c r="CY21" s="876"/>
      <c r="CZ21" s="876"/>
      <c r="DA21" s="876"/>
      <c r="DB21" s="876"/>
      <c r="DC21" s="876"/>
      <c r="DD21" s="876"/>
      <c r="DE21" s="876"/>
      <c r="DF21" s="876"/>
      <c r="DG21" s="876"/>
      <c r="DH21" s="876"/>
      <c r="DI21" s="876"/>
      <c r="DJ21" s="876"/>
      <c r="DK21" s="876"/>
      <c r="DL21" s="876"/>
      <c r="DM21" s="876"/>
      <c r="DN21" s="876"/>
      <c r="DO21" s="876"/>
      <c r="DP21" s="876"/>
      <c r="DQ21" s="876"/>
      <c r="DR21" s="876"/>
      <c r="DS21" s="876"/>
      <c r="DT21" s="876"/>
      <c r="DU21" s="876"/>
      <c r="DV21" s="876"/>
      <c r="DW21" s="876"/>
      <c r="DX21" s="876"/>
      <c r="DY21" s="876"/>
      <c r="DZ21" s="876"/>
      <c r="EA21" s="876"/>
      <c r="EB21" s="876"/>
      <c r="EC21" s="876"/>
      <c r="ED21" s="876"/>
      <c r="EE21" s="876"/>
      <c r="EF21" s="876"/>
      <c r="EG21" s="876"/>
      <c r="EH21" s="876"/>
      <c r="EI21" s="876"/>
      <c r="EJ21" s="876"/>
      <c r="EK21" s="876"/>
      <c r="EL21" s="876"/>
      <c r="EM21" s="876"/>
      <c r="EN21" s="876"/>
      <c r="EO21" s="876"/>
      <c r="EP21" s="876"/>
      <c r="EQ21" s="876"/>
      <c r="ER21" s="876"/>
      <c r="ES21" s="876"/>
      <c r="ET21" s="876"/>
      <c r="EU21" s="876"/>
      <c r="EV21" s="876"/>
      <c r="EW21" s="876"/>
      <c r="EX21" s="876"/>
      <c r="EY21" s="876"/>
      <c r="EZ21" s="876"/>
      <c r="FA21" s="876"/>
      <c r="FB21" s="876"/>
      <c r="FC21" s="876"/>
      <c r="FD21" s="876"/>
      <c r="FE21" s="876"/>
      <c r="FF21" s="876"/>
      <c r="FG21" s="876"/>
      <c r="FH21" s="876"/>
      <c r="FI21" s="876"/>
      <c r="FJ21" s="876"/>
      <c r="FK21" s="876"/>
      <c r="FL21" s="876"/>
      <c r="FM21" s="876"/>
      <c r="FN21" s="876"/>
      <c r="FO21" s="876"/>
      <c r="FP21" s="876"/>
      <c r="FQ21" s="876"/>
      <c r="FR21" s="876"/>
      <c r="FS21" s="876"/>
      <c r="FT21" s="876"/>
      <c r="FU21" s="876"/>
      <c r="FV21" s="876"/>
      <c r="FW21" s="876"/>
      <c r="FX21" s="876"/>
      <c r="FY21" s="876"/>
      <c r="FZ21" s="876"/>
      <c r="GA21" s="876"/>
      <c r="GB21" s="876"/>
      <c r="GC21" s="876"/>
      <c r="GD21" s="876"/>
      <c r="GE21" s="876"/>
      <c r="GF21" s="876"/>
      <c r="GG21" s="876"/>
      <c r="GH21" s="876"/>
      <c r="GI21" s="876"/>
      <c r="GJ21" s="876"/>
      <c r="GK21" s="876"/>
      <c r="GL21" s="876"/>
      <c r="GM21" s="876"/>
      <c r="GN21" s="876"/>
      <c r="GO21" s="876"/>
      <c r="GP21" s="876"/>
      <c r="GQ21" s="876"/>
      <c r="GR21" s="876"/>
      <c r="GS21" s="876"/>
      <c r="GT21" s="876"/>
      <c r="GU21" s="876"/>
      <c r="GV21" s="876"/>
      <c r="GW21" s="876"/>
      <c r="GX21" s="876"/>
      <c r="GY21" s="876"/>
      <c r="GZ21" s="876"/>
      <c r="HA21" s="876"/>
      <c r="HB21" s="876"/>
      <c r="HC21" s="876"/>
      <c r="HD21" s="876"/>
      <c r="HE21" s="876"/>
      <c r="HF21" s="876"/>
      <c r="HG21" s="876"/>
      <c r="HH21" s="876"/>
      <c r="HI21" s="876"/>
      <c r="HJ21" s="876"/>
      <c r="HK21" s="876"/>
      <c r="HL21" s="876"/>
      <c r="HM21" s="876"/>
      <c r="HN21" s="876"/>
      <c r="HO21" s="876"/>
      <c r="HP21" s="876"/>
      <c r="HQ21" s="876"/>
      <c r="HR21" s="876"/>
      <c r="HS21" s="876"/>
      <c r="HT21" s="876"/>
      <c r="HU21" s="876"/>
      <c r="HV21" s="876"/>
      <c r="HW21" s="876"/>
      <c r="HX21" s="876"/>
      <c r="HY21" s="876"/>
      <c r="HZ21" s="876"/>
      <c r="IA21" s="876"/>
      <c r="IB21" s="876"/>
      <c r="IC21" s="876"/>
      <c r="ID21" s="876"/>
      <c r="IE21" s="876"/>
      <c r="IF21" s="876"/>
      <c r="IG21" s="876"/>
      <c r="IH21" s="876"/>
      <c r="II21" s="876"/>
      <c r="IJ21" s="876"/>
      <c r="IK21" s="876"/>
      <c r="IL21" s="876"/>
      <c r="IM21" s="876"/>
      <c r="IN21" s="876"/>
      <c r="IO21" s="876"/>
      <c r="IP21" s="876"/>
      <c r="IQ21" s="876"/>
      <c r="IR21" s="876"/>
      <c r="IS21" s="876"/>
      <c r="IT21" s="876"/>
      <c r="IU21" s="876"/>
      <c r="IV21" s="876"/>
    </row>
    <row r="22" spans="1:256" ht="6.75" customHeight="1">
      <c r="A22" s="1365"/>
      <c r="B22" s="872"/>
      <c r="C22" s="872"/>
      <c r="D22" s="851"/>
      <c r="E22" s="848"/>
      <c r="F22" s="851" t="s">
        <v>16</v>
      </c>
      <c r="G22" s="848"/>
      <c r="H22" s="1369"/>
      <c r="I22" s="848"/>
      <c r="J22" s="1370"/>
      <c r="K22" s="848"/>
      <c r="L22" s="851"/>
      <c r="M22" s="874"/>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6"/>
      <c r="AP22" s="876"/>
      <c r="AQ22" s="876"/>
      <c r="AR22" s="876"/>
      <c r="AS22" s="876"/>
      <c r="AT22" s="876"/>
      <c r="AU22" s="876"/>
      <c r="AV22" s="876"/>
      <c r="AW22" s="876"/>
      <c r="AX22" s="876"/>
      <c r="AY22" s="876"/>
      <c r="AZ22" s="876"/>
      <c r="BA22" s="876"/>
      <c r="BB22" s="876"/>
      <c r="BC22" s="876"/>
      <c r="BD22" s="876"/>
      <c r="BE22" s="876"/>
      <c r="BF22" s="876"/>
      <c r="BG22" s="876"/>
      <c r="BH22" s="876"/>
      <c r="BI22" s="876"/>
      <c r="BJ22" s="876"/>
      <c r="BK22" s="876"/>
      <c r="BL22" s="876"/>
      <c r="BM22" s="876"/>
      <c r="BN22" s="876"/>
      <c r="BO22" s="876"/>
      <c r="BP22" s="876"/>
      <c r="BQ22" s="876"/>
      <c r="BR22" s="876"/>
      <c r="BS22" s="876"/>
      <c r="BT22" s="876"/>
      <c r="BU22" s="876"/>
      <c r="BV22" s="876"/>
      <c r="BW22" s="876"/>
      <c r="BX22" s="876"/>
      <c r="BY22" s="876"/>
      <c r="BZ22" s="876"/>
      <c r="CA22" s="876"/>
      <c r="CB22" s="876"/>
      <c r="CC22" s="876"/>
      <c r="CD22" s="876"/>
      <c r="CE22" s="876"/>
      <c r="CF22" s="876"/>
      <c r="CG22" s="876"/>
      <c r="CH22" s="876"/>
      <c r="CI22" s="876"/>
      <c r="CJ22" s="876"/>
      <c r="CK22" s="876"/>
      <c r="CL22" s="876"/>
      <c r="CM22" s="876"/>
      <c r="CN22" s="876"/>
      <c r="CO22" s="876"/>
      <c r="CP22" s="876"/>
      <c r="CQ22" s="876"/>
      <c r="CR22" s="876"/>
      <c r="CS22" s="876"/>
      <c r="CT22" s="876"/>
      <c r="CU22" s="876"/>
      <c r="CV22" s="876"/>
      <c r="CW22" s="876"/>
      <c r="CX22" s="876"/>
      <c r="CY22" s="876"/>
      <c r="CZ22" s="876"/>
      <c r="DA22" s="876"/>
      <c r="DB22" s="876"/>
      <c r="DC22" s="876"/>
      <c r="DD22" s="876"/>
      <c r="DE22" s="876"/>
      <c r="DF22" s="876"/>
      <c r="DG22" s="876"/>
      <c r="DH22" s="876"/>
      <c r="DI22" s="876"/>
      <c r="DJ22" s="876"/>
      <c r="DK22" s="876"/>
      <c r="DL22" s="876"/>
      <c r="DM22" s="876"/>
      <c r="DN22" s="876"/>
      <c r="DO22" s="876"/>
      <c r="DP22" s="876"/>
      <c r="DQ22" s="876"/>
      <c r="DR22" s="876"/>
      <c r="DS22" s="876"/>
      <c r="DT22" s="876"/>
      <c r="DU22" s="876"/>
      <c r="DV22" s="876"/>
      <c r="DW22" s="876"/>
      <c r="DX22" s="876"/>
      <c r="DY22" s="876"/>
      <c r="DZ22" s="876"/>
      <c r="EA22" s="876"/>
      <c r="EB22" s="876"/>
      <c r="EC22" s="876"/>
      <c r="ED22" s="876"/>
      <c r="EE22" s="876"/>
      <c r="EF22" s="876"/>
      <c r="EG22" s="876"/>
      <c r="EH22" s="876"/>
      <c r="EI22" s="876"/>
      <c r="EJ22" s="876"/>
      <c r="EK22" s="876"/>
      <c r="EL22" s="876"/>
      <c r="EM22" s="876"/>
      <c r="EN22" s="876"/>
      <c r="EO22" s="876"/>
      <c r="EP22" s="876"/>
      <c r="EQ22" s="876"/>
      <c r="ER22" s="876"/>
      <c r="ES22" s="876"/>
      <c r="ET22" s="876"/>
      <c r="EU22" s="876"/>
      <c r="EV22" s="876"/>
      <c r="EW22" s="876"/>
      <c r="EX22" s="876"/>
      <c r="EY22" s="876"/>
      <c r="EZ22" s="876"/>
      <c r="FA22" s="876"/>
      <c r="FB22" s="876"/>
      <c r="FC22" s="876"/>
      <c r="FD22" s="876"/>
      <c r="FE22" s="876"/>
      <c r="FF22" s="876"/>
      <c r="FG22" s="876"/>
      <c r="FH22" s="876"/>
      <c r="FI22" s="876"/>
      <c r="FJ22" s="876"/>
      <c r="FK22" s="876"/>
      <c r="FL22" s="876"/>
      <c r="FM22" s="876"/>
      <c r="FN22" s="876"/>
      <c r="FO22" s="876"/>
      <c r="FP22" s="876"/>
      <c r="FQ22" s="876"/>
      <c r="FR22" s="876"/>
      <c r="FS22" s="876"/>
      <c r="FT22" s="876"/>
      <c r="FU22" s="876"/>
      <c r="FV22" s="876"/>
      <c r="FW22" s="876"/>
      <c r="FX22" s="876"/>
      <c r="FY22" s="876"/>
      <c r="FZ22" s="876"/>
      <c r="GA22" s="876"/>
      <c r="GB22" s="876"/>
      <c r="GC22" s="876"/>
      <c r="GD22" s="876"/>
      <c r="GE22" s="876"/>
      <c r="GF22" s="876"/>
      <c r="GG22" s="876"/>
      <c r="GH22" s="876"/>
      <c r="GI22" s="876"/>
      <c r="GJ22" s="876"/>
      <c r="GK22" s="876"/>
      <c r="GL22" s="876"/>
      <c r="GM22" s="876"/>
      <c r="GN22" s="876"/>
      <c r="GO22" s="876"/>
      <c r="GP22" s="876"/>
      <c r="GQ22" s="876"/>
      <c r="GR22" s="876"/>
      <c r="GS22" s="876"/>
      <c r="GT22" s="876"/>
      <c r="GU22" s="876"/>
      <c r="GV22" s="876"/>
      <c r="GW22" s="876"/>
      <c r="GX22" s="876"/>
      <c r="GY22" s="876"/>
      <c r="GZ22" s="876"/>
      <c r="HA22" s="876"/>
      <c r="HB22" s="876"/>
      <c r="HC22" s="876"/>
      <c r="HD22" s="876"/>
      <c r="HE22" s="876"/>
      <c r="HF22" s="876"/>
      <c r="HG22" s="876"/>
      <c r="HH22" s="876"/>
      <c r="HI22" s="876"/>
      <c r="HJ22" s="876"/>
      <c r="HK22" s="876"/>
      <c r="HL22" s="876"/>
      <c r="HM22" s="876"/>
      <c r="HN22" s="876"/>
      <c r="HO22" s="876"/>
      <c r="HP22" s="876"/>
      <c r="HQ22" s="876"/>
      <c r="HR22" s="876"/>
      <c r="HS22" s="876"/>
      <c r="HT22" s="876"/>
      <c r="HU22" s="876"/>
      <c r="HV22" s="876"/>
      <c r="HW22" s="876"/>
      <c r="HX22" s="876"/>
      <c r="HY22" s="876"/>
      <c r="HZ22" s="876"/>
      <c r="IA22" s="876"/>
      <c r="IB22" s="876"/>
      <c r="IC22" s="876"/>
      <c r="ID22" s="876"/>
      <c r="IE22" s="876"/>
      <c r="IF22" s="876"/>
      <c r="IG22" s="876"/>
      <c r="IH22" s="876"/>
      <c r="II22" s="876"/>
      <c r="IJ22" s="876"/>
      <c r="IK22" s="876"/>
      <c r="IL22" s="876"/>
      <c r="IM22" s="876"/>
      <c r="IN22" s="876"/>
      <c r="IO22" s="876"/>
      <c r="IP22" s="876"/>
      <c r="IQ22" s="876"/>
      <c r="IR22" s="876"/>
      <c r="IS22" s="876"/>
      <c r="IT22" s="876"/>
      <c r="IU22" s="876"/>
      <c r="IV22" s="876"/>
    </row>
    <row r="23" spans="1:256" ht="17.25" customHeight="1">
      <c r="A23" s="878" t="s">
        <v>1401</v>
      </c>
      <c r="B23" s="872"/>
      <c r="C23" s="894"/>
      <c r="D23" s="1371">
        <f>ROUND(SUM(D20:D21),3)</f>
        <v>11.552</v>
      </c>
      <c r="E23" s="1364"/>
      <c r="F23" s="1371">
        <f>ROUND(SUM(F20:F21),3)</f>
        <v>-1.488</v>
      </c>
      <c r="G23" s="1364"/>
      <c r="H23" s="1371">
        <f>ROUND(SUM(H20:H21),3)</f>
        <v>1.7999999999999999E-2</v>
      </c>
      <c r="I23" s="1364"/>
      <c r="J23" s="1371">
        <f>ROUND(SUM(J20:J21),3)</f>
        <v>0</v>
      </c>
      <c r="K23" s="1364"/>
      <c r="L23" s="1371">
        <f>ROUND(SUM(L20:L21),3)</f>
        <v>10.045999999999999</v>
      </c>
      <c r="M23" s="886"/>
      <c r="N23" s="887"/>
      <c r="O23" s="876"/>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876"/>
      <c r="AM23" s="876"/>
      <c r="AN23" s="876"/>
      <c r="AO23" s="876"/>
      <c r="AP23" s="876"/>
      <c r="AQ23" s="876"/>
      <c r="AR23" s="876"/>
      <c r="AS23" s="876"/>
      <c r="AT23" s="876"/>
      <c r="AU23" s="876"/>
      <c r="AV23" s="876"/>
      <c r="AW23" s="876"/>
      <c r="AX23" s="876"/>
      <c r="AY23" s="876"/>
      <c r="AZ23" s="876"/>
      <c r="BA23" s="876"/>
      <c r="BB23" s="876"/>
      <c r="BC23" s="876"/>
      <c r="BD23" s="876"/>
      <c r="BE23" s="876"/>
      <c r="BF23" s="876"/>
      <c r="BG23" s="876"/>
      <c r="BH23" s="876"/>
      <c r="BI23" s="876"/>
      <c r="BJ23" s="876"/>
      <c r="BK23" s="876"/>
      <c r="BL23" s="876"/>
      <c r="BM23" s="876"/>
      <c r="BN23" s="876"/>
      <c r="BO23" s="876"/>
      <c r="BP23" s="876"/>
      <c r="BQ23" s="876"/>
      <c r="BR23" s="876"/>
      <c r="BS23" s="876"/>
      <c r="BT23" s="876"/>
      <c r="BU23" s="876"/>
      <c r="BV23" s="876"/>
      <c r="BW23" s="876"/>
      <c r="BX23" s="876"/>
      <c r="BY23" s="876"/>
      <c r="BZ23" s="876"/>
      <c r="CA23" s="876"/>
      <c r="CB23" s="876"/>
      <c r="CC23" s="876"/>
      <c r="CD23" s="876"/>
      <c r="CE23" s="876"/>
      <c r="CF23" s="876"/>
      <c r="CG23" s="876"/>
      <c r="CH23" s="876"/>
      <c r="CI23" s="876"/>
      <c r="CJ23" s="876"/>
      <c r="CK23" s="876"/>
      <c r="CL23" s="876"/>
      <c r="CM23" s="876"/>
      <c r="CN23" s="876"/>
      <c r="CO23" s="876"/>
      <c r="CP23" s="876"/>
      <c r="CQ23" s="876"/>
      <c r="CR23" s="876"/>
      <c r="CS23" s="876"/>
      <c r="CT23" s="876"/>
      <c r="CU23" s="876"/>
      <c r="CV23" s="876"/>
      <c r="CW23" s="876"/>
      <c r="CX23" s="876"/>
      <c r="CY23" s="876"/>
      <c r="CZ23" s="876"/>
      <c r="DA23" s="876"/>
      <c r="DB23" s="876"/>
      <c r="DC23" s="876"/>
      <c r="DD23" s="876"/>
      <c r="DE23" s="876"/>
      <c r="DF23" s="876"/>
      <c r="DG23" s="876"/>
      <c r="DH23" s="876"/>
      <c r="DI23" s="876"/>
      <c r="DJ23" s="876"/>
      <c r="DK23" s="876"/>
      <c r="DL23" s="876"/>
      <c r="DM23" s="876"/>
      <c r="DN23" s="876"/>
      <c r="DO23" s="876"/>
      <c r="DP23" s="876"/>
      <c r="DQ23" s="876"/>
      <c r="DR23" s="876"/>
      <c r="DS23" s="876"/>
      <c r="DT23" s="876"/>
      <c r="DU23" s="876"/>
      <c r="DV23" s="876"/>
      <c r="DW23" s="876"/>
      <c r="DX23" s="876"/>
      <c r="DY23" s="876"/>
      <c r="DZ23" s="876"/>
      <c r="EA23" s="876"/>
      <c r="EB23" s="876"/>
      <c r="EC23" s="876"/>
      <c r="ED23" s="876"/>
      <c r="EE23" s="876"/>
      <c r="EF23" s="876"/>
      <c r="EG23" s="876"/>
      <c r="EH23" s="876"/>
      <c r="EI23" s="876"/>
      <c r="EJ23" s="876"/>
      <c r="EK23" s="876"/>
      <c r="EL23" s="876"/>
      <c r="EM23" s="876"/>
      <c r="EN23" s="876"/>
      <c r="EO23" s="876"/>
      <c r="EP23" s="876"/>
      <c r="EQ23" s="876"/>
      <c r="ER23" s="876"/>
      <c r="ES23" s="876"/>
      <c r="ET23" s="876"/>
      <c r="EU23" s="876"/>
      <c r="EV23" s="876"/>
      <c r="EW23" s="876"/>
      <c r="EX23" s="876"/>
      <c r="EY23" s="876"/>
      <c r="EZ23" s="876"/>
      <c r="FA23" s="876"/>
      <c r="FB23" s="876"/>
      <c r="FC23" s="876"/>
      <c r="FD23" s="876"/>
      <c r="FE23" s="876"/>
      <c r="FF23" s="876"/>
      <c r="FG23" s="876"/>
      <c r="FH23" s="876"/>
      <c r="FI23" s="876"/>
      <c r="FJ23" s="876"/>
      <c r="FK23" s="876"/>
      <c r="FL23" s="876"/>
      <c r="FM23" s="876"/>
      <c r="FN23" s="876"/>
      <c r="FO23" s="876"/>
      <c r="FP23" s="876"/>
      <c r="FQ23" s="876"/>
      <c r="FR23" s="876"/>
      <c r="FS23" s="876"/>
      <c r="FT23" s="876"/>
      <c r="FU23" s="876"/>
      <c r="FV23" s="876"/>
      <c r="FW23" s="876"/>
      <c r="FX23" s="876"/>
      <c r="FY23" s="876"/>
      <c r="FZ23" s="876"/>
      <c r="GA23" s="876"/>
      <c r="GB23" s="876"/>
      <c r="GC23" s="876"/>
      <c r="GD23" s="876"/>
      <c r="GE23" s="876"/>
      <c r="GF23" s="876"/>
      <c r="GG23" s="876"/>
      <c r="GH23" s="876"/>
      <c r="GI23" s="876"/>
      <c r="GJ23" s="876"/>
      <c r="GK23" s="876"/>
      <c r="GL23" s="876"/>
      <c r="GM23" s="876"/>
      <c r="GN23" s="876"/>
      <c r="GO23" s="876"/>
      <c r="GP23" s="876"/>
      <c r="GQ23" s="876"/>
      <c r="GR23" s="876"/>
      <c r="GS23" s="876"/>
      <c r="GT23" s="876"/>
      <c r="GU23" s="876"/>
      <c r="GV23" s="876"/>
      <c r="GW23" s="876"/>
      <c r="GX23" s="876"/>
      <c r="GY23" s="876"/>
      <c r="GZ23" s="876"/>
      <c r="HA23" s="876"/>
      <c r="HB23" s="876"/>
      <c r="HC23" s="876"/>
      <c r="HD23" s="876"/>
      <c r="HE23" s="876"/>
      <c r="HF23" s="876"/>
      <c r="HG23" s="876"/>
      <c r="HH23" s="876"/>
      <c r="HI23" s="876"/>
      <c r="HJ23" s="876"/>
      <c r="HK23" s="876"/>
      <c r="HL23" s="876"/>
      <c r="HM23" s="876"/>
      <c r="HN23" s="876"/>
      <c r="HO23" s="876"/>
      <c r="HP23" s="876"/>
      <c r="HQ23" s="876"/>
      <c r="HR23" s="876"/>
      <c r="HS23" s="876"/>
      <c r="HT23" s="876"/>
      <c r="HU23" s="876"/>
      <c r="HV23" s="876"/>
      <c r="HW23" s="876"/>
      <c r="HX23" s="876"/>
      <c r="HY23" s="876"/>
      <c r="HZ23" s="876"/>
      <c r="IA23" s="876"/>
      <c r="IB23" s="876"/>
      <c r="IC23" s="876"/>
      <c r="ID23" s="876"/>
      <c r="IE23" s="876"/>
      <c r="IF23" s="876"/>
      <c r="IG23" s="876"/>
      <c r="IH23" s="876"/>
      <c r="II23" s="876"/>
      <c r="IJ23" s="876"/>
      <c r="IK23" s="876"/>
      <c r="IL23" s="876"/>
      <c r="IM23" s="876"/>
      <c r="IN23" s="876"/>
      <c r="IO23" s="876"/>
      <c r="IP23" s="876"/>
      <c r="IQ23" s="876"/>
      <c r="IR23" s="876"/>
      <c r="IS23" s="876"/>
      <c r="IT23" s="876"/>
      <c r="IU23" s="876"/>
      <c r="IV23" s="876"/>
    </row>
    <row r="24" spans="1:256" ht="12" customHeight="1">
      <c r="A24" s="872"/>
      <c r="B24" s="872"/>
      <c r="C24" s="872"/>
      <c r="D24" s="1364"/>
      <c r="E24" s="1362"/>
      <c r="F24" s="1364"/>
      <c r="G24" s="1362"/>
      <c r="H24" s="1364"/>
      <c r="I24" s="1362"/>
      <c r="J24" s="1364"/>
      <c r="K24" s="1362"/>
      <c r="L24" s="1364"/>
      <c r="M24" s="874"/>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876"/>
      <c r="AZ24" s="876"/>
      <c r="BA24" s="876"/>
      <c r="BB24" s="876"/>
      <c r="BC24" s="876"/>
      <c r="BD24" s="876"/>
      <c r="BE24" s="876"/>
      <c r="BF24" s="876"/>
      <c r="BG24" s="876"/>
      <c r="BH24" s="876"/>
      <c r="BI24" s="876"/>
      <c r="BJ24" s="876"/>
      <c r="BK24" s="876"/>
      <c r="BL24" s="876"/>
      <c r="BM24" s="876"/>
      <c r="BN24" s="876"/>
      <c r="BO24" s="876"/>
      <c r="BP24" s="876"/>
      <c r="BQ24" s="876"/>
      <c r="BR24" s="876"/>
      <c r="BS24" s="876"/>
      <c r="BT24" s="876"/>
      <c r="BU24" s="876"/>
      <c r="BV24" s="876"/>
      <c r="BW24" s="876"/>
      <c r="BX24" s="876"/>
      <c r="BY24" s="876"/>
      <c r="BZ24" s="876"/>
      <c r="CA24" s="876"/>
      <c r="CB24" s="876"/>
      <c r="CC24" s="876"/>
      <c r="CD24" s="876"/>
      <c r="CE24" s="876"/>
      <c r="CF24" s="876"/>
      <c r="CG24" s="876"/>
      <c r="CH24" s="876"/>
      <c r="CI24" s="876"/>
      <c r="CJ24" s="876"/>
      <c r="CK24" s="876"/>
      <c r="CL24" s="876"/>
      <c r="CM24" s="876"/>
      <c r="CN24" s="876"/>
      <c r="CO24" s="876"/>
      <c r="CP24" s="876"/>
      <c r="CQ24" s="876"/>
      <c r="CR24" s="876"/>
      <c r="CS24" s="876"/>
      <c r="CT24" s="876"/>
      <c r="CU24" s="876"/>
      <c r="CV24" s="876"/>
      <c r="CW24" s="876"/>
      <c r="CX24" s="876"/>
      <c r="CY24" s="876"/>
      <c r="CZ24" s="876"/>
      <c r="DA24" s="876"/>
      <c r="DB24" s="876"/>
      <c r="DC24" s="876"/>
      <c r="DD24" s="876"/>
      <c r="DE24" s="876"/>
      <c r="DF24" s="876"/>
      <c r="DG24" s="876"/>
      <c r="DH24" s="876"/>
      <c r="DI24" s="876"/>
      <c r="DJ24" s="876"/>
      <c r="DK24" s="876"/>
      <c r="DL24" s="876"/>
      <c r="DM24" s="876"/>
      <c r="DN24" s="876"/>
      <c r="DO24" s="876"/>
      <c r="DP24" s="876"/>
      <c r="DQ24" s="876"/>
      <c r="DR24" s="876"/>
      <c r="DS24" s="876"/>
      <c r="DT24" s="876"/>
      <c r="DU24" s="876"/>
      <c r="DV24" s="876"/>
      <c r="DW24" s="876"/>
      <c r="DX24" s="876"/>
      <c r="DY24" s="876"/>
      <c r="DZ24" s="876"/>
      <c r="EA24" s="876"/>
      <c r="EB24" s="876"/>
      <c r="EC24" s="876"/>
      <c r="ED24" s="876"/>
      <c r="EE24" s="876"/>
      <c r="EF24" s="876"/>
      <c r="EG24" s="876"/>
      <c r="EH24" s="876"/>
      <c r="EI24" s="876"/>
      <c r="EJ24" s="876"/>
      <c r="EK24" s="876"/>
      <c r="EL24" s="876"/>
      <c r="EM24" s="876"/>
      <c r="EN24" s="876"/>
      <c r="EO24" s="876"/>
      <c r="EP24" s="876"/>
      <c r="EQ24" s="876"/>
      <c r="ER24" s="876"/>
      <c r="ES24" s="876"/>
      <c r="ET24" s="876"/>
      <c r="EU24" s="876"/>
      <c r="EV24" s="876"/>
      <c r="EW24" s="876"/>
      <c r="EX24" s="876"/>
      <c r="EY24" s="876"/>
      <c r="EZ24" s="876"/>
      <c r="FA24" s="876"/>
      <c r="FB24" s="876"/>
      <c r="FC24" s="876"/>
      <c r="FD24" s="876"/>
      <c r="FE24" s="876"/>
      <c r="FF24" s="876"/>
      <c r="FG24" s="876"/>
      <c r="FH24" s="876"/>
      <c r="FI24" s="876"/>
      <c r="FJ24" s="876"/>
      <c r="FK24" s="876"/>
      <c r="FL24" s="876"/>
      <c r="FM24" s="876"/>
      <c r="FN24" s="876"/>
      <c r="FO24" s="876"/>
      <c r="FP24" s="876"/>
      <c r="FQ24" s="876"/>
      <c r="FR24" s="876"/>
      <c r="FS24" s="876"/>
      <c r="FT24" s="876"/>
      <c r="FU24" s="876"/>
      <c r="FV24" s="876"/>
      <c r="FW24" s="876"/>
      <c r="FX24" s="876"/>
      <c r="FY24" s="876"/>
      <c r="FZ24" s="876"/>
      <c r="GA24" s="876"/>
      <c r="GB24" s="876"/>
      <c r="GC24" s="876"/>
      <c r="GD24" s="876"/>
      <c r="GE24" s="876"/>
      <c r="GF24" s="876"/>
      <c r="GG24" s="876"/>
      <c r="GH24" s="876"/>
      <c r="GI24" s="876"/>
      <c r="GJ24" s="876"/>
      <c r="GK24" s="876"/>
      <c r="GL24" s="876"/>
      <c r="GM24" s="876"/>
      <c r="GN24" s="876"/>
      <c r="GO24" s="876"/>
      <c r="GP24" s="876"/>
      <c r="GQ24" s="876"/>
      <c r="GR24" s="876"/>
      <c r="GS24" s="876"/>
      <c r="GT24" s="876"/>
      <c r="GU24" s="876"/>
      <c r="GV24" s="876"/>
      <c r="GW24" s="876"/>
      <c r="GX24" s="876"/>
      <c r="GY24" s="876"/>
      <c r="GZ24" s="876"/>
      <c r="HA24" s="876"/>
      <c r="HB24" s="876"/>
      <c r="HC24" s="876"/>
      <c r="HD24" s="876"/>
      <c r="HE24" s="876"/>
      <c r="HF24" s="876"/>
      <c r="HG24" s="876"/>
      <c r="HH24" s="876"/>
      <c r="HI24" s="876"/>
      <c r="HJ24" s="876"/>
      <c r="HK24" s="876"/>
      <c r="HL24" s="876"/>
      <c r="HM24" s="876"/>
      <c r="HN24" s="876"/>
      <c r="HO24" s="876"/>
      <c r="HP24" s="876"/>
      <c r="HQ24" s="876"/>
      <c r="HR24" s="876"/>
      <c r="HS24" s="876"/>
      <c r="HT24" s="876"/>
      <c r="HU24" s="876"/>
      <c r="HV24" s="876"/>
      <c r="HW24" s="876"/>
      <c r="HX24" s="876"/>
      <c r="HY24" s="876"/>
      <c r="HZ24" s="876"/>
      <c r="IA24" s="876"/>
      <c r="IB24" s="876"/>
      <c r="IC24" s="876"/>
      <c r="ID24" s="876"/>
      <c r="IE24" s="876"/>
      <c r="IF24" s="876"/>
      <c r="IG24" s="876"/>
      <c r="IH24" s="876"/>
      <c r="II24" s="876"/>
      <c r="IJ24" s="876"/>
      <c r="IK24" s="876"/>
      <c r="IL24" s="876"/>
      <c r="IM24" s="876"/>
      <c r="IN24" s="876"/>
      <c r="IO24" s="876"/>
      <c r="IP24" s="876"/>
      <c r="IQ24" s="876"/>
      <c r="IR24" s="876"/>
      <c r="IS24" s="876"/>
      <c r="IT24" s="876"/>
      <c r="IU24" s="876"/>
      <c r="IV24" s="876"/>
    </row>
    <row r="25" spans="1:256" ht="17.399999999999999">
      <c r="A25" s="879" t="s">
        <v>388</v>
      </c>
      <c r="B25" s="872"/>
      <c r="C25" s="872"/>
      <c r="D25" s="1362"/>
      <c r="E25" s="1362"/>
      <c r="F25" s="1362"/>
      <c r="G25" s="1362"/>
      <c r="H25" s="1362"/>
      <c r="I25" s="1362"/>
      <c r="J25" s="1362"/>
      <c r="K25" s="1362"/>
      <c r="L25" s="1362"/>
      <c r="M25" s="874"/>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c r="AM25" s="876"/>
      <c r="AN25" s="876"/>
      <c r="AO25" s="876"/>
      <c r="AP25" s="876"/>
      <c r="AQ25" s="876"/>
      <c r="AR25" s="876"/>
      <c r="AS25" s="876"/>
      <c r="AT25" s="876"/>
      <c r="AU25" s="876"/>
      <c r="AV25" s="876"/>
      <c r="AW25" s="876"/>
      <c r="AX25" s="876"/>
      <c r="AY25" s="876"/>
      <c r="AZ25" s="876"/>
      <c r="BA25" s="876"/>
      <c r="BB25" s="876"/>
      <c r="BC25" s="876"/>
      <c r="BD25" s="876"/>
      <c r="BE25" s="876"/>
      <c r="BF25" s="876"/>
      <c r="BG25" s="876"/>
      <c r="BH25" s="876"/>
      <c r="BI25" s="876"/>
      <c r="BJ25" s="876"/>
      <c r="BK25" s="876"/>
      <c r="BL25" s="876"/>
      <c r="BM25" s="876"/>
      <c r="BN25" s="876"/>
      <c r="BO25" s="876"/>
      <c r="BP25" s="876"/>
      <c r="BQ25" s="876"/>
      <c r="BR25" s="876"/>
      <c r="BS25" s="876"/>
      <c r="BT25" s="876"/>
      <c r="BU25" s="876"/>
      <c r="BV25" s="876"/>
      <c r="BW25" s="876"/>
      <c r="BX25" s="876"/>
      <c r="BY25" s="876"/>
      <c r="BZ25" s="876"/>
      <c r="CA25" s="876"/>
      <c r="CB25" s="876"/>
      <c r="CC25" s="876"/>
      <c r="CD25" s="876"/>
      <c r="CE25" s="876"/>
      <c r="CF25" s="876"/>
      <c r="CG25" s="876"/>
      <c r="CH25" s="876"/>
      <c r="CI25" s="876"/>
      <c r="CJ25" s="876"/>
      <c r="CK25" s="876"/>
      <c r="CL25" s="876"/>
      <c r="CM25" s="876"/>
      <c r="CN25" s="876"/>
      <c r="CO25" s="876"/>
      <c r="CP25" s="876"/>
      <c r="CQ25" s="876"/>
      <c r="CR25" s="876"/>
      <c r="CS25" s="876"/>
      <c r="CT25" s="876"/>
      <c r="CU25" s="876"/>
      <c r="CV25" s="876"/>
      <c r="CW25" s="876"/>
      <c r="CX25" s="876"/>
      <c r="CY25" s="876"/>
      <c r="CZ25" s="876"/>
      <c r="DA25" s="876"/>
      <c r="DB25" s="876"/>
      <c r="DC25" s="876"/>
      <c r="DD25" s="876"/>
      <c r="DE25" s="876"/>
      <c r="DF25" s="876"/>
      <c r="DG25" s="876"/>
      <c r="DH25" s="876"/>
      <c r="DI25" s="876"/>
      <c r="DJ25" s="876"/>
      <c r="DK25" s="876"/>
      <c r="DL25" s="876"/>
      <c r="DM25" s="876"/>
      <c r="DN25" s="876"/>
      <c r="DO25" s="876"/>
      <c r="DP25" s="876"/>
      <c r="DQ25" s="876"/>
      <c r="DR25" s="876"/>
      <c r="DS25" s="876"/>
      <c r="DT25" s="876"/>
      <c r="DU25" s="876"/>
      <c r="DV25" s="876"/>
      <c r="DW25" s="876"/>
      <c r="DX25" s="876"/>
      <c r="DY25" s="876"/>
      <c r="DZ25" s="876"/>
      <c r="EA25" s="876"/>
      <c r="EB25" s="876"/>
      <c r="EC25" s="876"/>
      <c r="ED25" s="876"/>
      <c r="EE25" s="876"/>
      <c r="EF25" s="876"/>
      <c r="EG25" s="876"/>
      <c r="EH25" s="876"/>
      <c r="EI25" s="876"/>
      <c r="EJ25" s="876"/>
      <c r="EK25" s="876"/>
      <c r="EL25" s="876"/>
      <c r="EM25" s="876"/>
      <c r="EN25" s="876"/>
      <c r="EO25" s="876"/>
      <c r="EP25" s="876"/>
      <c r="EQ25" s="876"/>
      <c r="ER25" s="876"/>
      <c r="ES25" s="876"/>
      <c r="ET25" s="876"/>
      <c r="EU25" s="876"/>
      <c r="EV25" s="876"/>
      <c r="EW25" s="876"/>
      <c r="EX25" s="876"/>
      <c r="EY25" s="876"/>
      <c r="EZ25" s="876"/>
      <c r="FA25" s="876"/>
      <c r="FB25" s="876"/>
      <c r="FC25" s="876"/>
      <c r="FD25" s="876"/>
      <c r="FE25" s="876"/>
      <c r="FF25" s="876"/>
      <c r="FG25" s="876"/>
      <c r="FH25" s="876"/>
      <c r="FI25" s="876"/>
      <c r="FJ25" s="876"/>
      <c r="FK25" s="876"/>
      <c r="FL25" s="876"/>
      <c r="FM25" s="876"/>
      <c r="FN25" s="876"/>
      <c r="FO25" s="876"/>
      <c r="FP25" s="876"/>
      <c r="FQ25" s="876"/>
      <c r="FR25" s="876"/>
      <c r="FS25" s="876"/>
      <c r="FT25" s="876"/>
      <c r="FU25" s="876"/>
      <c r="FV25" s="876"/>
      <c r="FW25" s="876"/>
      <c r="FX25" s="876"/>
      <c r="FY25" s="876"/>
      <c r="FZ25" s="876"/>
      <c r="GA25" s="876"/>
      <c r="GB25" s="876"/>
      <c r="GC25" s="876"/>
      <c r="GD25" s="876"/>
      <c r="GE25" s="876"/>
      <c r="GF25" s="876"/>
      <c r="GG25" s="876"/>
      <c r="GH25" s="876"/>
      <c r="GI25" s="876"/>
      <c r="GJ25" s="876"/>
      <c r="GK25" s="876"/>
      <c r="GL25" s="876"/>
      <c r="GM25" s="876"/>
      <c r="GN25" s="876"/>
      <c r="GO25" s="876"/>
      <c r="GP25" s="876"/>
      <c r="GQ25" s="876"/>
      <c r="GR25" s="876"/>
      <c r="GS25" s="876"/>
      <c r="GT25" s="876"/>
      <c r="GU25" s="876"/>
      <c r="GV25" s="876"/>
      <c r="GW25" s="876"/>
      <c r="GX25" s="876"/>
      <c r="GY25" s="876"/>
      <c r="GZ25" s="876"/>
      <c r="HA25" s="876"/>
      <c r="HB25" s="876"/>
      <c r="HC25" s="876"/>
      <c r="HD25" s="876"/>
      <c r="HE25" s="876"/>
      <c r="HF25" s="876"/>
      <c r="HG25" s="876"/>
      <c r="HH25" s="876"/>
      <c r="HI25" s="876"/>
      <c r="HJ25" s="876"/>
      <c r="HK25" s="876"/>
      <c r="HL25" s="876"/>
      <c r="HM25" s="876"/>
      <c r="HN25" s="876"/>
      <c r="HO25" s="876"/>
      <c r="HP25" s="876"/>
      <c r="HQ25" s="876"/>
      <c r="HR25" s="876"/>
      <c r="HS25" s="876"/>
      <c r="HT25" s="876"/>
      <c r="HU25" s="876"/>
      <c r="HV25" s="876"/>
      <c r="HW25" s="876"/>
      <c r="HX25" s="876"/>
      <c r="HY25" s="876"/>
      <c r="HZ25" s="876"/>
      <c r="IA25" s="876"/>
      <c r="IB25" s="876"/>
      <c r="IC25" s="876"/>
      <c r="ID25" s="876"/>
      <c r="IE25" s="876"/>
      <c r="IF25" s="876"/>
      <c r="IG25" s="876"/>
      <c r="IH25" s="876"/>
      <c r="II25" s="876"/>
      <c r="IJ25" s="876"/>
      <c r="IK25" s="876"/>
      <c r="IL25" s="876"/>
      <c r="IM25" s="876"/>
      <c r="IN25" s="876"/>
      <c r="IO25" s="876"/>
      <c r="IP25" s="876"/>
      <c r="IQ25" s="876"/>
      <c r="IR25" s="876"/>
      <c r="IS25" s="876"/>
      <c r="IT25" s="876"/>
      <c r="IU25" s="876"/>
      <c r="IV25" s="876"/>
    </row>
    <row r="26" spans="1:256" ht="7.5" customHeight="1">
      <c r="A26" s="876" t="s">
        <v>16</v>
      </c>
      <c r="B26" s="876"/>
      <c r="C26" s="876"/>
      <c r="D26" s="848"/>
      <c r="E26" s="848"/>
      <c r="F26" s="848"/>
      <c r="G26" s="848"/>
      <c r="H26" s="848"/>
      <c r="I26" s="848"/>
      <c r="J26" s="848"/>
      <c r="K26" s="848"/>
      <c r="L26" s="848"/>
      <c r="M26" s="874"/>
      <c r="N26" s="876"/>
      <c r="O26" s="876"/>
      <c r="P26" s="876"/>
      <c r="Q26" s="876"/>
      <c r="R26" s="876"/>
      <c r="S26" s="876"/>
      <c r="T26" s="876"/>
      <c r="U26" s="876"/>
      <c r="V26" s="876"/>
      <c r="W26" s="876"/>
      <c r="X26" s="876"/>
      <c r="Y26" s="876"/>
      <c r="Z26" s="876"/>
      <c r="AA26" s="876"/>
      <c r="AB26" s="876"/>
      <c r="AC26" s="876"/>
      <c r="AD26" s="876"/>
      <c r="AE26" s="876"/>
      <c r="AF26" s="876"/>
      <c r="AG26" s="876"/>
      <c r="AH26" s="876"/>
      <c r="AI26" s="876"/>
      <c r="AJ26" s="876"/>
      <c r="AK26" s="876"/>
      <c r="AL26" s="876"/>
      <c r="AM26" s="876"/>
      <c r="AN26" s="876"/>
      <c r="AO26" s="876"/>
      <c r="AP26" s="876"/>
      <c r="AQ26" s="876"/>
      <c r="AR26" s="876"/>
      <c r="AS26" s="876"/>
      <c r="AT26" s="876"/>
      <c r="AU26" s="876"/>
      <c r="AV26" s="876"/>
      <c r="AW26" s="876"/>
      <c r="AX26" s="876"/>
      <c r="AY26" s="876"/>
      <c r="AZ26" s="876"/>
      <c r="BA26" s="876"/>
      <c r="BB26" s="876"/>
      <c r="BC26" s="876"/>
      <c r="BD26" s="876"/>
      <c r="BE26" s="876"/>
      <c r="BF26" s="876"/>
      <c r="BG26" s="876"/>
      <c r="BH26" s="876"/>
      <c r="BI26" s="876"/>
      <c r="BJ26" s="876"/>
      <c r="BK26" s="876"/>
      <c r="BL26" s="876"/>
      <c r="BM26" s="876"/>
      <c r="BN26" s="876"/>
      <c r="BO26" s="876"/>
      <c r="BP26" s="876"/>
      <c r="BQ26" s="876"/>
      <c r="BR26" s="876"/>
      <c r="BS26" s="876"/>
      <c r="BT26" s="876"/>
      <c r="BU26" s="876"/>
      <c r="BV26" s="876"/>
      <c r="BW26" s="876"/>
      <c r="BX26" s="876"/>
      <c r="BY26" s="876"/>
      <c r="BZ26" s="876"/>
      <c r="CA26" s="876"/>
      <c r="CB26" s="876"/>
      <c r="CC26" s="876"/>
      <c r="CD26" s="876"/>
      <c r="CE26" s="876"/>
      <c r="CF26" s="876"/>
      <c r="CG26" s="876"/>
      <c r="CH26" s="876"/>
      <c r="CI26" s="876"/>
      <c r="CJ26" s="876"/>
      <c r="CK26" s="876"/>
      <c r="CL26" s="876"/>
      <c r="CM26" s="876"/>
      <c r="CN26" s="876"/>
      <c r="CO26" s="876"/>
      <c r="CP26" s="876"/>
      <c r="CQ26" s="876"/>
      <c r="CR26" s="876"/>
      <c r="CS26" s="876"/>
      <c r="CT26" s="876"/>
      <c r="CU26" s="876"/>
      <c r="CV26" s="876"/>
      <c r="CW26" s="876"/>
      <c r="CX26" s="876"/>
      <c r="CY26" s="876"/>
      <c r="CZ26" s="876"/>
      <c r="DA26" s="876"/>
      <c r="DB26" s="876"/>
      <c r="DC26" s="876"/>
      <c r="DD26" s="876"/>
      <c r="DE26" s="876"/>
      <c r="DF26" s="876"/>
      <c r="DG26" s="876"/>
      <c r="DH26" s="876"/>
      <c r="DI26" s="876"/>
      <c r="DJ26" s="876"/>
      <c r="DK26" s="876"/>
      <c r="DL26" s="876"/>
      <c r="DM26" s="876"/>
      <c r="DN26" s="876"/>
      <c r="DO26" s="876"/>
      <c r="DP26" s="876"/>
      <c r="DQ26" s="876"/>
      <c r="DR26" s="876"/>
      <c r="DS26" s="876"/>
      <c r="DT26" s="876"/>
      <c r="DU26" s="876"/>
      <c r="DV26" s="876"/>
      <c r="DW26" s="876"/>
      <c r="DX26" s="876"/>
      <c r="DY26" s="876"/>
      <c r="DZ26" s="876"/>
      <c r="EA26" s="876"/>
      <c r="EB26" s="876"/>
      <c r="EC26" s="876"/>
      <c r="ED26" s="876"/>
      <c r="EE26" s="876"/>
      <c r="EF26" s="876"/>
      <c r="EG26" s="876"/>
      <c r="EH26" s="876"/>
      <c r="EI26" s="876"/>
      <c r="EJ26" s="876"/>
      <c r="EK26" s="876"/>
      <c r="EL26" s="876"/>
      <c r="EM26" s="876"/>
      <c r="EN26" s="876"/>
      <c r="EO26" s="876"/>
      <c r="EP26" s="876"/>
      <c r="EQ26" s="876"/>
      <c r="ER26" s="876"/>
      <c r="ES26" s="876"/>
      <c r="ET26" s="876"/>
      <c r="EU26" s="876"/>
      <c r="EV26" s="876"/>
      <c r="EW26" s="876"/>
      <c r="EX26" s="876"/>
      <c r="EY26" s="876"/>
      <c r="EZ26" s="876"/>
      <c r="FA26" s="876"/>
      <c r="FB26" s="876"/>
      <c r="FC26" s="876"/>
      <c r="FD26" s="876"/>
      <c r="FE26" s="876"/>
      <c r="FF26" s="876"/>
      <c r="FG26" s="876"/>
      <c r="FH26" s="876"/>
      <c r="FI26" s="876"/>
      <c r="FJ26" s="876"/>
      <c r="FK26" s="876"/>
      <c r="FL26" s="876"/>
      <c r="FM26" s="876"/>
      <c r="FN26" s="876"/>
      <c r="FO26" s="876"/>
      <c r="FP26" s="876"/>
      <c r="FQ26" s="876"/>
      <c r="FR26" s="876"/>
      <c r="FS26" s="876"/>
      <c r="FT26" s="876"/>
      <c r="FU26" s="876"/>
      <c r="FV26" s="876"/>
      <c r="FW26" s="876"/>
      <c r="FX26" s="876"/>
      <c r="FY26" s="876"/>
      <c r="FZ26" s="876"/>
      <c r="GA26" s="876"/>
      <c r="GB26" s="876"/>
      <c r="GC26" s="876"/>
      <c r="GD26" s="876"/>
      <c r="GE26" s="876"/>
      <c r="GF26" s="876"/>
      <c r="GG26" s="876"/>
      <c r="GH26" s="876"/>
      <c r="GI26" s="876"/>
      <c r="GJ26" s="876"/>
      <c r="GK26" s="876"/>
      <c r="GL26" s="876"/>
      <c r="GM26" s="876"/>
      <c r="GN26" s="876"/>
      <c r="GO26" s="876"/>
      <c r="GP26" s="876"/>
      <c r="GQ26" s="876"/>
      <c r="GR26" s="876"/>
      <c r="GS26" s="876"/>
      <c r="GT26" s="876"/>
      <c r="GU26" s="876"/>
      <c r="GV26" s="876"/>
      <c r="GW26" s="876"/>
      <c r="GX26" s="876"/>
      <c r="GY26" s="876"/>
      <c r="GZ26" s="876"/>
      <c r="HA26" s="876"/>
      <c r="HB26" s="876"/>
      <c r="HC26" s="876"/>
      <c r="HD26" s="876"/>
      <c r="HE26" s="876"/>
      <c r="HF26" s="876"/>
      <c r="HG26" s="876"/>
      <c r="HH26" s="876"/>
      <c r="HI26" s="876"/>
      <c r="HJ26" s="876"/>
      <c r="HK26" s="876"/>
      <c r="HL26" s="876"/>
      <c r="HM26" s="876"/>
      <c r="HN26" s="876"/>
      <c r="HO26" s="876"/>
      <c r="HP26" s="876"/>
      <c r="HQ26" s="876"/>
      <c r="HR26" s="876"/>
      <c r="HS26" s="876"/>
      <c r="HT26" s="876"/>
      <c r="HU26" s="876"/>
      <c r="HV26" s="876"/>
      <c r="HW26" s="876"/>
      <c r="HX26" s="876"/>
      <c r="HY26" s="876"/>
      <c r="HZ26" s="876"/>
      <c r="IA26" s="876"/>
      <c r="IB26" s="876"/>
      <c r="IC26" s="876"/>
      <c r="ID26" s="876"/>
      <c r="IE26" s="876"/>
      <c r="IF26" s="876"/>
      <c r="IG26" s="876"/>
      <c r="IH26" s="876"/>
      <c r="II26" s="876"/>
      <c r="IJ26" s="876"/>
      <c r="IK26" s="876"/>
      <c r="IL26" s="876"/>
      <c r="IM26" s="876"/>
      <c r="IN26" s="876"/>
      <c r="IO26" s="876"/>
      <c r="IP26" s="876"/>
      <c r="IQ26" s="876"/>
      <c r="IR26" s="876"/>
      <c r="IS26" s="876"/>
      <c r="IT26" s="876"/>
      <c r="IU26" s="876"/>
      <c r="IV26" s="876"/>
    </row>
    <row r="27" spans="1:256" ht="16.5" customHeight="1">
      <c r="A27" s="876" t="s">
        <v>1148</v>
      </c>
      <c r="B27" s="876"/>
      <c r="C27" s="876" t="s">
        <v>16</v>
      </c>
      <c r="D27" s="852">
        <v>19.399000000000001</v>
      </c>
      <c r="E27" s="847"/>
      <c r="F27" s="1372">
        <v>0.8</v>
      </c>
      <c r="G27" s="847"/>
      <c r="H27" s="1372">
        <v>0</v>
      </c>
      <c r="I27" s="847"/>
      <c r="J27" s="1372">
        <v>0</v>
      </c>
      <c r="K27" s="847"/>
      <c r="L27" s="848">
        <f t="shared" ref="L27:L43" si="0">ROUND(D27+F27-H27+J27,3)</f>
        <v>20.199000000000002</v>
      </c>
      <c r="M27" s="883"/>
      <c r="N27" s="876"/>
      <c r="O27" s="876"/>
      <c r="P27" s="876"/>
      <c r="Q27" s="876"/>
      <c r="R27" s="876"/>
      <c r="S27" s="876"/>
      <c r="T27" s="876"/>
      <c r="U27" s="876"/>
      <c r="V27" s="876"/>
      <c r="W27" s="876"/>
      <c r="X27" s="876"/>
      <c r="Y27" s="876"/>
      <c r="Z27" s="876"/>
      <c r="AA27" s="876"/>
      <c r="AB27" s="876"/>
      <c r="AC27" s="876"/>
      <c r="AD27" s="876"/>
      <c r="AE27" s="876"/>
      <c r="AF27" s="876"/>
      <c r="AG27" s="876"/>
      <c r="AH27" s="876"/>
      <c r="AI27" s="876"/>
      <c r="AJ27" s="876"/>
      <c r="AK27" s="876"/>
      <c r="AL27" s="876"/>
      <c r="AM27" s="876"/>
      <c r="AN27" s="876"/>
      <c r="AO27" s="876"/>
      <c r="AP27" s="876"/>
      <c r="AQ27" s="876"/>
      <c r="AR27" s="876"/>
      <c r="AS27" s="876"/>
      <c r="AT27" s="876"/>
      <c r="AU27" s="876"/>
      <c r="AV27" s="876"/>
      <c r="AW27" s="876"/>
      <c r="AX27" s="876"/>
      <c r="AY27" s="876"/>
      <c r="AZ27" s="876"/>
      <c r="BA27" s="876"/>
      <c r="BB27" s="876"/>
      <c r="BC27" s="876"/>
      <c r="BD27" s="876"/>
      <c r="BE27" s="876"/>
      <c r="BF27" s="876"/>
      <c r="BG27" s="876"/>
      <c r="BH27" s="876"/>
      <c r="BI27" s="876"/>
      <c r="BJ27" s="876"/>
      <c r="BK27" s="876"/>
      <c r="BL27" s="876"/>
      <c r="BM27" s="876"/>
      <c r="BN27" s="876"/>
      <c r="BO27" s="876"/>
      <c r="BP27" s="876"/>
      <c r="BQ27" s="876"/>
      <c r="BR27" s="876"/>
      <c r="BS27" s="876"/>
      <c r="BT27" s="876"/>
      <c r="BU27" s="876"/>
      <c r="BV27" s="876"/>
      <c r="BW27" s="876"/>
      <c r="BX27" s="876"/>
      <c r="BY27" s="876"/>
      <c r="BZ27" s="876"/>
      <c r="CA27" s="876"/>
      <c r="CB27" s="876"/>
      <c r="CC27" s="876"/>
      <c r="CD27" s="876"/>
      <c r="CE27" s="876"/>
      <c r="CF27" s="876"/>
      <c r="CG27" s="876"/>
      <c r="CH27" s="876"/>
      <c r="CI27" s="876"/>
      <c r="CJ27" s="876"/>
      <c r="CK27" s="876"/>
      <c r="CL27" s="876"/>
      <c r="CM27" s="876"/>
      <c r="CN27" s="876"/>
      <c r="CO27" s="876"/>
      <c r="CP27" s="876"/>
      <c r="CQ27" s="876"/>
      <c r="CR27" s="876"/>
      <c r="CS27" s="876"/>
      <c r="CT27" s="876"/>
      <c r="CU27" s="876"/>
      <c r="CV27" s="876"/>
      <c r="CW27" s="876"/>
      <c r="CX27" s="876"/>
      <c r="CY27" s="876"/>
      <c r="CZ27" s="876"/>
      <c r="DA27" s="876"/>
      <c r="DB27" s="876"/>
      <c r="DC27" s="876"/>
      <c r="DD27" s="876"/>
      <c r="DE27" s="876"/>
      <c r="DF27" s="876"/>
      <c r="DG27" s="876"/>
      <c r="DH27" s="876"/>
      <c r="DI27" s="876"/>
      <c r="DJ27" s="876"/>
      <c r="DK27" s="876"/>
      <c r="DL27" s="876"/>
      <c r="DM27" s="876"/>
      <c r="DN27" s="876"/>
      <c r="DO27" s="876"/>
      <c r="DP27" s="876"/>
      <c r="DQ27" s="876"/>
      <c r="DR27" s="876"/>
      <c r="DS27" s="876"/>
      <c r="DT27" s="876"/>
      <c r="DU27" s="876"/>
      <c r="DV27" s="876"/>
      <c r="DW27" s="876"/>
      <c r="DX27" s="876"/>
      <c r="DY27" s="876"/>
      <c r="DZ27" s="876"/>
      <c r="EA27" s="876"/>
      <c r="EB27" s="876"/>
      <c r="EC27" s="876"/>
      <c r="ED27" s="876"/>
      <c r="EE27" s="876"/>
      <c r="EF27" s="876"/>
      <c r="EG27" s="876"/>
      <c r="EH27" s="876"/>
      <c r="EI27" s="876"/>
      <c r="EJ27" s="876"/>
      <c r="EK27" s="876"/>
      <c r="EL27" s="876"/>
      <c r="EM27" s="876"/>
      <c r="EN27" s="876"/>
      <c r="EO27" s="876"/>
      <c r="EP27" s="876"/>
      <c r="EQ27" s="876"/>
      <c r="ER27" s="876"/>
      <c r="ES27" s="876"/>
      <c r="ET27" s="876"/>
      <c r="EU27" s="876"/>
      <c r="EV27" s="876"/>
      <c r="EW27" s="876"/>
      <c r="EX27" s="876"/>
      <c r="EY27" s="876"/>
      <c r="EZ27" s="876"/>
      <c r="FA27" s="876"/>
      <c r="FB27" s="876"/>
      <c r="FC27" s="876"/>
      <c r="FD27" s="876"/>
      <c r="FE27" s="876"/>
      <c r="FF27" s="876"/>
      <c r="FG27" s="876"/>
      <c r="FH27" s="876"/>
      <c r="FI27" s="876"/>
      <c r="FJ27" s="876"/>
      <c r="FK27" s="876"/>
      <c r="FL27" s="876"/>
      <c r="FM27" s="876"/>
      <c r="FN27" s="876"/>
      <c r="FO27" s="876"/>
      <c r="FP27" s="876"/>
      <c r="FQ27" s="876"/>
      <c r="FR27" s="876"/>
      <c r="FS27" s="876"/>
      <c r="FT27" s="876"/>
      <c r="FU27" s="876"/>
      <c r="FV27" s="876"/>
      <c r="FW27" s="876"/>
      <c r="FX27" s="876"/>
      <c r="FY27" s="876"/>
      <c r="FZ27" s="876"/>
      <c r="GA27" s="876"/>
      <c r="GB27" s="876"/>
      <c r="GC27" s="876"/>
      <c r="GD27" s="876"/>
      <c r="GE27" s="876"/>
      <c r="GF27" s="876"/>
      <c r="GG27" s="876"/>
      <c r="GH27" s="876"/>
      <c r="GI27" s="876"/>
      <c r="GJ27" s="876"/>
      <c r="GK27" s="876"/>
      <c r="GL27" s="876"/>
      <c r="GM27" s="876"/>
      <c r="GN27" s="876"/>
      <c r="GO27" s="876"/>
      <c r="GP27" s="876"/>
      <c r="GQ27" s="876"/>
      <c r="GR27" s="876"/>
      <c r="GS27" s="876"/>
      <c r="GT27" s="876"/>
      <c r="GU27" s="876"/>
      <c r="GV27" s="876"/>
      <c r="GW27" s="876"/>
      <c r="GX27" s="876"/>
      <c r="GY27" s="876"/>
      <c r="GZ27" s="876"/>
      <c r="HA27" s="876"/>
      <c r="HB27" s="876"/>
      <c r="HC27" s="876"/>
      <c r="HD27" s="876"/>
      <c r="HE27" s="876"/>
      <c r="HF27" s="876"/>
      <c r="HG27" s="876"/>
      <c r="HH27" s="876"/>
      <c r="HI27" s="876"/>
      <c r="HJ27" s="876"/>
      <c r="HK27" s="876"/>
      <c r="HL27" s="876"/>
      <c r="HM27" s="876"/>
      <c r="HN27" s="876"/>
      <c r="HO27" s="876"/>
      <c r="HP27" s="876"/>
      <c r="HQ27" s="876"/>
      <c r="HR27" s="876"/>
      <c r="HS27" s="876"/>
      <c r="HT27" s="876"/>
      <c r="HU27" s="876"/>
      <c r="HV27" s="876"/>
      <c r="HW27" s="876"/>
      <c r="HX27" s="876"/>
      <c r="HY27" s="876"/>
      <c r="HZ27" s="876"/>
      <c r="IA27" s="876"/>
      <c r="IB27" s="876"/>
      <c r="IC27" s="876"/>
      <c r="ID27" s="876"/>
      <c r="IE27" s="876"/>
      <c r="IF27" s="876"/>
      <c r="IG27" s="876"/>
      <c r="IH27" s="876"/>
      <c r="II27" s="876"/>
      <c r="IJ27" s="876"/>
      <c r="IK27" s="876"/>
      <c r="IL27" s="876"/>
      <c r="IM27" s="876"/>
      <c r="IN27" s="876"/>
      <c r="IO27" s="876"/>
      <c r="IP27" s="876"/>
      <c r="IQ27" s="876"/>
      <c r="IR27" s="876"/>
      <c r="IS27" s="876"/>
      <c r="IT27" s="876"/>
      <c r="IU27" s="876"/>
      <c r="IV27" s="876"/>
    </row>
    <row r="28" spans="1:256" ht="15.75" customHeight="1">
      <c r="A28" s="1365" t="s">
        <v>389</v>
      </c>
      <c r="B28" s="876"/>
      <c r="C28" s="876"/>
      <c r="D28" s="852">
        <v>0.32200000000000001</v>
      </c>
      <c r="E28" s="847"/>
      <c r="F28" s="1372">
        <v>0.08</v>
      </c>
      <c r="G28" s="1373"/>
      <c r="H28" s="1372">
        <v>4.0000000000000001E-3</v>
      </c>
      <c r="I28" s="1373"/>
      <c r="J28" s="1372">
        <v>0</v>
      </c>
      <c r="K28" s="1373"/>
      <c r="L28" s="848">
        <f t="shared" si="0"/>
        <v>0.39800000000000002</v>
      </c>
      <c r="M28" s="883"/>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6"/>
      <c r="AY28" s="876"/>
      <c r="AZ28" s="876"/>
      <c r="BA28" s="876"/>
      <c r="BB28" s="876"/>
      <c r="BC28" s="876"/>
      <c r="BD28" s="876"/>
      <c r="BE28" s="876"/>
      <c r="BF28" s="876"/>
      <c r="BG28" s="876"/>
      <c r="BH28" s="876"/>
      <c r="BI28" s="876"/>
      <c r="BJ28" s="876"/>
      <c r="BK28" s="876"/>
      <c r="BL28" s="876"/>
      <c r="BM28" s="876"/>
      <c r="BN28" s="876"/>
      <c r="BO28" s="876"/>
      <c r="BP28" s="876"/>
      <c r="BQ28" s="876"/>
      <c r="BR28" s="876"/>
      <c r="BS28" s="876"/>
      <c r="BT28" s="876"/>
      <c r="BU28" s="876"/>
      <c r="BV28" s="876"/>
      <c r="BW28" s="876"/>
      <c r="BX28" s="876"/>
      <c r="BY28" s="876"/>
      <c r="BZ28" s="876"/>
      <c r="CA28" s="876"/>
      <c r="CB28" s="876"/>
      <c r="CC28" s="876"/>
      <c r="CD28" s="876"/>
      <c r="CE28" s="876"/>
      <c r="CF28" s="876"/>
      <c r="CG28" s="876"/>
      <c r="CH28" s="876"/>
      <c r="CI28" s="876"/>
      <c r="CJ28" s="876"/>
      <c r="CK28" s="876"/>
      <c r="CL28" s="876"/>
      <c r="CM28" s="876"/>
      <c r="CN28" s="876"/>
      <c r="CO28" s="876"/>
      <c r="CP28" s="876"/>
      <c r="CQ28" s="876"/>
      <c r="CR28" s="876"/>
      <c r="CS28" s="876"/>
      <c r="CT28" s="876"/>
      <c r="CU28" s="876"/>
      <c r="CV28" s="876"/>
      <c r="CW28" s="876"/>
      <c r="CX28" s="876"/>
      <c r="CY28" s="876"/>
      <c r="CZ28" s="876"/>
      <c r="DA28" s="876"/>
      <c r="DB28" s="876"/>
      <c r="DC28" s="876"/>
      <c r="DD28" s="876"/>
      <c r="DE28" s="876"/>
      <c r="DF28" s="876"/>
      <c r="DG28" s="876"/>
      <c r="DH28" s="876"/>
      <c r="DI28" s="876"/>
      <c r="DJ28" s="876"/>
      <c r="DK28" s="876"/>
      <c r="DL28" s="876"/>
      <c r="DM28" s="876"/>
      <c r="DN28" s="876"/>
      <c r="DO28" s="876"/>
      <c r="DP28" s="876"/>
      <c r="DQ28" s="876"/>
      <c r="DR28" s="876"/>
      <c r="DS28" s="876"/>
      <c r="DT28" s="876"/>
      <c r="DU28" s="876"/>
      <c r="DV28" s="876"/>
      <c r="DW28" s="876"/>
      <c r="DX28" s="876"/>
      <c r="DY28" s="876"/>
      <c r="DZ28" s="876"/>
      <c r="EA28" s="876"/>
      <c r="EB28" s="876"/>
      <c r="EC28" s="876"/>
      <c r="ED28" s="876"/>
      <c r="EE28" s="876"/>
      <c r="EF28" s="876"/>
      <c r="EG28" s="876"/>
      <c r="EH28" s="876"/>
      <c r="EI28" s="876"/>
      <c r="EJ28" s="876"/>
      <c r="EK28" s="876"/>
      <c r="EL28" s="876"/>
      <c r="EM28" s="876"/>
      <c r="EN28" s="876"/>
      <c r="EO28" s="876"/>
      <c r="EP28" s="876"/>
      <c r="EQ28" s="876"/>
      <c r="ER28" s="876"/>
      <c r="ES28" s="876"/>
      <c r="ET28" s="876"/>
      <c r="EU28" s="876"/>
      <c r="EV28" s="876"/>
      <c r="EW28" s="876"/>
      <c r="EX28" s="876"/>
      <c r="EY28" s="876"/>
      <c r="EZ28" s="876"/>
      <c r="FA28" s="876"/>
      <c r="FB28" s="876"/>
      <c r="FC28" s="876"/>
      <c r="FD28" s="876"/>
      <c r="FE28" s="876"/>
      <c r="FF28" s="876"/>
      <c r="FG28" s="876"/>
      <c r="FH28" s="876"/>
      <c r="FI28" s="876"/>
      <c r="FJ28" s="876"/>
      <c r="FK28" s="876"/>
      <c r="FL28" s="876"/>
      <c r="FM28" s="876"/>
      <c r="FN28" s="876"/>
      <c r="FO28" s="876"/>
      <c r="FP28" s="876"/>
      <c r="FQ28" s="876"/>
      <c r="FR28" s="876"/>
      <c r="FS28" s="876"/>
      <c r="FT28" s="876"/>
      <c r="FU28" s="876"/>
      <c r="FV28" s="876"/>
      <c r="FW28" s="876"/>
      <c r="FX28" s="876"/>
      <c r="FY28" s="876"/>
      <c r="FZ28" s="876"/>
      <c r="GA28" s="876"/>
      <c r="GB28" s="876"/>
      <c r="GC28" s="876"/>
      <c r="GD28" s="876"/>
      <c r="GE28" s="876"/>
      <c r="GF28" s="876"/>
      <c r="GG28" s="876"/>
      <c r="GH28" s="876"/>
      <c r="GI28" s="876"/>
      <c r="GJ28" s="876"/>
      <c r="GK28" s="876"/>
      <c r="GL28" s="876"/>
      <c r="GM28" s="876"/>
      <c r="GN28" s="876"/>
      <c r="GO28" s="876"/>
      <c r="GP28" s="876"/>
      <c r="GQ28" s="876"/>
      <c r="GR28" s="876"/>
      <c r="GS28" s="876"/>
      <c r="GT28" s="876"/>
      <c r="GU28" s="876"/>
      <c r="GV28" s="876"/>
      <c r="GW28" s="876"/>
      <c r="GX28" s="876"/>
      <c r="GY28" s="876"/>
      <c r="GZ28" s="876"/>
      <c r="HA28" s="876"/>
      <c r="HB28" s="876"/>
      <c r="HC28" s="876"/>
      <c r="HD28" s="876"/>
      <c r="HE28" s="876"/>
      <c r="HF28" s="876"/>
      <c r="HG28" s="876"/>
      <c r="HH28" s="876"/>
      <c r="HI28" s="876"/>
      <c r="HJ28" s="876"/>
      <c r="HK28" s="876"/>
      <c r="HL28" s="876"/>
      <c r="HM28" s="876"/>
      <c r="HN28" s="876"/>
      <c r="HO28" s="876"/>
      <c r="HP28" s="876"/>
      <c r="HQ28" s="876"/>
      <c r="HR28" s="876"/>
      <c r="HS28" s="876"/>
      <c r="HT28" s="876"/>
      <c r="HU28" s="876"/>
      <c r="HV28" s="876"/>
      <c r="HW28" s="876"/>
      <c r="HX28" s="876"/>
      <c r="HY28" s="876"/>
      <c r="HZ28" s="876"/>
      <c r="IA28" s="876"/>
      <c r="IB28" s="876"/>
      <c r="IC28" s="876"/>
      <c r="ID28" s="876"/>
      <c r="IE28" s="876"/>
      <c r="IF28" s="876"/>
      <c r="IG28" s="876"/>
      <c r="IH28" s="876"/>
      <c r="II28" s="876"/>
      <c r="IJ28" s="876"/>
      <c r="IK28" s="876"/>
      <c r="IL28" s="876"/>
      <c r="IM28" s="876"/>
      <c r="IN28" s="876"/>
      <c r="IO28" s="876"/>
      <c r="IP28" s="876"/>
      <c r="IQ28" s="876"/>
      <c r="IR28" s="876"/>
      <c r="IS28" s="876"/>
      <c r="IT28" s="876"/>
      <c r="IU28" s="876"/>
      <c r="IV28" s="876"/>
    </row>
    <row r="29" spans="1:256" ht="16.5" customHeight="1">
      <c r="A29" s="876" t="s">
        <v>390</v>
      </c>
      <c r="B29" s="876"/>
      <c r="C29" s="876"/>
      <c r="D29" s="852">
        <v>788.66</v>
      </c>
      <c r="E29" s="847"/>
      <c r="F29" s="1372">
        <v>870.71400000000006</v>
      </c>
      <c r="G29" s="1373"/>
      <c r="H29" s="1372">
        <v>783.22699999999998</v>
      </c>
      <c r="I29" s="1373"/>
      <c r="J29" s="1372">
        <v>0</v>
      </c>
      <c r="K29" s="1373"/>
      <c r="L29" s="848">
        <f t="shared" si="0"/>
        <v>876.14700000000005</v>
      </c>
      <c r="M29" s="883"/>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6"/>
      <c r="AL29" s="876"/>
      <c r="AM29" s="876"/>
      <c r="AN29" s="876"/>
      <c r="AO29" s="876"/>
      <c r="AP29" s="876"/>
      <c r="AQ29" s="876"/>
      <c r="AR29" s="876"/>
      <c r="AS29" s="876"/>
      <c r="AT29" s="876"/>
      <c r="AU29" s="876"/>
      <c r="AV29" s="876"/>
      <c r="AW29" s="876"/>
      <c r="AX29" s="876"/>
      <c r="AY29" s="876"/>
      <c r="AZ29" s="876"/>
      <c r="BA29" s="876"/>
      <c r="BB29" s="876"/>
      <c r="BC29" s="876"/>
      <c r="BD29" s="876"/>
      <c r="BE29" s="876"/>
      <c r="BF29" s="876"/>
      <c r="BG29" s="876"/>
      <c r="BH29" s="876"/>
      <c r="BI29" s="876"/>
      <c r="BJ29" s="876"/>
      <c r="BK29" s="876"/>
      <c r="BL29" s="876"/>
      <c r="BM29" s="876"/>
      <c r="BN29" s="876"/>
      <c r="BO29" s="876"/>
      <c r="BP29" s="876"/>
      <c r="BQ29" s="876"/>
      <c r="BR29" s="876"/>
      <c r="BS29" s="876"/>
      <c r="BT29" s="876"/>
      <c r="BU29" s="876"/>
      <c r="BV29" s="876"/>
      <c r="BW29" s="876"/>
      <c r="BX29" s="876"/>
      <c r="BY29" s="876"/>
      <c r="BZ29" s="876"/>
      <c r="CA29" s="876"/>
      <c r="CB29" s="876"/>
      <c r="CC29" s="876"/>
      <c r="CD29" s="876"/>
      <c r="CE29" s="876"/>
      <c r="CF29" s="876"/>
      <c r="CG29" s="876"/>
      <c r="CH29" s="876"/>
      <c r="CI29" s="876"/>
      <c r="CJ29" s="876"/>
      <c r="CK29" s="876"/>
      <c r="CL29" s="876"/>
      <c r="CM29" s="876"/>
      <c r="CN29" s="876"/>
      <c r="CO29" s="876"/>
      <c r="CP29" s="876"/>
      <c r="CQ29" s="876"/>
      <c r="CR29" s="876"/>
      <c r="CS29" s="876"/>
      <c r="CT29" s="876"/>
      <c r="CU29" s="876"/>
      <c r="CV29" s="876"/>
      <c r="CW29" s="876"/>
      <c r="CX29" s="876"/>
      <c r="CY29" s="876"/>
      <c r="CZ29" s="876"/>
      <c r="DA29" s="876"/>
      <c r="DB29" s="876"/>
      <c r="DC29" s="876"/>
      <c r="DD29" s="876"/>
      <c r="DE29" s="876"/>
      <c r="DF29" s="876"/>
      <c r="DG29" s="876"/>
      <c r="DH29" s="876"/>
      <c r="DI29" s="876"/>
      <c r="DJ29" s="876"/>
      <c r="DK29" s="876"/>
      <c r="DL29" s="876"/>
      <c r="DM29" s="876"/>
      <c r="DN29" s="876"/>
      <c r="DO29" s="876"/>
      <c r="DP29" s="876"/>
      <c r="DQ29" s="876"/>
      <c r="DR29" s="876"/>
      <c r="DS29" s="876"/>
      <c r="DT29" s="876"/>
      <c r="DU29" s="876"/>
      <c r="DV29" s="876"/>
      <c r="DW29" s="876"/>
      <c r="DX29" s="876"/>
      <c r="DY29" s="876"/>
      <c r="DZ29" s="876"/>
      <c r="EA29" s="876"/>
      <c r="EB29" s="876"/>
      <c r="EC29" s="876"/>
      <c r="ED29" s="876"/>
      <c r="EE29" s="876"/>
      <c r="EF29" s="876"/>
      <c r="EG29" s="876"/>
      <c r="EH29" s="876"/>
      <c r="EI29" s="876"/>
      <c r="EJ29" s="876"/>
      <c r="EK29" s="876"/>
      <c r="EL29" s="876"/>
      <c r="EM29" s="876"/>
      <c r="EN29" s="876"/>
      <c r="EO29" s="876"/>
      <c r="EP29" s="876"/>
      <c r="EQ29" s="876"/>
      <c r="ER29" s="876"/>
      <c r="ES29" s="876"/>
      <c r="ET29" s="876"/>
      <c r="EU29" s="876"/>
      <c r="EV29" s="876"/>
      <c r="EW29" s="876"/>
      <c r="EX29" s="876"/>
      <c r="EY29" s="876"/>
      <c r="EZ29" s="876"/>
      <c r="FA29" s="876"/>
      <c r="FB29" s="876"/>
      <c r="FC29" s="876"/>
      <c r="FD29" s="876"/>
      <c r="FE29" s="876"/>
      <c r="FF29" s="876"/>
      <c r="FG29" s="876"/>
      <c r="FH29" s="876"/>
      <c r="FI29" s="876"/>
      <c r="FJ29" s="876"/>
      <c r="FK29" s="876"/>
      <c r="FL29" s="876"/>
      <c r="FM29" s="876"/>
      <c r="FN29" s="876"/>
      <c r="FO29" s="876"/>
      <c r="FP29" s="876"/>
      <c r="FQ29" s="876"/>
      <c r="FR29" s="876"/>
      <c r="FS29" s="876"/>
      <c r="FT29" s="876"/>
      <c r="FU29" s="876"/>
      <c r="FV29" s="876"/>
      <c r="FW29" s="876"/>
      <c r="FX29" s="876"/>
      <c r="FY29" s="876"/>
      <c r="FZ29" s="876"/>
      <c r="GA29" s="876"/>
      <c r="GB29" s="876"/>
      <c r="GC29" s="876"/>
      <c r="GD29" s="876"/>
      <c r="GE29" s="876"/>
      <c r="GF29" s="876"/>
      <c r="GG29" s="876"/>
      <c r="GH29" s="876"/>
      <c r="GI29" s="876"/>
      <c r="GJ29" s="876"/>
      <c r="GK29" s="876"/>
      <c r="GL29" s="876"/>
      <c r="GM29" s="876"/>
      <c r="GN29" s="876"/>
      <c r="GO29" s="876"/>
      <c r="GP29" s="876"/>
      <c r="GQ29" s="876"/>
      <c r="GR29" s="876"/>
      <c r="GS29" s="876"/>
      <c r="GT29" s="876"/>
      <c r="GU29" s="876"/>
      <c r="GV29" s="876"/>
      <c r="GW29" s="876"/>
      <c r="GX29" s="876"/>
      <c r="GY29" s="876"/>
      <c r="GZ29" s="876"/>
      <c r="HA29" s="876"/>
      <c r="HB29" s="876"/>
      <c r="HC29" s="876"/>
      <c r="HD29" s="876"/>
      <c r="HE29" s="876"/>
      <c r="HF29" s="876"/>
      <c r="HG29" s="876"/>
      <c r="HH29" s="876"/>
      <c r="HI29" s="876"/>
      <c r="HJ29" s="876"/>
      <c r="HK29" s="876"/>
      <c r="HL29" s="876"/>
      <c r="HM29" s="876"/>
      <c r="HN29" s="876"/>
      <c r="HO29" s="876"/>
      <c r="HP29" s="876"/>
      <c r="HQ29" s="876"/>
      <c r="HR29" s="876"/>
      <c r="HS29" s="876"/>
      <c r="HT29" s="876"/>
      <c r="HU29" s="876"/>
      <c r="HV29" s="876"/>
      <c r="HW29" s="876"/>
      <c r="HX29" s="876"/>
      <c r="HY29" s="876"/>
      <c r="HZ29" s="876"/>
      <c r="IA29" s="876"/>
      <c r="IB29" s="876"/>
      <c r="IC29" s="876"/>
      <c r="ID29" s="876"/>
      <c r="IE29" s="876"/>
      <c r="IF29" s="876"/>
      <c r="IG29" s="876"/>
      <c r="IH29" s="876"/>
      <c r="II29" s="876"/>
      <c r="IJ29" s="876"/>
      <c r="IK29" s="876"/>
      <c r="IL29" s="876"/>
      <c r="IM29" s="876"/>
      <c r="IN29" s="876"/>
      <c r="IO29" s="876"/>
      <c r="IP29" s="876"/>
      <c r="IQ29" s="876"/>
      <c r="IR29" s="876"/>
      <c r="IS29" s="876"/>
      <c r="IT29" s="876"/>
      <c r="IU29" s="876"/>
      <c r="IV29" s="876"/>
    </row>
    <row r="30" spans="1:256" ht="16.5" customHeight="1">
      <c r="A30" s="876" t="s">
        <v>391</v>
      </c>
      <c r="B30" s="876"/>
      <c r="C30" s="876" t="s">
        <v>16</v>
      </c>
      <c r="D30" s="852">
        <v>14.972</v>
      </c>
      <c r="E30" s="847"/>
      <c r="F30" s="1372">
        <v>93.224000000000004</v>
      </c>
      <c r="G30" s="1373"/>
      <c r="H30" s="1372">
        <v>93.215000000000003</v>
      </c>
      <c r="I30" s="1373"/>
      <c r="J30" s="1372">
        <v>0</v>
      </c>
      <c r="K30" s="1373"/>
      <c r="L30" s="848">
        <f t="shared" si="0"/>
        <v>14.981</v>
      </c>
      <c r="M30" s="883"/>
      <c r="N30" s="876"/>
      <c r="O30" s="876"/>
      <c r="P30" s="876"/>
      <c r="Q30" s="876"/>
      <c r="R30" s="876"/>
      <c r="S30" s="876"/>
      <c r="T30" s="876"/>
      <c r="U30" s="876"/>
      <c r="V30" s="876"/>
      <c r="W30" s="876"/>
      <c r="X30" s="876"/>
      <c r="Y30" s="876"/>
      <c r="Z30" s="876"/>
      <c r="AA30" s="876"/>
      <c r="AB30" s="876"/>
      <c r="AC30" s="876"/>
      <c r="AD30" s="876"/>
      <c r="AE30" s="876"/>
      <c r="AF30" s="876"/>
      <c r="AG30" s="876"/>
      <c r="AH30" s="876"/>
      <c r="AI30" s="876"/>
      <c r="AJ30" s="876"/>
      <c r="AK30" s="876"/>
      <c r="AL30" s="876"/>
      <c r="AM30" s="876"/>
      <c r="AN30" s="876"/>
      <c r="AO30" s="876"/>
      <c r="AP30" s="876"/>
      <c r="AQ30" s="876"/>
      <c r="AR30" s="876"/>
      <c r="AS30" s="876"/>
      <c r="AT30" s="876"/>
      <c r="AU30" s="876"/>
      <c r="AV30" s="876"/>
      <c r="AW30" s="876"/>
      <c r="AX30" s="876"/>
      <c r="AY30" s="876"/>
      <c r="AZ30" s="876"/>
      <c r="BA30" s="876"/>
      <c r="BB30" s="876"/>
      <c r="BC30" s="876"/>
      <c r="BD30" s="876"/>
      <c r="BE30" s="876"/>
      <c r="BF30" s="876"/>
      <c r="BG30" s="876"/>
      <c r="BH30" s="876"/>
      <c r="BI30" s="876"/>
      <c r="BJ30" s="876"/>
      <c r="BK30" s="876"/>
      <c r="BL30" s="876"/>
      <c r="BM30" s="876"/>
      <c r="BN30" s="876"/>
      <c r="BO30" s="876"/>
      <c r="BP30" s="876"/>
      <c r="BQ30" s="876"/>
      <c r="BR30" s="876"/>
      <c r="BS30" s="876"/>
      <c r="BT30" s="876"/>
      <c r="BU30" s="876"/>
      <c r="BV30" s="876"/>
      <c r="BW30" s="876"/>
      <c r="BX30" s="876"/>
      <c r="BY30" s="876"/>
      <c r="BZ30" s="876"/>
      <c r="CA30" s="876"/>
      <c r="CB30" s="876"/>
      <c r="CC30" s="876"/>
      <c r="CD30" s="876"/>
      <c r="CE30" s="876"/>
      <c r="CF30" s="876"/>
      <c r="CG30" s="876"/>
      <c r="CH30" s="876"/>
      <c r="CI30" s="876"/>
      <c r="CJ30" s="876"/>
      <c r="CK30" s="876"/>
      <c r="CL30" s="876"/>
      <c r="CM30" s="876"/>
      <c r="CN30" s="876"/>
      <c r="CO30" s="876"/>
      <c r="CP30" s="876"/>
      <c r="CQ30" s="876"/>
      <c r="CR30" s="876"/>
      <c r="CS30" s="876"/>
      <c r="CT30" s="876"/>
      <c r="CU30" s="876"/>
      <c r="CV30" s="876"/>
      <c r="CW30" s="876"/>
      <c r="CX30" s="876"/>
      <c r="CY30" s="876"/>
      <c r="CZ30" s="876"/>
      <c r="DA30" s="876"/>
      <c r="DB30" s="876"/>
      <c r="DC30" s="876"/>
      <c r="DD30" s="876"/>
      <c r="DE30" s="876"/>
      <c r="DF30" s="876"/>
      <c r="DG30" s="876"/>
      <c r="DH30" s="876"/>
      <c r="DI30" s="876"/>
      <c r="DJ30" s="876"/>
      <c r="DK30" s="876"/>
      <c r="DL30" s="876"/>
      <c r="DM30" s="876"/>
      <c r="DN30" s="876"/>
      <c r="DO30" s="876"/>
      <c r="DP30" s="876"/>
      <c r="DQ30" s="876"/>
      <c r="DR30" s="876"/>
      <c r="DS30" s="876"/>
      <c r="DT30" s="876"/>
      <c r="DU30" s="876"/>
      <c r="DV30" s="876"/>
      <c r="DW30" s="876"/>
      <c r="DX30" s="876"/>
      <c r="DY30" s="876"/>
      <c r="DZ30" s="876"/>
      <c r="EA30" s="876"/>
      <c r="EB30" s="876"/>
      <c r="EC30" s="876"/>
      <c r="ED30" s="876"/>
      <c r="EE30" s="876"/>
      <c r="EF30" s="876"/>
      <c r="EG30" s="876"/>
      <c r="EH30" s="876"/>
      <c r="EI30" s="876"/>
      <c r="EJ30" s="876"/>
      <c r="EK30" s="876"/>
      <c r="EL30" s="876"/>
      <c r="EM30" s="876"/>
      <c r="EN30" s="876"/>
      <c r="EO30" s="876"/>
      <c r="EP30" s="876"/>
      <c r="EQ30" s="876"/>
      <c r="ER30" s="876"/>
      <c r="ES30" s="876"/>
      <c r="ET30" s="876"/>
      <c r="EU30" s="876"/>
      <c r="EV30" s="876"/>
      <c r="EW30" s="876"/>
      <c r="EX30" s="876"/>
      <c r="EY30" s="876"/>
      <c r="EZ30" s="876"/>
      <c r="FA30" s="876"/>
      <c r="FB30" s="876"/>
      <c r="FC30" s="876"/>
      <c r="FD30" s="876"/>
      <c r="FE30" s="876"/>
      <c r="FF30" s="876"/>
      <c r="FG30" s="876"/>
      <c r="FH30" s="876"/>
      <c r="FI30" s="876"/>
      <c r="FJ30" s="876"/>
      <c r="FK30" s="876"/>
      <c r="FL30" s="876"/>
      <c r="FM30" s="876"/>
      <c r="FN30" s="876"/>
      <c r="FO30" s="876"/>
      <c r="FP30" s="876"/>
      <c r="FQ30" s="876"/>
      <c r="FR30" s="876"/>
      <c r="FS30" s="876"/>
      <c r="FT30" s="876"/>
      <c r="FU30" s="876"/>
      <c r="FV30" s="876"/>
      <c r="FW30" s="876"/>
      <c r="FX30" s="876"/>
      <c r="FY30" s="876"/>
      <c r="FZ30" s="876"/>
      <c r="GA30" s="876"/>
      <c r="GB30" s="876"/>
      <c r="GC30" s="876"/>
      <c r="GD30" s="876"/>
      <c r="GE30" s="876"/>
      <c r="GF30" s="876"/>
      <c r="GG30" s="876"/>
      <c r="GH30" s="876"/>
      <c r="GI30" s="876"/>
      <c r="GJ30" s="876"/>
      <c r="GK30" s="876"/>
      <c r="GL30" s="876"/>
      <c r="GM30" s="876"/>
      <c r="GN30" s="876"/>
      <c r="GO30" s="876"/>
      <c r="GP30" s="876"/>
      <c r="GQ30" s="876"/>
      <c r="GR30" s="876"/>
      <c r="GS30" s="876"/>
      <c r="GT30" s="876"/>
      <c r="GU30" s="876"/>
      <c r="GV30" s="876"/>
      <c r="GW30" s="876"/>
      <c r="GX30" s="876"/>
      <c r="GY30" s="876"/>
      <c r="GZ30" s="876"/>
      <c r="HA30" s="876"/>
      <c r="HB30" s="876"/>
      <c r="HC30" s="876"/>
      <c r="HD30" s="876"/>
      <c r="HE30" s="876"/>
      <c r="HF30" s="876"/>
      <c r="HG30" s="876"/>
      <c r="HH30" s="876"/>
      <c r="HI30" s="876"/>
      <c r="HJ30" s="876"/>
      <c r="HK30" s="876"/>
      <c r="HL30" s="876"/>
      <c r="HM30" s="876"/>
      <c r="HN30" s="876"/>
      <c r="HO30" s="876"/>
      <c r="HP30" s="876"/>
      <c r="HQ30" s="876"/>
      <c r="HR30" s="876"/>
      <c r="HS30" s="876"/>
      <c r="HT30" s="876"/>
      <c r="HU30" s="876"/>
      <c r="HV30" s="876"/>
      <c r="HW30" s="876"/>
      <c r="HX30" s="876"/>
      <c r="HY30" s="876"/>
      <c r="HZ30" s="876"/>
      <c r="IA30" s="876"/>
      <c r="IB30" s="876"/>
      <c r="IC30" s="876"/>
      <c r="ID30" s="876"/>
      <c r="IE30" s="876"/>
      <c r="IF30" s="876"/>
      <c r="IG30" s="876"/>
      <c r="IH30" s="876"/>
      <c r="II30" s="876"/>
      <c r="IJ30" s="876"/>
      <c r="IK30" s="876"/>
      <c r="IL30" s="876"/>
      <c r="IM30" s="876"/>
      <c r="IN30" s="876"/>
      <c r="IO30" s="876"/>
      <c r="IP30" s="876"/>
      <c r="IQ30" s="876"/>
      <c r="IR30" s="876"/>
      <c r="IS30" s="876"/>
      <c r="IT30" s="876"/>
      <c r="IU30" s="876"/>
      <c r="IV30" s="876"/>
    </row>
    <row r="31" spans="1:256" ht="16.5" customHeight="1">
      <c r="A31" s="876" t="s">
        <v>1161</v>
      </c>
      <c r="B31" s="876"/>
      <c r="C31" s="876"/>
      <c r="D31" s="852">
        <v>7.3120000000000003</v>
      </c>
      <c r="E31" s="847"/>
      <c r="F31" s="1372">
        <v>347.74900000000002</v>
      </c>
      <c r="G31" s="1373"/>
      <c r="H31" s="1372">
        <v>324.947</v>
      </c>
      <c r="I31" s="1373"/>
      <c r="J31" s="1372">
        <v>0</v>
      </c>
      <c r="K31" s="1373"/>
      <c r="L31" s="848">
        <f t="shared" si="0"/>
        <v>30.114000000000001</v>
      </c>
      <c r="M31" s="883"/>
      <c r="N31" s="749"/>
      <c r="O31" s="876"/>
      <c r="P31" s="876"/>
      <c r="Q31" s="876"/>
      <c r="R31" s="876"/>
      <c r="S31" s="876"/>
      <c r="T31" s="876"/>
      <c r="U31" s="876"/>
      <c r="V31" s="876"/>
      <c r="W31" s="876"/>
      <c r="X31" s="876"/>
      <c r="Y31" s="876"/>
      <c r="Z31" s="876"/>
      <c r="AA31" s="876"/>
      <c r="AB31" s="876"/>
      <c r="AC31" s="876"/>
      <c r="AD31" s="876"/>
      <c r="AE31" s="876"/>
      <c r="AF31" s="876"/>
      <c r="AG31" s="876"/>
      <c r="AH31" s="876"/>
      <c r="AI31" s="876"/>
      <c r="AJ31" s="876"/>
      <c r="AK31" s="876"/>
      <c r="AL31" s="876"/>
      <c r="AM31" s="876"/>
      <c r="AN31" s="876"/>
      <c r="AO31" s="876"/>
      <c r="AP31" s="876"/>
      <c r="AQ31" s="876"/>
      <c r="AR31" s="876"/>
      <c r="AS31" s="876"/>
      <c r="AT31" s="876"/>
      <c r="AU31" s="876"/>
      <c r="AV31" s="876"/>
      <c r="AW31" s="876"/>
      <c r="AX31" s="876"/>
      <c r="AY31" s="876"/>
      <c r="AZ31" s="876"/>
      <c r="BA31" s="876"/>
      <c r="BB31" s="876"/>
      <c r="BC31" s="876"/>
      <c r="BD31" s="876"/>
      <c r="BE31" s="876"/>
      <c r="BF31" s="876"/>
      <c r="BG31" s="876"/>
      <c r="BH31" s="876"/>
      <c r="BI31" s="876"/>
      <c r="BJ31" s="876"/>
      <c r="BK31" s="876"/>
      <c r="BL31" s="876"/>
      <c r="BM31" s="876"/>
      <c r="BN31" s="876"/>
      <c r="BO31" s="876"/>
      <c r="BP31" s="876"/>
      <c r="BQ31" s="876"/>
      <c r="BR31" s="876"/>
      <c r="BS31" s="876"/>
      <c r="BT31" s="876"/>
      <c r="BU31" s="876"/>
      <c r="BV31" s="876"/>
      <c r="BW31" s="876"/>
      <c r="BX31" s="876"/>
      <c r="BY31" s="876"/>
      <c r="BZ31" s="876"/>
      <c r="CA31" s="876"/>
      <c r="CB31" s="876"/>
      <c r="CC31" s="876"/>
      <c r="CD31" s="876"/>
      <c r="CE31" s="876"/>
      <c r="CF31" s="876"/>
      <c r="CG31" s="876"/>
      <c r="CH31" s="876"/>
      <c r="CI31" s="876"/>
      <c r="CJ31" s="876"/>
      <c r="CK31" s="876"/>
      <c r="CL31" s="876"/>
      <c r="CM31" s="876"/>
      <c r="CN31" s="876"/>
      <c r="CO31" s="876"/>
      <c r="CP31" s="876"/>
      <c r="CQ31" s="876"/>
      <c r="CR31" s="876"/>
      <c r="CS31" s="876"/>
      <c r="CT31" s="876"/>
      <c r="CU31" s="876"/>
      <c r="CV31" s="876"/>
      <c r="CW31" s="876"/>
      <c r="CX31" s="876"/>
      <c r="CY31" s="876"/>
      <c r="CZ31" s="876"/>
      <c r="DA31" s="876"/>
      <c r="DB31" s="876"/>
      <c r="DC31" s="876"/>
      <c r="DD31" s="876"/>
      <c r="DE31" s="876"/>
      <c r="DF31" s="876"/>
      <c r="DG31" s="876"/>
      <c r="DH31" s="876"/>
      <c r="DI31" s="876"/>
      <c r="DJ31" s="876"/>
      <c r="DK31" s="876"/>
      <c r="DL31" s="876"/>
      <c r="DM31" s="876"/>
      <c r="DN31" s="876"/>
      <c r="DO31" s="876"/>
      <c r="DP31" s="876"/>
      <c r="DQ31" s="876"/>
      <c r="DR31" s="876"/>
      <c r="DS31" s="876"/>
      <c r="DT31" s="876"/>
      <c r="DU31" s="876"/>
      <c r="DV31" s="876"/>
      <c r="DW31" s="876"/>
      <c r="DX31" s="876"/>
      <c r="DY31" s="876"/>
      <c r="DZ31" s="876"/>
      <c r="EA31" s="876"/>
      <c r="EB31" s="876"/>
      <c r="EC31" s="876"/>
      <c r="ED31" s="876"/>
      <c r="EE31" s="876"/>
      <c r="EF31" s="876"/>
      <c r="EG31" s="876"/>
      <c r="EH31" s="876"/>
      <c r="EI31" s="876"/>
      <c r="EJ31" s="876"/>
      <c r="EK31" s="876"/>
      <c r="EL31" s="876"/>
      <c r="EM31" s="876"/>
      <c r="EN31" s="876"/>
      <c r="EO31" s="876"/>
      <c r="EP31" s="876"/>
      <c r="EQ31" s="876"/>
      <c r="ER31" s="876"/>
      <c r="ES31" s="876"/>
      <c r="ET31" s="876"/>
      <c r="EU31" s="876"/>
      <c r="EV31" s="876"/>
      <c r="EW31" s="876"/>
      <c r="EX31" s="876"/>
      <c r="EY31" s="876"/>
      <c r="EZ31" s="876"/>
      <c r="FA31" s="876"/>
      <c r="FB31" s="876"/>
      <c r="FC31" s="876"/>
      <c r="FD31" s="876"/>
      <c r="FE31" s="876"/>
      <c r="FF31" s="876"/>
      <c r="FG31" s="876"/>
      <c r="FH31" s="876"/>
      <c r="FI31" s="876"/>
      <c r="FJ31" s="876"/>
      <c r="FK31" s="876"/>
      <c r="FL31" s="876"/>
      <c r="FM31" s="876"/>
      <c r="FN31" s="876"/>
      <c r="FO31" s="876"/>
      <c r="FP31" s="876"/>
      <c r="FQ31" s="876"/>
      <c r="FR31" s="876"/>
      <c r="FS31" s="876"/>
      <c r="FT31" s="876"/>
      <c r="FU31" s="876"/>
      <c r="FV31" s="876"/>
      <c r="FW31" s="876"/>
      <c r="FX31" s="876"/>
      <c r="FY31" s="876"/>
      <c r="FZ31" s="876"/>
      <c r="GA31" s="876"/>
      <c r="GB31" s="876"/>
      <c r="GC31" s="876"/>
      <c r="GD31" s="876"/>
      <c r="GE31" s="876"/>
      <c r="GF31" s="876"/>
      <c r="GG31" s="876"/>
      <c r="GH31" s="876"/>
      <c r="GI31" s="876"/>
      <c r="GJ31" s="876"/>
      <c r="GK31" s="876"/>
      <c r="GL31" s="876"/>
      <c r="GM31" s="876"/>
      <c r="GN31" s="876"/>
      <c r="GO31" s="876"/>
      <c r="GP31" s="876"/>
      <c r="GQ31" s="876"/>
      <c r="GR31" s="876"/>
      <c r="GS31" s="876"/>
      <c r="GT31" s="876"/>
      <c r="GU31" s="876"/>
      <c r="GV31" s="876"/>
      <c r="GW31" s="876"/>
      <c r="GX31" s="876"/>
      <c r="GY31" s="876"/>
      <c r="GZ31" s="876"/>
      <c r="HA31" s="876"/>
      <c r="HB31" s="876"/>
      <c r="HC31" s="876"/>
      <c r="HD31" s="876"/>
      <c r="HE31" s="876"/>
      <c r="HF31" s="876"/>
      <c r="HG31" s="876"/>
      <c r="HH31" s="876"/>
      <c r="HI31" s="876"/>
      <c r="HJ31" s="876"/>
      <c r="HK31" s="876"/>
      <c r="HL31" s="876"/>
      <c r="HM31" s="876"/>
      <c r="HN31" s="876"/>
      <c r="HO31" s="876"/>
      <c r="HP31" s="876"/>
      <c r="HQ31" s="876"/>
      <c r="HR31" s="876"/>
      <c r="HS31" s="876"/>
      <c r="HT31" s="876"/>
      <c r="HU31" s="876"/>
      <c r="HV31" s="876"/>
      <c r="HW31" s="876"/>
      <c r="HX31" s="876"/>
      <c r="HY31" s="876"/>
      <c r="HZ31" s="876"/>
      <c r="IA31" s="876"/>
      <c r="IB31" s="876"/>
      <c r="IC31" s="876"/>
      <c r="ID31" s="876"/>
      <c r="IE31" s="876"/>
      <c r="IF31" s="876"/>
      <c r="IG31" s="876"/>
      <c r="IH31" s="876"/>
      <c r="II31" s="876"/>
      <c r="IJ31" s="876"/>
      <c r="IK31" s="876"/>
      <c r="IL31" s="876"/>
      <c r="IM31" s="876"/>
      <c r="IN31" s="876"/>
      <c r="IO31" s="876"/>
      <c r="IP31" s="876"/>
      <c r="IQ31" s="876"/>
      <c r="IR31" s="876"/>
      <c r="IS31" s="876"/>
      <c r="IT31" s="876"/>
      <c r="IU31" s="876"/>
      <c r="IV31" s="876"/>
    </row>
    <row r="32" spans="1:256" ht="16.5" customHeight="1">
      <c r="A32" s="876" t="s">
        <v>392</v>
      </c>
      <c r="B32" s="876"/>
      <c r="C32" s="876" t="s">
        <v>16</v>
      </c>
      <c r="D32" s="852">
        <v>4.2069999999999999</v>
      </c>
      <c r="E32" s="847"/>
      <c r="F32" s="1372">
        <v>12.75</v>
      </c>
      <c r="G32" s="1373"/>
      <c r="H32" s="1372">
        <v>5.6840000000000002</v>
      </c>
      <c r="I32" s="1373"/>
      <c r="J32" s="1372">
        <v>0</v>
      </c>
      <c r="K32" s="1373"/>
      <c r="L32" s="848">
        <f t="shared" si="0"/>
        <v>11.273</v>
      </c>
      <c r="M32" s="883"/>
      <c r="N32" s="876"/>
      <c r="O32" s="876"/>
      <c r="P32" s="876"/>
      <c r="Q32" s="876"/>
      <c r="R32" s="876"/>
      <c r="S32" s="876"/>
      <c r="T32" s="876"/>
      <c r="U32" s="876"/>
      <c r="V32" s="876"/>
      <c r="W32" s="876"/>
      <c r="X32" s="876"/>
      <c r="Y32" s="876"/>
      <c r="Z32" s="876"/>
      <c r="AA32" s="876"/>
      <c r="AB32" s="876"/>
      <c r="AC32" s="876"/>
      <c r="AD32" s="876"/>
      <c r="AE32" s="876"/>
      <c r="AF32" s="876"/>
      <c r="AG32" s="876"/>
      <c r="AH32" s="876"/>
      <c r="AI32" s="876"/>
      <c r="AJ32" s="876"/>
      <c r="AK32" s="876"/>
      <c r="AL32" s="876"/>
      <c r="AM32" s="876"/>
      <c r="AN32" s="876"/>
      <c r="AO32" s="876"/>
      <c r="AP32" s="876"/>
      <c r="AQ32" s="876"/>
      <c r="AR32" s="876"/>
      <c r="AS32" s="876"/>
      <c r="AT32" s="876"/>
      <c r="AU32" s="876"/>
      <c r="AV32" s="876"/>
      <c r="AW32" s="876"/>
      <c r="AX32" s="876"/>
      <c r="AY32" s="876"/>
      <c r="AZ32" s="876"/>
      <c r="BA32" s="876"/>
      <c r="BB32" s="876"/>
      <c r="BC32" s="876"/>
      <c r="BD32" s="876"/>
      <c r="BE32" s="876"/>
      <c r="BF32" s="876"/>
      <c r="BG32" s="876"/>
      <c r="BH32" s="876"/>
      <c r="BI32" s="876"/>
      <c r="BJ32" s="876"/>
      <c r="BK32" s="876"/>
      <c r="BL32" s="876"/>
      <c r="BM32" s="876"/>
      <c r="BN32" s="876"/>
      <c r="BO32" s="876"/>
      <c r="BP32" s="876"/>
      <c r="BQ32" s="876"/>
      <c r="BR32" s="876"/>
      <c r="BS32" s="876"/>
      <c r="BT32" s="876"/>
      <c r="BU32" s="876"/>
      <c r="BV32" s="876"/>
      <c r="BW32" s="876"/>
      <c r="BX32" s="876"/>
      <c r="BY32" s="876"/>
      <c r="BZ32" s="876"/>
      <c r="CA32" s="876"/>
      <c r="CB32" s="876"/>
      <c r="CC32" s="876"/>
      <c r="CD32" s="876"/>
      <c r="CE32" s="876"/>
      <c r="CF32" s="876"/>
      <c r="CG32" s="876"/>
      <c r="CH32" s="876"/>
      <c r="CI32" s="876"/>
      <c r="CJ32" s="876"/>
      <c r="CK32" s="876"/>
      <c r="CL32" s="876"/>
      <c r="CM32" s="876"/>
      <c r="CN32" s="876"/>
      <c r="CO32" s="876"/>
      <c r="CP32" s="876"/>
      <c r="CQ32" s="876"/>
      <c r="CR32" s="876"/>
      <c r="CS32" s="876"/>
      <c r="CT32" s="876"/>
      <c r="CU32" s="876"/>
      <c r="CV32" s="876"/>
      <c r="CW32" s="876"/>
      <c r="CX32" s="876"/>
      <c r="CY32" s="876"/>
      <c r="CZ32" s="876"/>
      <c r="DA32" s="876"/>
      <c r="DB32" s="876"/>
      <c r="DC32" s="876"/>
      <c r="DD32" s="876"/>
      <c r="DE32" s="876"/>
      <c r="DF32" s="876"/>
      <c r="DG32" s="876"/>
      <c r="DH32" s="876"/>
      <c r="DI32" s="876"/>
      <c r="DJ32" s="876"/>
      <c r="DK32" s="876"/>
      <c r="DL32" s="876"/>
      <c r="DM32" s="876"/>
      <c r="DN32" s="876"/>
      <c r="DO32" s="876"/>
      <c r="DP32" s="876"/>
      <c r="DQ32" s="876"/>
      <c r="DR32" s="876"/>
      <c r="DS32" s="876"/>
      <c r="DT32" s="876"/>
      <c r="DU32" s="876"/>
      <c r="DV32" s="876"/>
      <c r="DW32" s="876"/>
      <c r="DX32" s="876"/>
      <c r="DY32" s="876"/>
      <c r="DZ32" s="876"/>
      <c r="EA32" s="876"/>
      <c r="EB32" s="876"/>
      <c r="EC32" s="876"/>
      <c r="ED32" s="876"/>
      <c r="EE32" s="876"/>
      <c r="EF32" s="876"/>
      <c r="EG32" s="876"/>
      <c r="EH32" s="876"/>
      <c r="EI32" s="876"/>
      <c r="EJ32" s="876"/>
      <c r="EK32" s="876"/>
      <c r="EL32" s="876"/>
      <c r="EM32" s="876"/>
      <c r="EN32" s="876"/>
      <c r="EO32" s="876"/>
      <c r="EP32" s="876"/>
      <c r="EQ32" s="876"/>
      <c r="ER32" s="876"/>
      <c r="ES32" s="876"/>
      <c r="ET32" s="876"/>
      <c r="EU32" s="876"/>
      <c r="EV32" s="876"/>
      <c r="EW32" s="876"/>
      <c r="EX32" s="876"/>
      <c r="EY32" s="876"/>
      <c r="EZ32" s="876"/>
      <c r="FA32" s="876"/>
      <c r="FB32" s="876"/>
      <c r="FC32" s="876"/>
      <c r="FD32" s="876"/>
      <c r="FE32" s="876"/>
      <c r="FF32" s="876"/>
      <c r="FG32" s="876"/>
      <c r="FH32" s="876"/>
      <c r="FI32" s="876"/>
      <c r="FJ32" s="876"/>
      <c r="FK32" s="876"/>
      <c r="FL32" s="876"/>
      <c r="FM32" s="876"/>
      <c r="FN32" s="876"/>
      <c r="FO32" s="876"/>
      <c r="FP32" s="876"/>
      <c r="FQ32" s="876"/>
      <c r="FR32" s="876"/>
      <c r="FS32" s="876"/>
      <c r="FT32" s="876"/>
      <c r="FU32" s="876"/>
      <c r="FV32" s="876"/>
      <c r="FW32" s="876"/>
      <c r="FX32" s="876"/>
      <c r="FY32" s="876"/>
      <c r="FZ32" s="876"/>
      <c r="GA32" s="876"/>
      <c r="GB32" s="876"/>
      <c r="GC32" s="876"/>
      <c r="GD32" s="876"/>
      <c r="GE32" s="876"/>
      <c r="GF32" s="876"/>
      <c r="GG32" s="876"/>
      <c r="GH32" s="876"/>
      <c r="GI32" s="876"/>
      <c r="GJ32" s="876"/>
      <c r="GK32" s="876"/>
      <c r="GL32" s="876"/>
      <c r="GM32" s="876"/>
      <c r="GN32" s="876"/>
      <c r="GO32" s="876"/>
      <c r="GP32" s="876"/>
      <c r="GQ32" s="876"/>
      <c r="GR32" s="876"/>
      <c r="GS32" s="876"/>
      <c r="GT32" s="876"/>
      <c r="GU32" s="876"/>
      <c r="GV32" s="876"/>
      <c r="GW32" s="876"/>
      <c r="GX32" s="876"/>
      <c r="GY32" s="876"/>
      <c r="GZ32" s="876"/>
      <c r="HA32" s="876"/>
      <c r="HB32" s="876"/>
      <c r="HC32" s="876"/>
      <c r="HD32" s="876"/>
      <c r="HE32" s="876"/>
      <c r="HF32" s="876"/>
      <c r="HG32" s="876"/>
      <c r="HH32" s="876"/>
      <c r="HI32" s="876"/>
      <c r="HJ32" s="876"/>
      <c r="HK32" s="876"/>
      <c r="HL32" s="876"/>
      <c r="HM32" s="876"/>
      <c r="HN32" s="876"/>
      <c r="HO32" s="876"/>
      <c r="HP32" s="876"/>
      <c r="HQ32" s="876"/>
      <c r="HR32" s="876"/>
      <c r="HS32" s="876"/>
      <c r="HT32" s="876"/>
      <c r="HU32" s="876"/>
      <c r="HV32" s="876"/>
      <c r="HW32" s="876"/>
      <c r="HX32" s="876"/>
      <c r="HY32" s="876"/>
      <c r="HZ32" s="876"/>
      <c r="IA32" s="876"/>
      <c r="IB32" s="876"/>
      <c r="IC32" s="876"/>
      <c r="ID32" s="876"/>
      <c r="IE32" s="876"/>
      <c r="IF32" s="876"/>
      <c r="IG32" s="876"/>
      <c r="IH32" s="876"/>
      <c r="II32" s="876"/>
      <c r="IJ32" s="876"/>
      <c r="IK32" s="876"/>
      <c r="IL32" s="876"/>
      <c r="IM32" s="876"/>
      <c r="IN32" s="876"/>
      <c r="IO32" s="876"/>
      <c r="IP32" s="876"/>
      <c r="IQ32" s="876"/>
      <c r="IR32" s="876"/>
      <c r="IS32" s="876"/>
      <c r="IT32" s="876"/>
      <c r="IU32" s="876"/>
      <c r="IV32" s="876"/>
    </row>
    <row r="33" spans="1:256" ht="15.75" customHeight="1">
      <c r="A33" s="876" t="s">
        <v>393</v>
      </c>
      <c r="B33" s="876"/>
      <c r="C33" s="876"/>
      <c r="D33" s="852">
        <v>0.37</v>
      </c>
      <c r="E33" s="847"/>
      <c r="F33" s="1372">
        <v>1.022</v>
      </c>
      <c r="G33" s="1373"/>
      <c r="H33" s="1372">
        <v>0.82</v>
      </c>
      <c r="I33" s="1373"/>
      <c r="J33" s="1372">
        <v>0</v>
      </c>
      <c r="K33" s="1373"/>
      <c r="L33" s="848">
        <f t="shared" si="0"/>
        <v>0.57199999999999995</v>
      </c>
      <c r="M33" s="883"/>
      <c r="N33" s="876"/>
      <c r="O33" s="876"/>
      <c r="P33" s="876"/>
      <c r="Q33" s="876"/>
      <c r="R33" s="876"/>
      <c r="S33" s="876"/>
      <c r="T33" s="876"/>
      <c r="U33" s="876"/>
      <c r="V33" s="876"/>
      <c r="W33" s="876"/>
      <c r="X33" s="876"/>
      <c r="Y33" s="876"/>
      <c r="Z33" s="876"/>
      <c r="AA33" s="876"/>
      <c r="AB33" s="876"/>
      <c r="AC33" s="876"/>
      <c r="AD33" s="876"/>
      <c r="AE33" s="876"/>
      <c r="AF33" s="876"/>
      <c r="AG33" s="876"/>
      <c r="AH33" s="876"/>
      <c r="AI33" s="876"/>
      <c r="AJ33" s="876"/>
      <c r="AK33" s="876"/>
      <c r="AL33" s="876"/>
      <c r="AM33" s="876"/>
      <c r="AN33" s="876"/>
      <c r="AO33" s="876"/>
      <c r="AP33" s="876"/>
      <c r="AQ33" s="876"/>
      <c r="AR33" s="876"/>
      <c r="AS33" s="876"/>
      <c r="AT33" s="876"/>
      <c r="AU33" s="876"/>
      <c r="AV33" s="876"/>
      <c r="AW33" s="876"/>
      <c r="AX33" s="876"/>
      <c r="AY33" s="876"/>
      <c r="AZ33" s="876"/>
      <c r="BA33" s="876"/>
      <c r="BB33" s="876"/>
      <c r="BC33" s="876"/>
      <c r="BD33" s="876"/>
      <c r="BE33" s="876"/>
      <c r="BF33" s="876"/>
      <c r="BG33" s="876"/>
      <c r="BH33" s="876"/>
      <c r="BI33" s="876"/>
      <c r="BJ33" s="876"/>
      <c r="BK33" s="876"/>
      <c r="BL33" s="876"/>
      <c r="BM33" s="876"/>
      <c r="BN33" s="876"/>
      <c r="BO33" s="876"/>
      <c r="BP33" s="876"/>
      <c r="BQ33" s="876"/>
      <c r="BR33" s="876"/>
      <c r="BS33" s="876"/>
      <c r="BT33" s="876"/>
      <c r="BU33" s="876"/>
      <c r="BV33" s="876"/>
      <c r="BW33" s="876"/>
      <c r="BX33" s="876"/>
      <c r="BY33" s="876"/>
      <c r="BZ33" s="876"/>
      <c r="CA33" s="876"/>
      <c r="CB33" s="876"/>
      <c r="CC33" s="876"/>
      <c r="CD33" s="876"/>
      <c r="CE33" s="876"/>
      <c r="CF33" s="876"/>
      <c r="CG33" s="876"/>
      <c r="CH33" s="876"/>
      <c r="CI33" s="876"/>
      <c r="CJ33" s="876"/>
      <c r="CK33" s="876"/>
      <c r="CL33" s="876"/>
      <c r="CM33" s="876"/>
      <c r="CN33" s="876"/>
      <c r="CO33" s="876"/>
      <c r="CP33" s="876"/>
      <c r="CQ33" s="876"/>
      <c r="CR33" s="876"/>
      <c r="CS33" s="876"/>
      <c r="CT33" s="876"/>
      <c r="CU33" s="876"/>
      <c r="CV33" s="876"/>
      <c r="CW33" s="876"/>
      <c r="CX33" s="876"/>
      <c r="CY33" s="876"/>
      <c r="CZ33" s="876"/>
      <c r="DA33" s="876"/>
      <c r="DB33" s="876"/>
      <c r="DC33" s="876"/>
      <c r="DD33" s="876"/>
      <c r="DE33" s="876"/>
      <c r="DF33" s="876"/>
      <c r="DG33" s="876"/>
      <c r="DH33" s="876"/>
      <c r="DI33" s="876"/>
      <c r="DJ33" s="876"/>
      <c r="DK33" s="876"/>
      <c r="DL33" s="876"/>
      <c r="DM33" s="876"/>
      <c r="DN33" s="876"/>
      <c r="DO33" s="876"/>
      <c r="DP33" s="876"/>
      <c r="DQ33" s="876"/>
      <c r="DR33" s="876"/>
      <c r="DS33" s="876"/>
      <c r="DT33" s="876"/>
      <c r="DU33" s="876"/>
      <c r="DV33" s="876"/>
      <c r="DW33" s="876"/>
      <c r="DX33" s="876"/>
      <c r="DY33" s="876"/>
      <c r="DZ33" s="876"/>
      <c r="EA33" s="876"/>
      <c r="EB33" s="876"/>
      <c r="EC33" s="876"/>
      <c r="ED33" s="876"/>
      <c r="EE33" s="876"/>
      <c r="EF33" s="876"/>
      <c r="EG33" s="876"/>
      <c r="EH33" s="876"/>
      <c r="EI33" s="876"/>
      <c r="EJ33" s="876"/>
      <c r="EK33" s="876"/>
      <c r="EL33" s="876"/>
      <c r="EM33" s="876"/>
      <c r="EN33" s="876"/>
      <c r="EO33" s="876"/>
      <c r="EP33" s="876"/>
      <c r="EQ33" s="876"/>
      <c r="ER33" s="876"/>
      <c r="ES33" s="876"/>
      <c r="ET33" s="876"/>
      <c r="EU33" s="876"/>
      <c r="EV33" s="876"/>
      <c r="EW33" s="876"/>
      <c r="EX33" s="876"/>
      <c r="EY33" s="876"/>
      <c r="EZ33" s="876"/>
      <c r="FA33" s="876"/>
      <c r="FB33" s="876"/>
      <c r="FC33" s="876"/>
      <c r="FD33" s="876"/>
      <c r="FE33" s="876"/>
      <c r="FF33" s="876"/>
      <c r="FG33" s="876"/>
      <c r="FH33" s="876"/>
      <c r="FI33" s="876"/>
      <c r="FJ33" s="876"/>
      <c r="FK33" s="876"/>
      <c r="FL33" s="876"/>
      <c r="FM33" s="876"/>
      <c r="FN33" s="876"/>
      <c r="FO33" s="876"/>
      <c r="FP33" s="876"/>
      <c r="FQ33" s="876"/>
      <c r="FR33" s="876"/>
      <c r="FS33" s="876"/>
      <c r="FT33" s="876"/>
      <c r="FU33" s="876"/>
      <c r="FV33" s="876"/>
      <c r="FW33" s="876"/>
      <c r="FX33" s="876"/>
      <c r="FY33" s="876"/>
      <c r="FZ33" s="876"/>
      <c r="GA33" s="876"/>
      <c r="GB33" s="876"/>
      <c r="GC33" s="876"/>
      <c r="GD33" s="876"/>
      <c r="GE33" s="876"/>
      <c r="GF33" s="876"/>
      <c r="GG33" s="876"/>
      <c r="GH33" s="876"/>
      <c r="GI33" s="876"/>
      <c r="GJ33" s="876"/>
      <c r="GK33" s="876"/>
      <c r="GL33" s="876"/>
      <c r="GM33" s="876"/>
      <c r="GN33" s="876"/>
      <c r="GO33" s="876"/>
      <c r="GP33" s="876"/>
      <c r="GQ33" s="876"/>
      <c r="GR33" s="876"/>
      <c r="GS33" s="876"/>
      <c r="GT33" s="876"/>
      <c r="GU33" s="876"/>
      <c r="GV33" s="876"/>
      <c r="GW33" s="876"/>
      <c r="GX33" s="876"/>
      <c r="GY33" s="876"/>
      <c r="GZ33" s="876"/>
      <c r="HA33" s="876"/>
      <c r="HB33" s="876"/>
      <c r="HC33" s="876"/>
      <c r="HD33" s="876"/>
      <c r="HE33" s="876"/>
      <c r="HF33" s="876"/>
      <c r="HG33" s="876"/>
      <c r="HH33" s="876"/>
      <c r="HI33" s="876"/>
      <c r="HJ33" s="876"/>
      <c r="HK33" s="876"/>
      <c r="HL33" s="876"/>
      <c r="HM33" s="876"/>
      <c r="HN33" s="876"/>
      <c r="HO33" s="876"/>
      <c r="HP33" s="876"/>
      <c r="HQ33" s="876"/>
      <c r="HR33" s="876"/>
      <c r="HS33" s="876"/>
      <c r="HT33" s="876"/>
      <c r="HU33" s="876"/>
      <c r="HV33" s="876"/>
      <c r="HW33" s="876"/>
      <c r="HX33" s="876"/>
      <c r="HY33" s="876"/>
      <c r="HZ33" s="876"/>
      <c r="IA33" s="876"/>
      <c r="IB33" s="876"/>
      <c r="IC33" s="876"/>
      <c r="ID33" s="876"/>
      <c r="IE33" s="876"/>
      <c r="IF33" s="876"/>
      <c r="IG33" s="876"/>
      <c r="IH33" s="876"/>
      <c r="II33" s="876"/>
      <c r="IJ33" s="876"/>
      <c r="IK33" s="876"/>
      <c r="IL33" s="876"/>
      <c r="IM33" s="876"/>
      <c r="IN33" s="876"/>
      <c r="IO33" s="876"/>
      <c r="IP33" s="876"/>
      <c r="IQ33" s="876"/>
      <c r="IR33" s="876"/>
      <c r="IS33" s="876"/>
      <c r="IT33" s="876"/>
      <c r="IU33" s="876"/>
      <c r="IV33" s="876"/>
    </row>
    <row r="34" spans="1:256" ht="15.75" customHeight="1">
      <c r="A34" s="876" t="s">
        <v>394</v>
      </c>
      <c r="B34" s="876"/>
      <c r="C34" s="876"/>
      <c r="D34" s="852">
        <v>515.29399999999998</v>
      </c>
      <c r="E34" s="847"/>
      <c r="F34" s="3310">
        <v>67.274000000000001</v>
      </c>
      <c r="G34" s="1373"/>
      <c r="H34" s="1372">
        <v>61.185000000000002</v>
      </c>
      <c r="I34" s="1373"/>
      <c r="J34" s="1372">
        <v>0</v>
      </c>
      <c r="K34" s="1373"/>
      <c r="L34" s="848">
        <f t="shared" si="0"/>
        <v>521.38300000000004</v>
      </c>
      <c r="M34" s="888"/>
      <c r="N34" s="876"/>
      <c r="O34" s="876"/>
      <c r="P34" s="876"/>
      <c r="Q34" s="876"/>
      <c r="R34" s="876"/>
      <c r="S34" s="876"/>
      <c r="T34" s="876"/>
      <c r="U34" s="876"/>
      <c r="V34" s="876"/>
      <c r="W34" s="876"/>
      <c r="X34" s="876"/>
      <c r="Y34" s="876"/>
      <c r="Z34" s="876"/>
      <c r="AA34" s="876"/>
      <c r="AB34" s="876"/>
      <c r="AC34" s="876"/>
      <c r="AD34" s="876"/>
      <c r="AE34" s="876"/>
      <c r="AF34" s="876"/>
      <c r="AG34" s="876"/>
      <c r="AH34" s="876"/>
      <c r="AI34" s="876"/>
      <c r="AJ34" s="876"/>
      <c r="AK34" s="876"/>
      <c r="AL34" s="876"/>
      <c r="AM34" s="876"/>
      <c r="AN34" s="876"/>
      <c r="AO34" s="876"/>
      <c r="AP34" s="876"/>
      <c r="AQ34" s="876"/>
      <c r="AR34" s="876"/>
      <c r="AS34" s="876"/>
      <c r="AT34" s="876"/>
      <c r="AU34" s="876"/>
      <c r="AV34" s="876"/>
      <c r="AW34" s="876"/>
      <c r="AX34" s="876"/>
      <c r="AY34" s="876"/>
      <c r="AZ34" s="876"/>
      <c r="BA34" s="876"/>
      <c r="BB34" s="876"/>
      <c r="BC34" s="876"/>
      <c r="BD34" s="876"/>
      <c r="BE34" s="876"/>
      <c r="BF34" s="876"/>
      <c r="BG34" s="876"/>
      <c r="BH34" s="876"/>
      <c r="BI34" s="876"/>
      <c r="BJ34" s="876"/>
      <c r="BK34" s="876"/>
      <c r="BL34" s="876"/>
      <c r="BM34" s="876"/>
      <c r="BN34" s="876"/>
      <c r="BO34" s="876"/>
      <c r="BP34" s="876"/>
      <c r="BQ34" s="876"/>
      <c r="BR34" s="876"/>
      <c r="BS34" s="876"/>
      <c r="BT34" s="876"/>
      <c r="BU34" s="876"/>
      <c r="BV34" s="876"/>
      <c r="BW34" s="876"/>
      <c r="BX34" s="876"/>
      <c r="BY34" s="876"/>
      <c r="BZ34" s="876"/>
      <c r="CA34" s="876"/>
      <c r="CB34" s="876"/>
      <c r="CC34" s="876"/>
      <c r="CD34" s="876"/>
      <c r="CE34" s="876"/>
      <c r="CF34" s="876"/>
      <c r="CG34" s="876"/>
      <c r="CH34" s="876"/>
      <c r="CI34" s="876"/>
      <c r="CJ34" s="876"/>
      <c r="CK34" s="876"/>
      <c r="CL34" s="876"/>
      <c r="CM34" s="876"/>
      <c r="CN34" s="876"/>
      <c r="CO34" s="876"/>
      <c r="CP34" s="876"/>
      <c r="CQ34" s="876"/>
      <c r="CR34" s="876"/>
      <c r="CS34" s="876"/>
      <c r="CT34" s="876"/>
      <c r="CU34" s="876"/>
      <c r="CV34" s="876"/>
      <c r="CW34" s="876"/>
      <c r="CX34" s="876"/>
      <c r="CY34" s="876"/>
      <c r="CZ34" s="876"/>
      <c r="DA34" s="876"/>
      <c r="DB34" s="876"/>
      <c r="DC34" s="876"/>
      <c r="DD34" s="876"/>
      <c r="DE34" s="876"/>
      <c r="DF34" s="876"/>
      <c r="DG34" s="876"/>
      <c r="DH34" s="876"/>
      <c r="DI34" s="876"/>
      <c r="DJ34" s="876"/>
      <c r="DK34" s="876"/>
      <c r="DL34" s="876"/>
      <c r="DM34" s="876"/>
      <c r="DN34" s="876"/>
      <c r="DO34" s="876"/>
      <c r="DP34" s="876"/>
      <c r="DQ34" s="876"/>
      <c r="DR34" s="876"/>
      <c r="DS34" s="876"/>
      <c r="DT34" s="876"/>
      <c r="DU34" s="876"/>
      <c r="DV34" s="876"/>
      <c r="DW34" s="876"/>
      <c r="DX34" s="876"/>
      <c r="DY34" s="876"/>
      <c r="DZ34" s="876"/>
      <c r="EA34" s="876"/>
      <c r="EB34" s="876"/>
      <c r="EC34" s="876"/>
      <c r="ED34" s="876"/>
      <c r="EE34" s="876"/>
      <c r="EF34" s="876"/>
      <c r="EG34" s="876"/>
      <c r="EH34" s="876"/>
      <c r="EI34" s="876"/>
      <c r="EJ34" s="876"/>
      <c r="EK34" s="876"/>
      <c r="EL34" s="876"/>
      <c r="EM34" s="876"/>
      <c r="EN34" s="876"/>
      <c r="EO34" s="876"/>
      <c r="EP34" s="876"/>
      <c r="EQ34" s="876"/>
      <c r="ER34" s="876"/>
      <c r="ES34" s="876"/>
      <c r="ET34" s="876"/>
      <c r="EU34" s="876"/>
      <c r="EV34" s="876"/>
      <c r="EW34" s="876"/>
      <c r="EX34" s="876"/>
      <c r="EY34" s="876"/>
      <c r="EZ34" s="876"/>
      <c r="FA34" s="876"/>
      <c r="FB34" s="876"/>
      <c r="FC34" s="876"/>
      <c r="FD34" s="876"/>
      <c r="FE34" s="876"/>
      <c r="FF34" s="876"/>
      <c r="FG34" s="876"/>
      <c r="FH34" s="876"/>
      <c r="FI34" s="876"/>
      <c r="FJ34" s="876"/>
      <c r="FK34" s="876"/>
      <c r="FL34" s="876"/>
      <c r="FM34" s="876"/>
      <c r="FN34" s="876"/>
      <c r="FO34" s="876"/>
      <c r="FP34" s="876"/>
      <c r="FQ34" s="876"/>
      <c r="FR34" s="876"/>
      <c r="FS34" s="876"/>
      <c r="FT34" s="876"/>
      <c r="FU34" s="876"/>
      <c r="FV34" s="876"/>
      <c r="FW34" s="876"/>
      <c r="FX34" s="876"/>
      <c r="FY34" s="876"/>
      <c r="FZ34" s="876"/>
      <c r="GA34" s="876"/>
      <c r="GB34" s="876"/>
      <c r="GC34" s="876"/>
      <c r="GD34" s="876"/>
      <c r="GE34" s="876"/>
      <c r="GF34" s="876"/>
      <c r="GG34" s="876"/>
      <c r="GH34" s="876"/>
      <c r="GI34" s="876"/>
      <c r="GJ34" s="876"/>
      <c r="GK34" s="876"/>
      <c r="GL34" s="876"/>
      <c r="GM34" s="876"/>
      <c r="GN34" s="876"/>
      <c r="GO34" s="876"/>
      <c r="GP34" s="876"/>
      <c r="GQ34" s="876"/>
      <c r="GR34" s="876"/>
      <c r="GS34" s="876"/>
      <c r="GT34" s="876"/>
      <c r="GU34" s="876"/>
      <c r="GV34" s="876"/>
      <c r="GW34" s="876"/>
      <c r="GX34" s="876"/>
      <c r="GY34" s="876"/>
      <c r="GZ34" s="876"/>
      <c r="HA34" s="876"/>
      <c r="HB34" s="876"/>
      <c r="HC34" s="876"/>
      <c r="HD34" s="876"/>
      <c r="HE34" s="876"/>
      <c r="HF34" s="876"/>
      <c r="HG34" s="876"/>
      <c r="HH34" s="876"/>
      <c r="HI34" s="876"/>
      <c r="HJ34" s="876"/>
      <c r="HK34" s="876"/>
      <c r="HL34" s="876"/>
      <c r="HM34" s="876"/>
      <c r="HN34" s="876"/>
      <c r="HO34" s="876"/>
      <c r="HP34" s="876"/>
      <c r="HQ34" s="876"/>
      <c r="HR34" s="876"/>
      <c r="HS34" s="876"/>
      <c r="HT34" s="876"/>
      <c r="HU34" s="876"/>
      <c r="HV34" s="876"/>
      <c r="HW34" s="876"/>
      <c r="HX34" s="876"/>
      <c r="HY34" s="876"/>
      <c r="HZ34" s="876"/>
      <c r="IA34" s="876"/>
      <c r="IB34" s="876"/>
      <c r="IC34" s="876"/>
      <c r="ID34" s="876"/>
      <c r="IE34" s="876"/>
      <c r="IF34" s="876"/>
      <c r="IG34" s="876"/>
      <c r="IH34" s="876"/>
      <c r="II34" s="876"/>
      <c r="IJ34" s="876"/>
      <c r="IK34" s="876"/>
      <c r="IL34" s="876"/>
      <c r="IM34" s="876"/>
      <c r="IN34" s="876"/>
      <c r="IO34" s="876"/>
      <c r="IP34" s="876"/>
      <c r="IQ34" s="876"/>
      <c r="IR34" s="876"/>
      <c r="IS34" s="876"/>
      <c r="IT34" s="876"/>
      <c r="IU34" s="876"/>
      <c r="IV34" s="876"/>
    </row>
    <row r="35" spans="1:256" ht="16.5" customHeight="1">
      <c r="A35" s="876" t="s">
        <v>395</v>
      </c>
      <c r="B35" s="876"/>
      <c r="C35" s="876"/>
      <c r="D35" s="852">
        <v>0.12</v>
      </c>
      <c r="E35" s="847"/>
      <c r="F35" s="1372">
        <v>0</v>
      </c>
      <c r="G35" s="847"/>
      <c r="H35" s="1372">
        <v>0</v>
      </c>
      <c r="I35" s="1373"/>
      <c r="J35" s="1372">
        <v>0</v>
      </c>
      <c r="K35" s="1373"/>
      <c r="L35" s="848">
        <f t="shared" si="0"/>
        <v>0.12</v>
      </c>
      <c r="M35" s="883"/>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6"/>
      <c r="AY35" s="876"/>
      <c r="AZ35" s="876"/>
      <c r="BA35" s="876"/>
      <c r="BB35" s="876"/>
      <c r="BC35" s="876"/>
      <c r="BD35" s="876"/>
      <c r="BE35" s="876"/>
      <c r="BF35" s="876"/>
      <c r="BG35" s="876"/>
      <c r="BH35" s="876"/>
      <c r="BI35" s="876"/>
      <c r="BJ35" s="876"/>
      <c r="BK35" s="876"/>
      <c r="BL35" s="876"/>
      <c r="BM35" s="876"/>
      <c r="BN35" s="876"/>
      <c r="BO35" s="876"/>
      <c r="BP35" s="876"/>
      <c r="BQ35" s="876"/>
      <c r="BR35" s="876"/>
      <c r="BS35" s="876"/>
      <c r="BT35" s="876"/>
      <c r="BU35" s="876"/>
      <c r="BV35" s="876"/>
      <c r="BW35" s="876"/>
      <c r="BX35" s="876"/>
      <c r="BY35" s="876"/>
      <c r="BZ35" s="876"/>
      <c r="CA35" s="876"/>
      <c r="CB35" s="876"/>
      <c r="CC35" s="876"/>
      <c r="CD35" s="876"/>
      <c r="CE35" s="876"/>
      <c r="CF35" s="876"/>
      <c r="CG35" s="876"/>
      <c r="CH35" s="876"/>
      <c r="CI35" s="876"/>
      <c r="CJ35" s="876"/>
      <c r="CK35" s="876"/>
      <c r="CL35" s="876"/>
      <c r="CM35" s="876"/>
      <c r="CN35" s="876"/>
      <c r="CO35" s="876"/>
      <c r="CP35" s="876"/>
      <c r="CQ35" s="876"/>
      <c r="CR35" s="876"/>
      <c r="CS35" s="876"/>
      <c r="CT35" s="876"/>
      <c r="CU35" s="876"/>
      <c r="CV35" s="876"/>
      <c r="CW35" s="876"/>
      <c r="CX35" s="876"/>
      <c r="CY35" s="876"/>
      <c r="CZ35" s="876"/>
      <c r="DA35" s="876"/>
      <c r="DB35" s="876"/>
      <c r="DC35" s="876"/>
      <c r="DD35" s="876"/>
      <c r="DE35" s="876"/>
      <c r="DF35" s="876"/>
      <c r="DG35" s="876"/>
      <c r="DH35" s="876"/>
      <c r="DI35" s="876"/>
      <c r="DJ35" s="876"/>
      <c r="DK35" s="876"/>
      <c r="DL35" s="876"/>
      <c r="DM35" s="876"/>
      <c r="DN35" s="876"/>
      <c r="DO35" s="876"/>
      <c r="DP35" s="876"/>
      <c r="DQ35" s="876"/>
      <c r="DR35" s="876"/>
      <c r="DS35" s="876"/>
      <c r="DT35" s="876"/>
      <c r="DU35" s="876"/>
      <c r="DV35" s="876"/>
      <c r="DW35" s="876"/>
      <c r="DX35" s="876"/>
      <c r="DY35" s="876"/>
      <c r="DZ35" s="876"/>
      <c r="EA35" s="876"/>
      <c r="EB35" s="876"/>
      <c r="EC35" s="876"/>
      <c r="ED35" s="876"/>
      <c r="EE35" s="876"/>
      <c r="EF35" s="876"/>
      <c r="EG35" s="876"/>
      <c r="EH35" s="876"/>
      <c r="EI35" s="876"/>
      <c r="EJ35" s="876"/>
      <c r="EK35" s="876"/>
      <c r="EL35" s="876"/>
      <c r="EM35" s="876"/>
      <c r="EN35" s="876"/>
      <c r="EO35" s="876"/>
      <c r="EP35" s="876"/>
      <c r="EQ35" s="876"/>
      <c r="ER35" s="876"/>
      <c r="ES35" s="876"/>
      <c r="ET35" s="876"/>
      <c r="EU35" s="876"/>
      <c r="EV35" s="876"/>
      <c r="EW35" s="876"/>
      <c r="EX35" s="876"/>
      <c r="EY35" s="876"/>
      <c r="EZ35" s="876"/>
      <c r="FA35" s="876"/>
      <c r="FB35" s="876"/>
      <c r="FC35" s="876"/>
      <c r="FD35" s="876"/>
      <c r="FE35" s="876"/>
      <c r="FF35" s="876"/>
      <c r="FG35" s="876"/>
      <c r="FH35" s="876"/>
      <c r="FI35" s="876"/>
      <c r="FJ35" s="876"/>
      <c r="FK35" s="876"/>
      <c r="FL35" s="876"/>
      <c r="FM35" s="876"/>
      <c r="FN35" s="876"/>
      <c r="FO35" s="876"/>
      <c r="FP35" s="876"/>
      <c r="FQ35" s="876"/>
      <c r="FR35" s="876"/>
      <c r="FS35" s="876"/>
      <c r="FT35" s="876"/>
      <c r="FU35" s="876"/>
      <c r="FV35" s="876"/>
      <c r="FW35" s="876"/>
      <c r="FX35" s="876"/>
      <c r="FY35" s="876"/>
      <c r="FZ35" s="876"/>
      <c r="GA35" s="876"/>
      <c r="GB35" s="876"/>
      <c r="GC35" s="876"/>
      <c r="GD35" s="876"/>
      <c r="GE35" s="876"/>
      <c r="GF35" s="876"/>
      <c r="GG35" s="876"/>
      <c r="GH35" s="876"/>
      <c r="GI35" s="876"/>
      <c r="GJ35" s="876"/>
      <c r="GK35" s="876"/>
      <c r="GL35" s="876"/>
      <c r="GM35" s="876"/>
      <c r="GN35" s="876"/>
      <c r="GO35" s="876"/>
      <c r="GP35" s="876"/>
      <c r="GQ35" s="876"/>
      <c r="GR35" s="876"/>
      <c r="GS35" s="876"/>
      <c r="GT35" s="876"/>
      <c r="GU35" s="876"/>
      <c r="GV35" s="876"/>
      <c r="GW35" s="876"/>
      <c r="GX35" s="876"/>
      <c r="GY35" s="876"/>
      <c r="GZ35" s="876"/>
      <c r="HA35" s="876"/>
      <c r="HB35" s="876"/>
      <c r="HC35" s="876"/>
      <c r="HD35" s="876"/>
      <c r="HE35" s="876"/>
      <c r="HF35" s="876"/>
      <c r="HG35" s="876"/>
      <c r="HH35" s="876"/>
      <c r="HI35" s="876"/>
      <c r="HJ35" s="876"/>
      <c r="HK35" s="876"/>
      <c r="HL35" s="876"/>
      <c r="HM35" s="876"/>
      <c r="HN35" s="876"/>
      <c r="HO35" s="876"/>
      <c r="HP35" s="876"/>
      <c r="HQ35" s="876"/>
      <c r="HR35" s="876"/>
      <c r="HS35" s="876"/>
      <c r="HT35" s="876"/>
      <c r="HU35" s="876"/>
      <c r="HV35" s="876"/>
      <c r="HW35" s="876"/>
      <c r="HX35" s="876"/>
      <c r="HY35" s="876"/>
      <c r="HZ35" s="876"/>
      <c r="IA35" s="876"/>
      <c r="IB35" s="876"/>
      <c r="IC35" s="876"/>
      <c r="ID35" s="876"/>
      <c r="IE35" s="876"/>
      <c r="IF35" s="876"/>
      <c r="IG35" s="876"/>
      <c r="IH35" s="876"/>
      <c r="II35" s="876"/>
      <c r="IJ35" s="876"/>
      <c r="IK35" s="876"/>
      <c r="IL35" s="876"/>
      <c r="IM35" s="876"/>
      <c r="IN35" s="876"/>
      <c r="IO35" s="876"/>
      <c r="IP35" s="876"/>
      <c r="IQ35" s="876"/>
      <c r="IR35" s="876"/>
      <c r="IS35" s="876"/>
      <c r="IT35" s="876"/>
      <c r="IU35" s="876"/>
      <c r="IV35" s="876"/>
    </row>
    <row r="36" spans="1:256" ht="16.5" customHeight="1">
      <c r="A36" s="876" t="s">
        <v>396</v>
      </c>
      <c r="B36" s="876"/>
      <c r="C36" s="876"/>
      <c r="D36" s="852">
        <v>1687.0940000000001</v>
      </c>
      <c r="E36" s="847"/>
      <c r="F36" s="1372">
        <v>50.186999999999998</v>
      </c>
      <c r="G36" s="1373"/>
      <c r="H36" s="1372">
        <v>229.66900000000001</v>
      </c>
      <c r="I36" s="1373"/>
      <c r="J36" s="1372">
        <v>0</v>
      </c>
      <c r="K36" s="1373"/>
      <c r="L36" s="848">
        <f t="shared" si="0"/>
        <v>1507.6120000000001</v>
      </c>
      <c r="M36" s="883"/>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6"/>
      <c r="AY36" s="876"/>
      <c r="AZ36" s="876"/>
      <c r="BA36" s="876"/>
      <c r="BB36" s="876"/>
      <c r="BC36" s="876"/>
      <c r="BD36" s="876"/>
      <c r="BE36" s="876"/>
      <c r="BF36" s="876"/>
      <c r="BG36" s="876"/>
      <c r="BH36" s="876"/>
      <c r="BI36" s="876"/>
      <c r="BJ36" s="876"/>
      <c r="BK36" s="876"/>
      <c r="BL36" s="876"/>
      <c r="BM36" s="876"/>
      <c r="BN36" s="876"/>
      <c r="BO36" s="876"/>
      <c r="BP36" s="876"/>
      <c r="BQ36" s="876"/>
      <c r="BR36" s="876"/>
      <c r="BS36" s="876"/>
      <c r="BT36" s="876"/>
      <c r="BU36" s="876"/>
      <c r="BV36" s="876"/>
      <c r="BW36" s="876"/>
      <c r="BX36" s="876"/>
      <c r="BY36" s="876"/>
      <c r="BZ36" s="876"/>
      <c r="CA36" s="876"/>
      <c r="CB36" s="876"/>
      <c r="CC36" s="876"/>
      <c r="CD36" s="876"/>
      <c r="CE36" s="876"/>
      <c r="CF36" s="876"/>
      <c r="CG36" s="876"/>
      <c r="CH36" s="876"/>
      <c r="CI36" s="876"/>
      <c r="CJ36" s="876"/>
      <c r="CK36" s="876"/>
      <c r="CL36" s="876"/>
      <c r="CM36" s="876"/>
      <c r="CN36" s="876"/>
      <c r="CO36" s="876"/>
      <c r="CP36" s="876"/>
      <c r="CQ36" s="876"/>
      <c r="CR36" s="876"/>
      <c r="CS36" s="876"/>
      <c r="CT36" s="876"/>
      <c r="CU36" s="876"/>
      <c r="CV36" s="876"/>
      <c r="CW36" s="876"/>
      <c r="CX36" s="876"/>
      <c r="CY36" s="876"/>
      <c r="CZ36" s="876"/>
      <c r="DA36" s="876"/>
      <c r="DB36" s="876"/>
      <c r="DC36" s="876"/>
      <c r="DD36" s="876"/>
      <c r="DE36" s="876"/>
      <c r="DF36" s="876"/>
      <c r="DG36" s="876"/>
      <c r="DH36" s="876"/>
      <c r="DI36" s="876"/>
      <c r="DJ36" s="876"/>
      <c r="DK36" s="876"/>
      <c r="DL36" s="876"/>
      <c r="DM36" s="876"/>
      <c r="DN36" s="876"/>
      <c r="DO36" s="876"/>
      <c r="DP36" s="876"/>
      <c r="DQ36" s="876"/>
      <c r="DR36" s="876"/>
      <c r="DS36" s="876"/>
      <c r="DT36" s="876"/>
      <c r="DU36" s="876"/>
      <c r="DV36" s="876"/>
      <c r="DW36" s="876"/>
      <c r="DX36" s="876"/>
      <c r="DY36" s="876"/>
      <c r="DZ36" s="876"/>
      <c r="EA36" s="876"/>
      <c r="EB36" s="876"/>
      <c r="EC36" s="876"/>
      <c r="ED36" s="876"/>
      <c r="EE36" s="876"/>
      <c r="EF36" s="876"/>
      <c r="EG36" s="876"/>
      <c r="EH36" s="876"/>
      <c r="EI36" s="876"/>
      <c r="EJ36" s="876"/>
      <c r="EK36" s="876"/>
      <c r="EL36" s="876"/>
      <c r="EM36" s="876"/>
      <c r="EN36" s="876"/>
      <c r="EO36" s="876"/>
      <c r="EP36" s="876"/>
      <c r="EQ36" s="876"/>
      <c r="ER36" s="876"/>
      <c r="ES36" s="876"/>
      <c r="ET36" s="876"/>
      <c r="EU36" s="876"/>
      <c r="EV36" s="876"/>
      <c r="EW36" s="876"/>
      <c r="EX36" s="876"/>
      <c r="EY36" s="876"/>
      <c r="EZ36" s="876"/>
      <c r="FA36" s="876"/>
      <c r="FB36" s="876"/>
      <c r="FC36" s="876"/>
      <c r="FD36" s="876"/>
      <c r="FE36" s="876"/>
      <c r="FF36" s="876"/>
      <c r="FG36" s="876"/>
      <c r="FH36" s="876"/>
      <c r="FI36" s="876"/>
      <c r="FJ36" s="876"/>
      <c r="FK36" s="876"/>
      <c r="FL36" s="876"/>
      <c r="FM36" s="876"/>
      <c r="FN36" s="876"/>
      <c r="FO36" s="876"/>
      <c r="FP36" s="876"/>
      <c r="FQ36" s="876"/>
      <c r="FR36" s="876"/>
      <c r="FS36" s="876"/>
      <c r="FT36" s="876"/>
      <c r="FU36" s="876"/>
      <c r="FV36" s="876"/>
      <c r="FW36" s="876"/>
      <c r="FX36" s="876"/>
      <c r="FY36" s="876"/>
      <c r="FZ36" s="876"/>
      <c r="GA36" s="876"/>
      <c r="GB36" s="876"/>
      <c r="GC36" s="876"/>
      <c r="GD36" s="876"/>
      <c r="GE36" s="876"/>
      <c r="GF36" s="876"/>
      <c r="GG36" s="876"/>
      <c r="GH36" s="876"/>
      <c r="GI36" s="876"/>
      <c r="GJ36" s="876"/>
      <c r="GK36" s="876"/>
      <c r="GL36" s="876"/>
      <c r="GM36" s="876"/>
      <c r="GN36" s="876"/>
      <c r="GO36" s="876"/>
      <c r="GP36" s="876"/>
      <c r="GQ36" s="876"/>
      <c r="GR36" s="876"/>
      <c r="GS36" s="876"/>
      <c r="GT36" s="876"/>
      <c r="GU36" s="876"/>
      <c r="GV36" s="876"/>
      <c r="GW36" s="876"/>
      <c r="GX36" s="876"/>
      <c r="GY36" s="876"/>
      <c r="GZ36" s="876"/>
      <c r="HA36" s="876"/>
      <c r="HB36" s="876"/>
      <c r="HC36" s="876"/>
      <c r="HD36" s="876"/>
      <c r="HE36" s="876"/>
      <c r="HF36" s="876"/>
      <c r="HG36" s="876"/>
      <c r="HH36" s="876"/>
      <c r="HI36" s="876"/>
      <c r="HJ36" s="876"/>
      <c r="HK36" s="876"/>
      <c r="HL36" s="876"/>
      <c r="HM36" s="876"/>
      <c r="HN36" s="876"/>
      <c r="HO36" s="876"/>
      <c r="HP36" s="876"/>
      <c r="HQ36" s="876"/>
      <c r="HR36" s="876"/>
      <c r="HS36" s="876"/>
      <c r="HT36" s="876"/>
      <c r="HU36" s="876"/>
      <c r="HV36" s="876"/>
      <c r="HW36" s="876"/>
      <c r="HX36" s="876"/>
      <c r="HY36" s="876"/>
      <c r="HZ36" s="876"/>
      <c r="IA36" s="876"/>
      <c r="IB36" s="876"/>
      <c r="IC36" s="876"/>
      <c r="ID36" s="876"/>
      <c r="IE36" s="876"/>
      <c r="IF36" s="876"/>
      <c r="IG36" s="876"/>
      <c r="IH36" s="876"/>
      <c r="II36" s="876"/>
      <c r="IJ36" s="876"/>
      <c r="IK36" s="876"/>
      <c r="IL36" s="876"/>
      <c r="IM36" s="876"/>
      <c r="IN36" s="876"/>
      <c r="IO36" s="876"/>
      <c r="IP36" s="876"/>
      <c r="IQ36" s="876"/>
      <c r="IR36" s="876"/>
      <c r="IS36" s="876"/>
      <c r="IT36" s="876"/>
      <c r="IU36" s="876"/>
      <c r="IV36" s="876"/>
    </row>
    <row r="37" spans="1:256" ht="16.5" customHeight="1">
      <c r="A37" s="876" t="s">
        <v>1169</v>
      </c>
      <c r="B37" s="876"/>
      <c r="C37" s="876"/>
      <c r="D37" s="852">
        <v>26.625</v>
      </c>
      <c r="E37" s="847"/>
      <c r="F37" s="1372">
        <v>3.218</v>
      </c>
      <c r="G37" s="847"/>
      <c r="H37" s="1372">
        <v>0</v>
      </c>
      <c r="I37" s="1373"/>
      <c r="J37" s="1372">
        <v>0</v>
      </c>
      <c r="K37" s="1373"/>
      <c r="L37" s="848">
        <f t="shared" si="0"/>
        <v>29.843</v>
      </c>
      <c r="M37" s="883"/>
      <c r="N37" s="876"/>
      <c r="O37" s="876"/>
      <c r="P37" s="876"/>
      <c r="Q37" s="876"/>
      <c r="R37" s="876"/>
      <c r="S37" s="876"/>
      <c r="T37" s="876"/>
      <c r="U37" s="876"/>
      <c r="V37" s="876"/>
      <c r="W37" s="876"/>
      <c r="X37" s="876"/>
      <c r="Y37" s="876"/>
      <c r="Z37" s="876"/>
      <c r="AA37" s="876"/>
      <c r="AB37" s="876"/>
      <c r="AC37" s="876"/>
      <c r="AD37" s="876"/>
      <c r="AE37" s="876"/>
      <c r="AF37" s="876"/>
      <c r="AG37" s="876"/>
      <c r="AH37" s="876"/>
      <c r="AI37" s="876"/>
      <c r="AJ37" s="876"/>
      <c r="AK37" s="876"/>
      <c r="AL37" s="876"/>
      <c r="AM37" s="876"/>
      <c r="AN37" s="876"/>
      <c r="AO37" s="876"/>
      <c r="AP37" s="876"/>
      <c r="AQ37" s="876"/>
      <c r="AR37" s="876"/>
      <c r="AS37" s="876"/>
      <c r="AT37" s="876"/>
      <c r="AU37" s="876"/>
      <c r="AV37" s="876"/>
      <c r="AW37" s="876"/>
      <c r="AX37" s="876"/>
      <c r="AY37" s="876"/>
      <c r="AZ37" s="876"/>
      <c r="BA37" s="876"/>
      <c r="BB37" s="876"/>
      <c r="BC37" s="876"/>
      <c r="BD37" s="876"/>
      <c r="BE37" s="876"/>
      <c r="BF37" s="876"/>
      <c r="BG37" s="876"/>
      <c r="BH37" s="876"/>
      <c r="BI37" s="876"/>
      <c r="BJ37" s="876"/>
      <c r="BK37" s="876"/>
      <c r="BL37" s="876"/>
      <c r="BM37" s="876"/>
      <c r="BN37" s="876"/>
      <c r="BO37" s="876"/>
      <c r="BP37" s="876"/>
      <c r="BQ37" s="876"/>
      <c r="BR37" s="876"/>
      <c r="BS37" s="876"/>
      <c r="BT37" s="876"/>
      <c r="BU37" s="876"/>
      <c r="BV37" s="876"/>
      <c r="BW37" s="876"/>
      <c r="BX37" s="876"/>
      <c r="BY37" s="876"/>
      <c r="BZ37" s="876"/>
      <c r="CA37" s="876"/>
      <c r="CB37" s="876"/>
      <c r="CC37" s="876"/>
      <c r="CD37" s="876"/>
      <c r="CE37" s="876"/>
      <c r="CF37" s="876"/>
      <c r="CG37" s="876"/>
      <c r="CH37" s="876"/>
      <c r="CI37" s="876"/>
      <c r="CJ37" s="876"/>
      <c r="CK37" s="876"/>
      <c r="CL37" s="876"/>
      <c r="CM37" s="876"/>
      <c r="CN37" s="876"/>
      <c r="CO37" s="876"/>
      <c r="CP37" s="876"/>
      <c r="CQ37" s="876"/>
      <c r="CR37" s="876"/>
      <c r="CS37" s="876"/>
      <c r="CT37" s="876"/>
      <c r="CU37" s="876"/>
      <c r="CV37" s="876"/>
      <c r="CW37" s="876"/>
      <c r="CX37" s="876"/>
      <c r="CY37" s="876"/>
      <c r="CZ37" s="876"/>
      <c r="DA37" s="876"/>
      <c r="DB37" s="876"/>
      <c r="DC37" s="876"/>
      <c r="DD37" s="876"/>
      <c r="DE37" s="876"/>
      <c r="DF37" s="876"/>
      <c r="DG37" s="876"/>
      <c r="DH37" s="876"/>
      <c r="DI37" s="876"/>
      <c r="DJ37" s="876"/>
      <c r="DK37" s="876"/>
      <c r="DL37" s="876"/>
      <c r="DM37" s="876"/>
      <c r="DN37" s="876"/>
      <c r="DO37" s="876"/>
      <c r="DP37" s="876"/>
      <c r="DQ37" s="876"/>
      <c r="DR37" s="876"/>
      <c r="DS37" s="876"/>
      <c r="DT37" s="876"/>
      <c r="DU37" s="876"/>
      <c r="DV37" s="876"/>
      <c r="DW37" s="876"/>
      <c r="DX37" s="876"/>
      <c r="DY37" s="876"/>
      <c r="DZ37" s="876"/>
      <c r="EA37" s="876"/>
      <c r="EB37" s="876"/>
      <c r="EC37" s="876"/>
      <c r="ED37" s="876"/>
      <c r="EE37" s="876"/>
      <c r="EF37" s="876"/>
      <c r="EG37" s="876"/>
      <c r="EH37" s="876"/>
      <c r="EI37" s="876"/>
      <c r="EJ37" s="876"/>
      <c r="EK37" s="876"/>
      <c r="EL37" s="876"/>
      <c r="EM37" s="876"/>
      <c r="EN37" s="876"/>
      <c r="EO37" s="876"/>
      <c r="EP37" s="876"/>
      <c r="EQ37" s="876"/>
      <c r="ER37" s="876"/>
      <c r="ES37" s="876"/>
      <c r="ET37" s="876"/>
      <c r="EU37" s="876"/>
      <c r="EV37" s="876"/>
      <c r="EW37" s="876"/>
      <c r="EX37" s="876"/>
      <c r="EY37" s="876"/>
      <c r="EZ37" s="876"/>
      <c r="FA37" s="876"/>
      <c r="FB37" s="876"/>
      <c r="FC37" s="876"/>
      <c r="FD37" s="876"/>
      <c r="FE37" s="876"/>
      <c r="FF37" s="876"/>
      <c r="FG37" s="876"/>
      <c r="FH37" s="876"/>
      <c r="FI37" s="876"/>
      <c r="FJ37" s="876"/>
      <c r="FK37" s="876"/>
      <c r="FL37" s="876"/>
      <c r="FM37" s="876"/>
      <c r="FN37" s="876"/>
      <c r="FO37" s="876"/>
      <c r="FP37" s="876"/>
      <c r="FQ37" s="876"/>
      <c r="FR37" s="876"/>
      <c r="FS37" s="876"/>
      <c r="FT37" s="876"/>
      <c r="FU37" s="876"/>
      <c r="FV37" s="876"/>
      <c r="FW37" s="876"/>
      <c r="FX37" s="876"/>
      <c r="FY37" s="876"/>
      <c r="FZ37" s="876"/>
      <c r="GA37" s="876"/>
      <c r="GB37" s="876"/>
      <c r="GC37" s="876"/>
      <c r="GD37" s="876"/>
      <c r="GE37" s="876"/>
      <c r="GF37" s="876"/>
      <c r="GG37" s="876"/>
      <c r="GH37" s="876"/>
      <c r="GI37" s="876"/>
      <c r="GJ37" s="876"/>
      <c r="GK37" s="876"/>
      <c r="GL37" s="876"/>
      <c r="GM37" s="876"/>
      <c r="GN37" s="876"/>
      <c r="GO37" s="876"/>
      <c r="GP37" s="876"/>
      <c r="GQ37" s="876"/>
      <c r="GR37" s="876"/>
      <c r="GS37" s="876"/>
      <c r="GT37" s="876"/>
      <c r="GU37" s="876"/>
      <c r="GV37" s="876"/>
      <c r="GW37" s="876"/>
      <c r="GX37" s="876"/>
      <c r="GY37" s="876"/>
      <c r="GZ37" s="876"/>
      <c r="HA37" s="876"/>
      <c r="HB37" s="876"/>
      <c r="HC37" s="876"/>
      <c r="HD37" s="876"/>
      <c r="HE37" s="876"/>
      <c r="HF37" s="876"/>
      <c r="HG37" s="876"/>
      <c r="HH37" s="876"/>
      <c r="HI37" s="876"/>
      <c r="HJ37" s="876"/>
      <c r="HK37" s="876"/>
      <c r="HL37" s="876"/>
      <c r="HM37" s="876"/>
      <c r="HN37" s="876"/>
      <c r="HO37" s="876"/>
      <c r="HP37" s="876"/>
      <c r="HQ37" s="876"/>
      <c r="HR37" s="876"/>
      <c r="HS37" s="876"/>
      <c r="HT37" s="876"/>
      <c r="HU37" s="876"/>
      <c r="HV37" s="876"/>
      <c r="HW37" s="876"/>
      <c r="HX37" s="876"/>
      <c r="HY37" s="876"/>
      <c r="HZ37" s="876"/>
      <c r="IA37" s="876"/>
      <c r="IB37" s="876"/>
      <c r="IC37" s="876"/>
      <c r="ID37" s="876"/>
      <c r="IE37" s="876"/>
      <c r="IF37" s="876"/>
      <c r="IG37" s="876"/>
      <c r="IH37" s="876"/>
      <c r="II37" s="876"/>
      <c r="IJ37" s="876"/>
      <c r="IK37" s="876"/>
      <c r="IL37" s="876"/>
      <c r="IM37" s="876"/>
      <c r="IN37" s="876"/>
      <c r="IO37" s="876"/>
      <c r="IP37" s="876"/>
      <c r="IQ37" s="876"/>
      <c r="IR37" s="876"/>
      <c r="IS37" s="876"/>
      <c r="IT37" s="876"/>
      <c r="IU37" s="876"/>
      <c r="IV37" s="876"/>
    </row>
    <row r="38" spans="1:256" ht="16.5" customHeight="1">
      <c r="A38" s="876" t="s">
        <v>397</v>
      </c>
      <c r="B38" s="876"/>
      <c r="C38" s="876"/>
      <c r="D38" s="852">
        <v>71.769000000000005</v>
      </c>
      <c r="E38" s="847"/>
      <c r="F38" s="1372">
        <v>210.197</v>
      </c>
      <c r="G38" s="1373"/>
      <c r="H38" s="1372">
        <v>202.13300000000001</v>
      </c>
      <c r="I38" s="1373"/>
      <c r="J38" s="1372">
        <v>0</v>
      </c>
      <c r="K38" s="1373"/>
      <c r="L38" s="848">
        <f t="shared" si="0"/>
        <v>79.832999999999998</v>
      </c>
      <c r="M38" s="883"/>
      <c r="N38" s="876"/>
      <c r="O38" s="876"/>
      <c r="P38" s="876"/>
      <c r="Q38" s="876"/>
      <c r="R38" s="876"/>
      <c r="S38" s="876"/>
      <c r="T38" s="876"/>
      <c r="U38" s="876"/>
      <c r="V38" s="876"/>
      <c r="W38" s="876"/>
      <c r="X38" s="876"/>
      <c r="Y38" s="876"/>
      <c r="Z38" s="876"/>
      <c r="AA38" s="876"/>
      <c r="AB38" s="876"/>
      <c r="AC38" s="876"/>
      <c r="AD38" s="876"/>
      <c r="AE38" s="876"/>
      <c r="AF38" s="876"/>
      <c r="AG38" s="876"/>
      <c r="AH38" s="876"/>
      <c r="AI38" s="876"/>
      <c r="AJ38" s="876"/>
      <c r="AK38" s="876"/>
      <c r="AL38" s="876"/>
      <c r="AM38" s="876"/>
      <c r="AN38" s="876"/>
      <c r="AO38" s="876"/>
      <c r="AP38" s="876"/>
      <c r="AQ38" s="876"/>
      <c r="AR38" s="876"/>
      <c r="AS38" s="876"/>
      <c r="AT38" s="876"/>
      <c r="AU38" s="876"/>
      <c r="AV38" s="876"/>
      <c r="AW38" s="876"/>
      <c r="AX38" s="876"/>
      <c r="AY38" s="876"/>
      <c r="AZ38" s="876"/>
      <c r="BA38" s="876"/>
      <c r="BB38" s="876"/>
      <c r="BC38" s="876"/>
      <c r="BD38" s="876"/>
      <c r="BE38" s="876"/>
      <c r="BF38" s="876"/>
      <c r="BG38" s="876"/>
      <c r="BH38" s="876"/>
      <c r="BI38" s="876"/>
      <c r="BJ38" s="876"/>
      <c r="BK38" s="876"/>
      <c r="BL38" s="876"/>
      <c r="BM38" s="876"/>
      <c r="BN38" s="876"/>
      <c r="BO38" s="876"/>
      <c r="BP38" s="876"/>
      <c r="BQ38" s="876"/>
      <c r="BR38" s="876"/>
      <c r="BS38" s="876"/>
      <c r="BT38" s="876"/>
      <c r="BU38" s="876"/>
      <c r="BV38" s="876"/>
      <c r="BW38" s="876"/>
      <c r="BX38" s="876"/>
      <c r="BY38" s="876"/>
      <c r="BZ38" s="876"/>
      <c r="CA38" s="876"/>
      <c r="CB38" s="876"/>
      <c r="CC38" s="876"/>
      <c r="CD38" s="876"/>
      <c r="CE38" s="876"/>
      <c r="CF38" s="876"/>
      <c r="CG38" s="876"/>
      <c r="CH38" s="876"/>
      <c r="CI38" s="876"/>
      <c r="CJ38" s="876"/>
      <c r="CK38" s="876"/>
      <c r="CL38" s="876"/>
      <c r="CM38" s="876"/>
      <c r="CN38" s="876"/>
      <c r="CO38" s="876"/>
      <c r="CP38" s="876"/>
      <c r="CQ38" s="876"/>
      <c r="CR38" s="876"/>
      <c r="CS38" s="876"/>
      <c r="CT38" s="876"/>
      <c r="CU38" s="876"/>
      <c r="CV38" s="876"/>
      <c r="CW38" s="876"/>
      <c r="CX38" s="876"/>
      <c r="CY38" s="876"/>
      <c r="CZ38" s="876"/>
      <c r="DA38" s="876"/>
      <c r="DB38" s="876"/>
      <c r="DC38" s="876"/>
      <c r="DD38" s="876"/>
      <c r="DE38" s="876"/>
      <c r="DF38" s="876"/>
      <c r="DG38" s="876"/>
      <c r="DH38" s="876"/>
      <c r="DI38" s="876"/>
      <c r="DJ38" s="876"/>
      <c r="DK38" s="876"/>
      <c r="DL38" s="876"/>
      <c r="DM38" s="876"/>
      <c r="DN38" s="876"/>
      <c r="DO38" s="876"/>
      <c r="DP38" s="876"/>
      <c r="DQ38" s="876"/>
      <c r="DR38" s="876"/>
      <c r="DS38" s="876"/>
      <c r="DT38" s="876"/>
      <c r="DU38" s="876"/>
      <c r="DV38" s="876"/>
      <c r="DW38" s="876"/>
      <c r="DX38" s="876"/>
      <c r="DY38" s="876"/>
      <c r="DZ38" s="876"/>
      <c r="EA38" s="876"/>
      <c r="EB38" s="876"/>
      <c r="EC38" s="876"/>
      <c r="ED38" s="876"/>
      <c r="EE38" s="876"/>
      <c r="EF38" s="876"/>
      <c r="EG38" s="876"/>
      <c r="EH38" s="876"/>
      <c r="EI38" s="876"/>
      <c r="EJ38" s="876"/>
      <c r="EK38" s="876"/>
      <c r="EL38" s="876"/>
      <c r="EM38" s="876"/>
      <c r="EN38" s="876"/>
      <c r="EO38" s="876"/>
      <c r="EP38" s="876"/>
      <c r="EQ38" s="876"/>
      <c r="ER38" s="876"/>
      <c r="ES38" s="876"/>
      <c r="ET38" s="876"/>
      <c r="EU38" s="876"/>
      <c r="EV38" s="876"/>
      <c r="EW38" s="876"/>
      <c r="EX38" s="876"/>
      <c r="EY38" s="876"/>
      <c r="EZ38" s="876"/>
      <c r="FA38" s="876"/>
      <c r="FB38" s="876"/>
      <c r="FC38" s="876"/>
      <c r="FD38" s="876"/>
      <c r="FE38" s="876"/>
      <c r="FF38" s="876"/>
      <c r="FG38" s="876"/>
      <c r="FH38" s="876"/>
      <c r="FI38" s="876"/>
      <c r="FJ38" s="876"/>
      <c r="FK38" s="876"/>
      <c r="FL38" s="876"/>
      <c r="FM38" s="876"/>
      <c r="FN38" s="876"/>
      <c r="FO38" s="876"/>
      <c r="FP38" s="876"/>
      <c r="FQ38" s="876"/>
      <c r="FR38" s="876"/>
      <c r="FS38" s="876"/>
      <c r="FT38" s="876"/>
      <c r="FU38" s="876"/>
      <c r="FV38" s="876"/>
      <c r="FW38" s="876"/>
      <c r="FX38" s="876"/>
      <c r="FY38" s="876"/>
      <c r="FZ38" s="876"/>
      <c r="GA38" s="876"/>
      <c r="GB38" s="876"/>
      <c r="GC38" s="876"/>
      <c r="GD38" s="876"/>
      <c r="GE38" s="876"/>
      <c r="GF38" s="876"/>
      <c r="GG38" s="876"/>
      <c r="GH38" s="876"/>
      <c r="GI38" s="876"/>
      <c r="GJ38" s="876"/>
      <c r="GK38" s="876"/>
      <c r="GL38" s="876"/>
      <c r="GM38" s="876"/>
      <c r="GN38" s="876"/>
      <c r="GO38" s="876"/>
      <c r="GP38" s="876"/>
      <c r="GQ38" s="876"/>
      <c r="GR38" s="876"/>
      <c r="GS38" s="876"/>
      <c r="GT38" s="876"/>
      <c r="GU38" s="876"/>
      <c r="GV38" s="876"/>
      <c r="GW38" s="876"/>
      <c r="GX38" s="876"/>
      <c r="GY38" s="876"/>
      <c r="GZ38" s="876"/>
      <c r="HA38" s="876"/>
      <c r="HB38" s="876"/>
      <c r="HC38" s="876"/>
      <c r="HD38" s="876"/>
      <c r="HE38" s="876"/>
      <c r="HF38" s="876"/>
      <c r="HG38" s="876"/>
      <c r="HH38" s="876"/>
      <c r="HI38" s="876"/>
      <c r="HJ38" s="876"/>
      <c r="HK38" s="876"/>
      <c r="HL38" s="876"/>
      <c r="HM38" s="876"/>
      <c r="HN38" s="876"/>
      <c r="HO38" s="876"/>
      <c r="HP38" s="876"/>
      <c r="HQ38" s="876"/>
      <c r="HR38" s="876"/>
      <c r="HS38" s="876"/>
      <c r="HT38" s="876"/>
      <c r="HU38" s="876"/>
      <c r="HV38" s="876"/>
      <c r="HW38" s="876"/>
      <c r="HX38" s="876"/>
      <c r="HY38" s="876"/>
      <c r="HZ38" s="876"/>
      <c r="IA38" s="876"/>
      <c r="IB38" s="876"/>
      <c r="IC38" s="876"/>
      <c r="ID38" s="876"/>
      <c r="IE38" s="876"/>
      <c r="IF38" s="876"/>
      <c r="IG38" s="876"/>
      <c r="IH38" s="876"/>
      <c r="II38" s="876"/>
      <c r="IJ38" s="876"/>
      <c r="IK38" s="876"/>
      <c r="IL38" s="876"/>
      <c r="IM38" s="876"/>
      <c r="IN38" s="876"/>
      <c r="IO38" s="876"/>
      <c r="IP38" s="876"/>
      <c r="IQ38" s="876"/>
      <c r="IR38" s="876"/>
      <c r="IS38" s="876"/>
      <c r="IT38" s="876"/>
      <c r="IU38" s="876"/>
      <c r="IV38" s="876"/>
    </row>
    <row r="39" spans="1:256" ht="16.5" customHeight="1">
      <c r="A39" s="876" t="s">
        <v>1170</v>
      </c>
      <c r="B39" s="876"/>
      <c r="C39" s="876"/>
      <c r="D39" s="852">
        <v>221.97900000000001</v>
      </c>
      <c r="E39" s="847"/>
      <c r="F39" s="1372">
        <v>4760.223</v>
      </c>
      <c r="G39" s="1373"/>
      <c r="H39" s="1372">
        <v>4736.6459999999997</v>
      </c>
      <c r="I39" s="1373"/>
      <c r="J39" s="1372">
        <v>0</v>
      </c>
      <c r="K39" s="1373"/>
      <c r="L39" s="848">
        <f t="shared" si="0"/>
        <v>245.55600000000001</v>
      </c>
      <c r="M39" s="883"/>
      <c r="N39" s="876"/>
      <c r="O39" s="876"/>
      <c r="P39" s="876"/>
      <c r="Q39" s="876"/>
      <c r="R39" s="876"/>
      <c r="S39" s="876"/>
      <c r="T39" s="876"/>
      <c r="U39" s="876"/>
      <c r="V39" s="876"/>
      <c r="W39" s="876"/>
      <c r="X39" s="876"/>
      <c r="Y39" s="876"/>
      <c r="Z39" s="876"/>
      <c r="AA39" s="876"/>
      <c r="AB39" s="876"/>
      <c r="AC39" s="876"/>
      <c r="AD39" s="876"/>
      <c r="AE39" s="876"/>
      <c r="AF39" s="876"/>
      <c r="AG39" s="876"/>
      <c r="AH39" s="876"/>
      <c r="AI39" s="876"/>
      <c r="AJ39" s="876"/>
      <c r="AK39" s="876"/>
      <c r="AL39" s="876"/>
      <c r="AM39" s="876"/>
      <c r="AN39" s="876"/>
      <c r="AO39" s="876"/>
      <c r="AP39" s="876"/>
      <c r="AQ39" s="876"/>
      <c r="AR39" s="876"/>
      <c r="AS39" s="876"/>
      <c r="AT39" s="876"/>
      <c r="AU39" s="876"/>
      <c r="AV39" s="876"/>
      <c r="AW39" s="876"/>
      <c r="AX39" s="876"/>
      <c r="AY39" s="876"/>
      <c r="AZ39" s="876"/>
      <c r="BA39" s="876"/>
      <c r="BB39" s="876"/>
      <c r="BC39" s="876"/>
      <c r="BD39" s="876"/>
      <c r="BE39" s="876"/>
      <c r="BF39" s="876"/>
      <c r="BG39" s="876"/>
      <c r="BH39" s="876"/>
      <c r="BI39" s="876"/>
      <c r="BJ39" s="876"/>
      <c r="BK39" s="876"/>
      <c r="BL39" s="876"/>
      <c r="BM39" s="876"/>
      <c r="BN39" s="876"/>
      <c r="BO39" s="876"/>
      <c r="BP39" s="876"/>
      <c r="BQ39" s="876"/>
      <c r="BR39" s="876"/>
      <c r="BS39" s="876"/>
      <c r="BT39" s="876"/>
      <c r="BU39" s="876"/>
      <c r="BV39" s="876"/>
      <c r="BW39" s="876"/>
      <c r="BX39" s="876"/>
      <c r="BY39" s="876"/>
      <c r="BZ39" s="876"/>
      <c r="CA39" s="876"/>
      <c r="CB39" s="876"/>
      <c r="CC39" s="876"/>
      <c r="CD39" s="876"/>
      <c r="CE39" s="876"/>
      <c r="CF39" s="876"/>
      <c r="CG39" s="876"/>
      <c r="CH39" s="876"/>
      <c r="CI39" s="876"/>
      <c r="CJ39" s="876"/>
      <c r="CK39" s="876"/>
      <c r="CL39" s="876"/>
      <c r="CM39" s="876"/>
      <c r="CN39" s="876"/>
      <c r="CO39" s="876"/>
      <c r="CP39" s="876"/>
      <c r="CQ39" s="876"/>
      <c r="CR39" s="876"/>
      <c r="CS39" s="876"/>
      <c r="CT39" s="876"/>
      <c r="CU39" s="876"/>
      <c r="CV39" s="876"/>
      <c r="CW39" s="876"/>
      <c r="CX39" s="876"/>
      <c r="CY39" s="876"/>
      <c r="CZ39" s="876"/>
      <c r="DA39" s="876"/>
      <c r="DB39" s="876"/>
      <c r="DC39" s="876"/>
      <c r="DD39" s="876"/>
      <c r="DE39" s="876"/>
      <c r="DF39" s="876"/>
      <c r="DG39" s="876"/>
      <c r="DH39" s="876"/>
      <c r="DI39" s="876"/>
      <c r="DJ39" s="876"/>
      <c r="DK39" s="876"/>
      <c r="DL39" s="876"/>
      <c r="DM39" s="876"/>
      <c r="DN39" s="876"/>
      <c r="DO39" s="876"/>
      <c r="DP39" s="876"/>
      <c r="DQ39" s="876"/>
      <c r="DR39" s="876"/>
      <c r="DS39" s="876"/>
      <c r="DT39" s="876"/>
      <c r="DU39" s="876"/>
      <c r="DV39" s="876"/>
      <c r="DW39" s="876"/>
      <c r="DX39" s="876"/>
      <c r="DY39" s="876"/>
      <c r="DZ39" s="876"/>
      <c r="EA39" s="876"/>
      <c r="EB39" s="876"/>
      <c r="EC39" s="876"/>
      <c r="ED39" s="876"/>
      <c r="EE39" s="876"/>
      <c r="EF39" s="876"/>
      <c r="EG39" s="876"/>
      <c r="EH39" s="876"/>
      <c r="EI39" s="876"/>
      <c r="EJ39" s="876"/>
      <c r="EK39" s="876"/>
      <c r="EL39" s="876"/>
      <c r="EM39" s="876"/>
      <c r="EN39" s="876"/>
      <c r="EO39" s="876"/>
      <c r="EP39" s="876"/>
      <c r="EQ39" s="876"/>
      <c r="ER39" s="876"/>
      <c r="ES39" s="876"/>
      <c r="ET39" s="876"/>
      <c r="EU39" s="876"/>
      <c r="EV39" s="876"/>
      <c r="EW39" s="876"/>
      <c r="EX39" s="876"/>
      <c r="EY39" s="876"/>
      <c r="EZ39" s="876"/>
      <c r="FA39" s="876"/>
      <c r="FB39" s="876"/>
      <c r="FC39" s="876"/>
      <c r="FD39" s="876"/>
      <c r="FE39" s="876"/>
      <c r="FF39" s="876"/>
      <c r="FG39" s="876"/>
      <c r="FH39" s="876"/>
      <c r="FI39" s="876"/>
      <c r="FJ39" s="876"/>
      <c r="FK39" s="876"/>
      <c r="FL39" s="876"/>
      <c r="FM39" s="876"/>
      <c r="FN39" s="876"/>
      <c r="FO39" s="876"/>
      <c r="FP39" s="876"/>
      <c r="FQ39" s="876"/>
      <c r="FR39" s="876"/>
      <c r="FS39" s="876"/>
      <c r="FT39" s="876"/>
      <c r="FU39" s="876"/>
      <c r="FV39" s="876"/>
      <c r="FW39" s="876"/>
      <c r="FX39" s="876"/>
      <c r="FY39" s="876"/>
      <c r="FZ39" s="876"/>
      <c r="GA39" s="876"/>
      <c r="GB39" s="876"/>
      <c r="GC39" s="876"/>
      <c r="GD39" s="876"/>
      <c r="GE39" s="876"/>
      <c r="GF39" s="876"/>
      <c r="GG39" s="876"/>
      <c r="GH39" s="876"/>
      <c r="GI39" s="876"/>
      <c r="GJ39" s="876"/>
      <c r="GK39" s="876"/>
      <c r="GL39" s="876"/>
      <c r="GM39" s="876"/>
      <c r="GN39" s="876"/>
      <c r="GO39" s="876"/>
      <c r="GP39" s="876"/>
      <c r="GQ39" s="876"/>
      <c r="GR39" s="876"/>
      <c r="GS39" s="876"/>
      <c r="GT39" s="876"/>
      <c r="GU39" s="876"/>
      <c r="GV39" s="876"/>
      <c r="GW39" s="876"/>
      <c r="GX39" s="876"/>
      <c r="GY39" s="876"/>
      <c r="GZ39" s="876"/>
      <c r="HA39" s="876"/>
      <c r="HB39" s="876"/>
      <c r="HC39" s="876"/>
      <c r="HD39" s="876"/>
      <c r="HE39" s="876"/>
      <c r="HF39" s="876"/>
      <c r="HG39" s="876"/>
      <c r="HH39" s="876"/>
      <c r="HI39" s="876"/>
      <c r="HJ39" s="876"/>
      <c r="HK39" s="876"/>
      <c r="HL39" s="876"/>
      <c r="HM39" s="876"/>
      <c r="HN39" s="876"/>
      <c r="HO39" s="876"/>
      <c r="HP39" s="876"/>
      <c r="HQ39" s="876"/>
      <c r="HR39" s="876"/>
      <c r="HS39" s="876"/>
      <c r="HT39" s="876"/>
      <c r="HU39" s="876"/>
      <c r="HV39" s="876"/>
      <c r="HW39" s="876"/>
      <c r="HX39" s="876"/>
      <c r="HY39" s="876"/>
      <c r="HZ39" s="876"/>
      <c r="IA39" s="876"/>
      <c r="IB39" s="876"/>
      <c r="IC39" s="876"/>
      <c r="ID39" s="876"/>
      <c r="IE39" s="876"/>
      <c r="IF39" s="876"/>
      <c r="IG39" s="876"/>
      <c r="IH39" s="876"/>
      <c r="II39" s="876"/>
      <c r="IJ39" s="876"/>
      <c r="IK39" s="876"/>
      <c r="IL39" s="876"/>
      <c r="IM39" s="876"/>
      <c r="IN39" s="876"/>
      <c r="IO39" s="876"/>
      <c r="IP39" s="876"/>
      <c r="IQ39" s="876"/>
      <c r="IR39" s="876"/>
      <c r="IS39" s="876"/>
      <c r="IT39" s="876"/>
      <c r="IU39" s="876"/>
      <c r="IV39" s="876"/>
    </row>
    <row r="40" spans="1:256" ht="15.75" customHeight="1">
      <c r="A40" s="876" t="s">
        <v>398</v>
      </c>
      <c r="B40" s="876"/>
      <c r="C40" s="876"/>
      <c r="D40" s="1372">
        <v>0</v>
      </c>
      <c r="E40" s="847"/>
      <c r="F40" s="1372">
        <v>0</v>
      </c>
      <c r="G40" s="1373"/>
      <c r="H40" s="1372">
        <v>0</v>
      </c>
      <c r="I40" s="1373"/>
      <c r="J40" s="1372">
        <v>0</v>
      </c>
      <c r="K40" s="1373"/>
      <c r="L40" s="848">
        <f t="shared" si="0"/>
        <v>0</v>
      </c>
      <c r="M40" s="883"/>
      <c r="N40" s="876"/>
      <c r="P40" s="876"/>
      <c r="Q40" s="876"/>
      <c r="R40" s="876"/>
      <c r="S40" s="876"/>
      <c r="T40" s="876"/>
      <c r="U40" s="876"/>
      <c r="V40" s="876"/>
      <c r="W40" s="876"/>
      <c r="X40" s="876"/>
      <c r="Y40" s="876"/>
      <c r="Z40" s="876"/>
      <c r="AA40" s="876"/>
      <c r="AB40" s="876"/>
      <c r="AC40" s="876"/>
      <c r="AD40" s="876"/>
      <c r="AE40" s="876"/>
      <c r="AF40" s="876"/>
      <c r="AG40" s="876"/>
      <c r="AH40" s="876"/>
      <c r="AI40" s="876"/>
      <c r="AJ40" s="876"/>
      <c r="AK40" s="876"/>
      <c r="AL40" s="876"/>
      <c r="AM40" s="876"/>
      <c r="AN40" s="876"/>
      <c r="AO40" s="876"/>
      <c r="AP40" s="876"/>
      <c r="AQ40" s="876"/>
      <c r="AR40" s="876"/>
      <c r="AS40" s="876"/>
      <c r="AT40" s="876"/>
      <c r="AU40" s="876"/>
      <c r="AV40" s="876"/>
      <c r="AW40" s="876"/>
      <c r="AX40" s="876"/>
      <c r="AY40" s="876"/>
      <c r="AZ40" s="876"/>
      <c r="BA40" s="876"/>
      <c r="BB40" s="876"/>
      <c r="BC40" s="876"/>
      <c r="BD40" s="876"/>
      <c r="BE40" s="876"/>
      <c r="BF40" s="876"/>
      <c r="BG40" s="876"/>
      <c r="BH40" s="876"/>
      <c r="BI40" s="876"/>
      <c r="BJ40" s="876"/>
      <c r="BK40" s="876"/>
      <c r="BL40" s="876"/>
      <c r="BM40" s="876"/>
      <c r="BN40" s="876"/>
      <c r="BO40" s="876"/>
      <c r="BP40" s="876"/>
      <c r="BQ40" s="876"/>
      <c r="BR40" s="876"/>
      <c r="BS40" s="876"/>
      <c r="BT40" s="876"/>
      <c r="BU40" s="876"/>
      <c r="BV40" s="876"/>
      <c r="BW40" s="876"/>
      <c r="BX40" s="876"/>
      <c r="BY40" s="876"/>
      <c r="BZ40" s="876"/>
      <c r="CA40" s="876"/>
      <c r="CB40" s="876"/>
      <c r="CC40" s="876"/>
      <c r="CD40" s="876"/>
      <c r="CE40" s="876"/>
      <c r="CF40" s="876"/>
      <c r="CG40" s="876"/>
      <c r="CH40" s="876"/>
      <c r="CI40" s="876"/>
      <c r="CJ40" s="876"/>
      <c r="CK40" s="876"/>
      <c r="CL40" s="876"/>
      <c r="CM40" s="876"/>
      <c r="CN40" s="876"/>
      <c r="CO40" s="876"/>
      <c r="CP40" s="876"/>
      <c r="CQ40" s="876"/>
      <c r="CR40" s="876"/>
      <c r="CS40" s="876"/>
      <c r="CT40" s="876"/>
      <c r="CU40" s="876"/>
      <c r="CV40" s="876"/>
      <c r="CW40" s="876"/>
      <c r="CX40" s="876"/>
      <c r="CY40" s="876"/>
      <c r="CZ40" s="876"/>
      <c r="DA40" s="876"/>
      <c r="DB40" s="876"/>
      <c r="DC40" s="876"/>
      <c r="DD40" s="876"/>
      <c r="DE40" s="876"/>
      <c r="DF40" s="876"/>
      <c r="DG40" s="876"/>
      <c r="DH40" s="876"/>
      <c r="DI40" s="876"/>
      <c r="DJ40" s="876"/>
      <c r="DK40" s="876"/>
      <c r="DL40" s="876"/>
      <c r="DM40" s="876"/>
      <c r="DN40" s="876"/>
      <c r="DO40" s="876"/>
      <c r="DP40" s="876"/>
      <c r="DQ40" s="876"/>
      <c r="DR40" s="876"/>
      <c r="DS40" s="876"/>
      <c r="DT40" s="876"/>
      <c r="DU40" s="876"/>
      <c r="DV40" s="876"/>
      <c r="DW40" s="876"/>
      <c r="DX40" s="876"/>
      <c r="DY40" s="876"/>
      <c r="DZ40" s="876"/>
      <c r="EA40" s="876"/>
      <c r="EB40" s="876"/>
      <c r="EC40" s="876"/>
      <c r="ED40" s="876"/>
      <c r="EE40" s="876"/>
      <c r="EF40" s="876"/>
      <c r="EG40" s="876"/>
      <c r="EH40" s="876"/>
      <c r="EI40" s="876"/>
      <c r="EJ40" s="876"/>
      <c r="EK40" s="876"/>
      <c r="EL40" s="876"/>
      <c r="EM40" s="876"/>
      <c r="EN40" s="876"/>
      <c r="EO40" s="876"/>
      <c r="EP40" s="876"/>
      <c r="EQ40" s="876"/>
      <c r="ER40" s="876"/>
      <c r="ES40" s="876"/>
      <c r="ET40" s="876"/>
      <c r="EU40" s="876"/>
      <c r="EV40" s="876"/>
      <c r="EW40" s="876"/>
      <c r="EX40" s="876"/>
      <c r="EY40" s="876"/>
      <c r="EZ40" s="876"/>
      <c r="FA40" s="876"/>
      <c r="FB40" s="876"/>
      <c r="FC40" s="876"/>
      <c r="FD40" s="876"/>
      <c r="FE40" s="876"/>
      <c r="FF40" s="876"/>
      <c r="FG40" s="876"/>
      <c r="FH40" s="876"/>
      <c r="FI40" s="876"/>
      <c r="FJ40" s="876"/>
      <c r="FK40" s="876"/>
      <c r="FL40" s="876"/>
      <c r="FM40" s="876"/>
      <c r="FN40" s="876"/>
      <c r="FO40" s="876"/>
      <c r="FP40" s="876"/>
      <c r="FQ40" s="876"/>
      <c r="FR40" s="876"/>
      <c r="FS40" s="876"/>
      <c r="FT40" s="876"/>
      <c r="FU40" s="876"/>
      <c r="FV40" s="876"/>
      <c r="FW40" s="876"/>
      <c r="FX40" s="876"/>
      <c r="FY40" s="876"/>
      <c r="FZ40" s="876"/>
      <c r="GA40" s="876"/>
      <c r="GB40" s="876"/>
      <c r="GC40" s="876"/>
      <c r="GD40" s="876"/>
      <c r="GE40" s="876"/>
      <c r="GF40" s="876"/>
      <c r="GG40" s="876"/>
      <c r="GH40" s="876"/>
      <c r="GI40" s="876"/>
      <c r="GJ40" s="876"/>
      <c r="GK40" s="876"/>
      <c r="GL40" s="876"/>
      <c r="GM40" s="876"/>
      <c r="GN40" s="876"/>
      <c r="GO40" s="876"/>
      <c r="GP40" s="876"/>
      <c r="GQ40" s="876"/>
      <c r="GR40" s="876"/>
      <c r="GS40" s="876"/>
      <c r="GT40" s="876"/>
      <c r="GU40" s="876"/>
      <c r="GV40" s="876"/>
      <c r="GW40" s="876"/>
      <c r="GX40" s="876"/>
      <c r="GY40" s="876"/>
      <c r="GZ40" s="876"/>
      <c r="HA40" s="876"/>
      <c r="HB40" s="876"/>
      <c r="HC40" s="876"/>
      <c r="HD40" s="876"/>
      <c r="HE40" s="876"/>
      <c r="HF40" s="876"/>
      <c r="HG40" s="876"/>
      <c r="HH40" s="876"/>
      <c r="HI40" s="876"/>
      <c r="HJ40" s="876"/>
      <c r="HK40" s="876"/>
      <c r="HL40" s="876"/>
      <c r="HM40" s="876"/>
      <c r="HN40" s="876"/>
      <c r="HO40" s="876"/>
      <c r="HP40" s="876"/>
      <c r="HQ40" s="876"/>
      <c r="HR40" s="876"/>
      <c r="HS40" s="876"/>
      <c r="HT40" s="876"/>
      <c r="HU40" s="876"/>
      <c r="HV40" s="876"/>
      <c r="HW40" s="876"/>
      <c r="HX40" s="876"/>
      <c r="HY40" s="876"/>
      <c r="HZ40" s="876"/>
      <c r="IA40" s="876"/>
      <c r="IB40" s="876"/>
      <c r="IC40" s="876"/>
      <c r="ID40" s="876"/>
      <c r="IE40" s="876"/>
      <c r="IF40" s="876"/>
      <c r="IG40" s="876"/>
      <c r="IH40" s="876"/>
      <c r="II40" s="876"/>
      <c r="IJ40" s="876"/>
      <c r="IK40" s="876"/>
      <c r="IL40" s="876"/>
      <c r="IM40" s="876"/>
      <c r="IN40" s="876"/>
      <c r="IO40" s="876"/>
      <c r="IP40" s="876"/>
      <c r="IQ40" s="876"/>
      <c r="IR40" s="876"/>
      <c r="IS40" s="876"/>
      <c r="IT40" s="876"/>
      <c r="IU40" s="876"/>
      <c r="IV40" s="876"/>
    </row>
    <row r="41" spans="1:256" ht="15.75" customHeight="1">
      <c r="A41" s="876" t="s">
        <v>1159</v>
      </c>
      <c r="B41" s="876"/>
      <c r="C41" s="876"/>
      <c r="D41" s="852">
        <v>134.52099999999999</v>
      </c>
      <c r="E41" s="847"/>
      <c r="F41" s="1372">
        <v>-36.823999999999998</v>
      </c>
      <c r="G41" s="1373"/>
      <c r="H41" s="1372">
        <v>0</v>
      </c>
      <c r="I41" s="1373"/>
      <c r="J41" s="1372">
        <v>0</v>
      </c>
      <c r="K41" s="1373"/>
      <c r="L41" s="848">
        <f t="shared" si="0"/>
        <v>97.697000000000003</v>
      </c>
      <c r="M41" s="883"/>
      <c r="N41" s="876"/>
      <c r="O41" s="876"/>
      <c r="P41" s="876"/>
      <c r="Q41" s="876"/>
      <c r="R41" s="876"/>
      <c r="S41" s="876"/>
      <c r="T41" s="876"/>
      <c r="U41" s="876"/>
      <c r="V41" s="876"/>
      <c r="W41" s="876"/>
      <c r="X41" s="876"/>
      <c r="Y41" s="876"/>
      <c r="Z41" s="876"/>
      <c r="AA41" s="876"/>
      <c r="AB41" s="876"/>
      <c r="AC41" s="876"/>
      <c r="AD41" s="876"/>
      <c r="AE41" s="876"/>
      <c r="AF41" s="876"/>
      <c r="AG41" s="876"/>
      <c r="AH41" s="876"/>
      <c r="AI41" s="876"/>
      <c r="AJ41" s="876"/>
      <c r="AK41" s="876"/>
      <c r="AL41" s="876"/>
      <c r="AM41" s="876"/>
      <c r="AN41" s="876"/>
      <c r="AO41" s="876"/>
      <c r="AP41" s="876"/>
      <c r="AQ41" s="876"/>
      <c r="AR41" s="876"/>
      <c r="AS41" s="876"/>
      <c r="AT41" s="876"/>
      <c r="AU41" s="876"/>
      <c r="AV41" s="876"/>
      <c r="AW41" s="876"/>
      <c r="AX41" s="876"/>
      <c r="AY41" s="876"/>
      <c r="AZ41" s="876"/>
      <c r="BA41" s="876"/>
      <c r="BB41" s="876"/>
      <c r="BC41" s="876"/>
      <c r="BD41" s="876"/>
      <c r="BE41" s="876"/>
      <c r="BF41" s="876"/>
      <c r="BG41" s="876"/>
      <c r="BH41" s="876"/>
      <c r="BI41" s="876"/>
      <c r="BJ41" s="876"/>
      <c r="BK41" s="876"/>
      <c r="BL41" s="876"/>
      <c r="BM41" s="876"/>
      <c r="BN41" s="876"/>
      <c r="BO41" s="876"/>
      <c r="BP41" s="876"/>
      <c r="BQ41" s="876"/>
      <c r="BR41" s="876"/>
      <c r="BS41" s="876"/>
      <c r="BT41" s="876"/>
      <c r="BU41" s="876"/>
      <c r="BV41" s="876"/>
      <c r="BW41" s="876"/>
      <c r="BX41" s="876"/>
      <c r="BY41" s="876"/>
      <c r="BZ41" s="876"/>
      <c r="CA41" s="876"/>
      <c r="CB41" s="876"/>
      <c r="CC41" s="876"/>
      <c r="CD41" s="876"/>
      <c r="CE41" s="876"/>
      <c r="CF41" s="876"/>
      <c r="CG41" s="876"/>
      <c r="CH41" s="876"/>
      <c r="CI41" s="876"/>
      <c r="CJ41" s="876"/>
      <c r="CK41" s="876"/>
      <c r="CL41" s="876"/>
      <c r="CM41" s="876"/>
      <c r="CN41" s="876"/>
      <c r="CO41" s="876"/>
      <c r="CP41" s="876"/>
      <c r="CQ41" s="876"/>
      <c r="CR41" s="876"/>
      <c r="CS41" s="876"/>
      <c r="CT41" s="876"/>
      <c r="CU41" s="876"/>
      <c r="CV41" s="876"/>
      <c r="CW41" s="876"/>
      <c r="CX41" s="876"/>
      <c r="CY41" s="876"/>
      <c r="CZ41" s="876"/>
      <c r="DA41" s="876"/>
      <c r="DB41" s="876"/>
      <c r="DC41" s="876"/>
      <c r="DD41" s="876"/>
      <c r="DE41" s="876"/>
      <c r="DF41" s="876"/>
      <c r="DG41" s="876"/>
      <c r="DH41" s="876"/>
      <c r="DI41" s="876"/>
      <c r="DJ41" s="876"/>
      <c r="DK41" s="876"/>
      <c r="DL41" s="876"/>
      <c r="DM41" s="876"/>
      <c r="DN41" s="876"/>
      <c r="DO41" s="876"/>
      <c r="DP41" s="876"/>
      <c r="DQ41" s="876"/>
      <c r="DR41" s="876"/>
      <c r="DS41" s="876"/>
      <c r="DT41" s="876"/>
      <c r="DU41" s="876"/>
      <c r="DV41" s="876"/>
      <c r="DW41" s="876"/>
      <c r="DX41" s="876"/>
      <c r="DY41" s="876"/>
      <c r="DZ41" s="876"/>
      <c r="EA41" s="876"/>
      <c r="EB41" s="876"/>
      <c r="EC41" s="876"/>
      <c r="ED41" s="876"/>
      <c r="EE41" s="876"/>
      <c r="EF41" s="876"/>
      <c r="EG41" s="876"/>
      <c r="EH41" s="876"/>
      <c r="EI41" s="876"/>
      <c r="EJ41" s="876"/>
      <c r="EK41" s="876"/>
      <c r="EL41" s="876"/>
      <c r="EM41" s="876"/>
      <c r="EN41" s="876"/>
      <c r="EO41" s="876"/>
      <c r="EP41" s="876"/>
      <c r="EQ41" s="876"/>
      <c r="ER41" s="876"/>
      <c r="ES41" s="876"/>
      <c r="ET41" s="876"/>
      <c r="EU41" s="876"/>
      <c r="EV41" s="876"/>
      <c r="EW41" s="876"/>
      <c r="EX41" s="876"/>
      <c r="EY41" s="876"/>
      <c r="EZ41" s="876"/>
      <c r="FA41" s="876"/>
      <c r="FB41" s="876"/>
      <c r="FC41" s="876"/>
      <c r="FD41" s="876"/>
      <c r="FE41" s="876"/>
      <c r="FF41" s="876"/>
      <c r="FG41" s="876"/>
      <c r="FH41" s="876"/>
      <c r="FI41" s="876"/>
      <c r="FJ41" s="876"/>
      <c r="FK41" s="876"/>
      <c r="FL41" s="876"/>
      <c r="FM41" s="876"/>
      <c r="FN41" s="876"/>
      <c r="FO41" s="876"/>
      <c r="FP41" s="876"/>
      <c r="FQ41" s="876"/>
      <c r="FR41" s="876"/>
      <c r="FS41" s="876"/>
      <c r="FT41" s="876"/>
      <c r="FU41" s="876"/>
      <c r="FV41" s="876"/>
      <c r="FW41" s="876"/>
      <c r="FX41" s="876"/>
      <c r="FY41" s="876"/>
      <c r="FZ41" s="876"/>
      <c r="GA41" s="876"/>
      <c r="GB41" s="876"/>
      <c r="GC41" s="876"/>
      <c r="GD41" s="876"/>
      <c r="GE41" s="876"/>
      <c r="GF41" s="876"/>
      <c r="GG41" s="876"/>
      <c r="GH41" s="876"/>
      <c r="GI41" s="876"/>
      <c r="GJ41" s="876"/>
      <c r="GK41" s="876"/>
      <c r="GL41" s="876"/>
      <c r="GM41" s="876"/>
      <c r="GN41" s="876"/>
      <c r="GO41" s="876"/>
      <c r="GP41" s="876"/>
      <c r="GQ41" s="876"/>
      <c r="GR41" s="876"/>
      <c r="GS41" s="876"/>
      <c r="GT41" s="876"/>
      <c r="GU41" s="876"/>
      <c r="GV41" s="876"/>
      <c r="GW41" s="876"/>
      <c r="GX41" s="876"/>
      <c r="GY41" s="876"/>
      <c r="GZ41" s="876"/>
      <c r="HA41" s="876"/>
      <c r="HB41" s="876"/>
      <c r="HC41" s="876"/>
      <c r="HD41" s="876"/>
      <c r="HE41" s="876"/>
      <c r="HF41" s="876"/>
      <c r="HG41" s="876"/>
      <c r="HH41" s="876"/>
      <c r="HI41" s="876"/>
      <c r="HJ41" s="876"/>
      <c r="HK41" s="876"/>
      <c r="HL41" s="876"/>
      <c r="HM41" s="876"/>
      <c r="HN41" s="876"/>
      <c r="HO41" s="876"/>
      <c r="HP41" s="876"/>
      <c r="HQ41" s="876"/>
      <c r="HR41" s="876"/>
      <c r="HS41" s="876"/>
      <c r="HT41" s="876"/>
      <c r="HU41" s="876"/>
      <c r="HV41" s="876"/>
      <c r="HW41" s="876"/>
      <c r="HX41" s="876"/>
      <c r="HY41" s="876"/>
      <c r="HZ41" s="876"/>
      <c r="IA41" s="876"/>
      <c r="IB41" s="876"/>
      <c r="IC41" s="876"/>
      <c r="ID41" s="876"/>
      <c r="IE41" s="876"/>
      <c r="IF41" s="876"/>
      <c r="IG41" s="876"/>
      <c r="IH41" s="876"/>
      <c r="II41" s="876"/>
      <c r="IJ41" s="876"/>
      <c r="IK41" s="876"/>
      <c r="IL41" s="876"/>
      <c r="IM41" s="876"/>
      <c r="IN41" s="876"/>
      <c r="IO41" s="876"/>
      <c r="IP41" s="876"/>
      <c r="IQ41" s="876"/>
      <c r="IR41" s="876"/>
      <c r="IS41" s="876"/>
      <c r="IT41" s="876"/>
      <c r="IU41" s="876"/>
      <c r="IV41" s="876"/>
    </row>
    <row r="42" spans="1:256" ht="15.75" customHeight="1">
      <c r="A42" s="876" t="s">
        <v>1160</v>
      </c>
      <c r="B42" s="876"/>
      <c r="C42" s="876"/>
      <c r="D42" s="1372">
        <v>-7.6999999999999999E-2</v>
      </c>
      <c r="E42" s="847"/>
      <c r="F42" s="1372">
        <v>5.4710000000000001</v>
      </c>
      <c r="G42" s="1373"/>
      <c r="H42" s="1372">
        <v>6.31</v>
      </c>
      <c r="I42" s="1373"/>
      <c r="J42" s="1372">
        <v>0</v>
      </c>
      <c r="K42" s="1373"/>
      <c r="L42" s="848">
        <f t="shared" si="0"/>
        <v>-0.91600000000000004</v>
      </c>
      <c r="M42" s="883"/>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6"/>
      <c r="AY42" s="876"/>
      <c r="AZ42" s="876"/>
      <c r="BA42" s="876"/>
      <c r="BB42" s="876"/>
      <c r="BC42" s="876"/>
      <c r="BD42" s="876"/>
      <c r="BE42" s="876"/>
      <c r="BF42" s="876"/>
      <c r="BG42" s="876"/>
      <c r="BH42" s="876"/>
      <c r="BI42" s="876"/>
      <c r="BJ42" s="876"/>
      <c r="BK42" s="876"/>
      <c r="BL42" s="876"/>
      <c r="BM42" s="876"/>
      <c r="BN42" s="876"/>
      <c r="BO42" s="876"/>
      <c r="BP42" s="876"/>
      <c r="BQ42" s="876"/>
      <c r="BR42" s="876"/>
      <c r="BS42" s="876"/>
      <c r="BT42" s="876"/>
      <c r="BU42" s="876"/>
      <c r="BV42" s="876"/>
      <c r="BW42" s="876"/>
      <c r="BX42" s="876"/>
      <c r="BY42" s="876"/>
      <c r="BZ42" s="876"/>
      <c r="CA42" s="876"/>
      <c r="CB42" s="876"/>
      <c r="CC42" s="876"/>
      <c r="CD42" s="876"/>
      <c r="CE42" s="876"/>
      <c r="CF42" s="876"/>
      <c r="CG42" s="876"/>
      <c r="CH42" s="876"/>
      <c r="CI42" s="876"/>
      <c r="CJ42" s="876"/>
      <c r="CK42" s="876"/>
      <c r="CL42" s="876"/>
      <c r="CM42" s="876"/>
      <c r="CN42" s="876"/>
      <c r="CO42" s="876"/>
      <c r="CP42" s="876"/>
      <c r="CQ42" s="876"/>
      <c r="CR42" s="876"/>
      <c r="CS42" s="876"/>
      <c r="CT42" s="876"/>
      <c r="CU42" s="876"/>
      <c r="CV42" s="876"/>
      <c r="CW42" s="876"/>
      <c r="CX42" s="876"/>
      <c r="CY42" s="876"/>
      <c r="CZ42" s="876"/>
      <c r="DA42" s="876"/>
      <c r="DB42" s="876"/>
      <c r="DC42" s="876"/>
      <c r="DD42" s="876"/>
      <c r="DE42" s="876"/>
      <c r="DF42" s="876"/>
      <c r="DG42" s="876"/>
      <c r="DH42" s="876"/>
      <c r="DI42" s="876"/>
      <c r="DJ42" s="876"/>
      <c r="DK42" s="876"/>
      <c r="DL42" s="876"/>
      <c r="DM42" s="876"/>
      <c r="DN42" s="876"/>
      <c r="DO42" s="876"/>
      <c r="DP42" s="876"/>
      <c r="DQ42" s="876"/>
      <c r="DR42" s="876"/>
      <c r="DS42" s="876"/>
      <c r="DT42" s="876"/>
      <c r="DU42" s="876"/>
      <c r="DV42" s="876"/>
      <c r="DW42" s="876"/>
      <c r="DX42" s="876"/>
      <c r="DY42" s="876"/>
      <c r="DZ42" s="876"/>
      <c r="EA42" s="876"/>
      <c r="EB42" s="876"/>
      <c r="EC42" s="876"/>
      <c r="ED42" s="876"/>
      <c r="EE42" s="876"/>
      <c r="EF42" s="876"/>
      <c r="EG42" s="876"/>
      <c r="EH42" s="876"/>
      <c r="EI42" s="876"/>
      <c r="EJ42" s="876"/>
      <c r="EK42" s="876"/>
      <c r="EL42" s="876"/>
      <c r="EM42" s="876"/>
      <c r="EN42" s="876"/>
      <c r="EO42" s="876"/>
      <c r="EP42" s="876"/>
      <c r="EQ42" s="876"/>
      <c r="ER42" s="876"/>
      <c r="ES42" s="876"/>
      <c r="ET42" s="876"/>
      <c r="EU42" s="876"/>
      <c r="EV42" s="876"/>
      <c r="EW42" s="876"/>
      <c r="EX42" s="876"/>
      <c r="EY42" s="876"/>
      <c r="EZ42" s="876"/>
      <c r="FA42" s="876"/>
      <c r="FB42" s="876"/>
      <c r="FC42" s="876"/>
      <c r="FD42" s="876"/>
      <c r="FE42" s="876"/>
      <c r="FF42" s="876"/>
      <c r="FG42" s="876"/>
      <c r="FH42" s="876"/>
      <c r="FI42" s="876"/>
      <c r="FJ42" s="876"/>
      <c r="FK42" s="876"/>
      <c r="FL42" s="876"/>
      <c r="FM42" s="876"/>
      <c r="FN42" s="876"/>
      <c r="FO42" s="876"/>
      <c r="FP42" s="876"/>
      <c r="FQ42" s="876"/>
      <c r="FR42" s="876"/>
      <c r="FS42" s="876"/>
      <c r="FT42" s="876"/>
      <c r="FU42" s="876"/>
      <c r="FV42" s="876"/>
      <c r="FW42" s="876"/>
      <c r="FX42" s="876"/>
      <c r="FY42" s="876"/>
      <c r="FZ42" s="876"/>
      <c r="GA42" s="876"/>
      <c r="GB42" s="876"/>
      <c r="GC42" s="876"/>
      <c r="GD42" s="876"/>
      <c r="GE42" s="876"/>
      <c r="GF42" s="876"/>
      <c r="GG42" s="876"/>
      <c r="GH42" s="876"/>
      <c r="GI42" s="876"/>
      <c r="GJ42" s="876"/>
      <c r="GK42" s="876"/>
      <c r="GL42" s="876"/>
      <c r="GM42" s="876"/>
      <c r="GN42" s="876"/>
      <c r="GO42" s="876"/>
      <c r="GP42" s="876"/>
      <c r="GQ42" s="876"/>
      <c r="GR42" s="876"/>
      <c r="GS42" s="876"/>
      <c r="GT42" s="876"/>
      <c r="GU42" s="876"/>
      <c r="GV42" s="876"/>
      <c r="GW42" s="876"/>
      <c r="GX42" s="876"/>
      <c r="GY42" s="876"/>
      <c r="GZ42" s="876"/>
      <c r="HA42" s="876"/>
      <c r="HB42" s="876"/>
      <c r="HC42" s="876"/>
      <c r="HD42" s="876"/>
      <c r="HE42" s="876"/>
      <c r="HF42" s="876"/>
      <c r="HG42" s="876"/>
      <c r="HH42" s="876"/>
      <c r="HI42" s="876"/>
      <c r="HJ42" s="876"/>
      <c r="HK42" s="876"/>
      <c r="HL42" s="876"/>
      <c r="HM42" s="876"/>
      <c r="HN42" s="876"/>
      <c r="HO42" s="876"/>
      <c r="HP42" s="876"/>
      <c r="HQ42" s="876"/>
      <c r="HR42" s="876"/>
      <c r="HS42" s="876"/>
      <c r="HT42" s="876"/>
      <c r="HU42" s="876"/>
      <c r="HV42" s="876"/>
      <c r="HW42" s="876"/>
      <c r="HX42" s="876"/>
      <c r="HY42" s="876"/>
      <c r="HZ42" s="876"/>
      <c r="IA42" s="876"/>
      <c r="IB42" s="876"/>
      <c r="IC42" s="876"/>
      <c r="ID42" s="876"/>
      <c r="IE42" s="876"/>
      <c r="IF42" s="876"/>
      <c r="IG42" s="876"/>
      <c r="IH42" s="876"/>
      <c r="II42" s="876"/>
      <c r="IJ42" s="876"/>
      <c r="IK42" s="876"/>
      <c r="IL42" s="876"/>
      <c r="IM42" s="876"/>
      <c r="IN42" s="876"/>
      <c r="IO42" s="876"/>
      <c r="IP42" s="876"/>
      <c r="IQ42" s="876"/>
      <c r="IR42" s="876"/>
      <c r="IS42" s="876"/>
      <c r="IT42" s="876"/>
      <c r="IU42" s="876"/>
      <c r="IV42" s="876"/>
    </row>
    <row r="43" spans="1:256" ht="18" customHeight="1">
      <c r="A43" s="876" t="s">
        <v>1403</v>
      </c>
      <c r="B43" s="876"/>
      <c r="C43" s="876"/>
      <c r="D43" s="1374">
        <v>0</v>
      </c>
      <c r="E43" s="852"/>
      <c r="F43" s="1372">
        <v>0</v>
      </c>
      <c r="G43" s="852"/>
      <c r="H43" s="1372">
        <v>0</v>
      </c>
      <c r="I43" s="852"/>
      <c r="J43" s="1372">
        <v>0</v>
      </c>
      <c r="K43" s="852"/>
      <c r="L43" s="848">
        <f t="shared" si="0"/>
        <v>0</v>
      </c>
      <c r="M43" s="883"/>
      <c r="N43" s="876"/>
      <c r="O43" s="889"/>
      <c r="P43" s="889"/>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6"/>
      <c r="AY43" s="876"/>
      <c r="AZ43" s="876"/>
      <c r="BA43" s="876"/>
      <c r="BB43" s="876"/>
      <c r="BC43" s="876"/>
      <c r="BD43" s="876"/>
      <c r="BE43" s="876"/>
      <c r="BF43" s="876"/>
      <c r="BG43" s="876"/>
      <c r="BH43" s="876"/>
      <c r="BI43" s="876"/>
      <c r="BJ43" s="876"/>
      <c r="BK43" s="876"/>
      <c r="BL43" s="876"/>
      <c r="BM43" s="876"/>
      <c r="BN43" s="876"/>
      <c r="BO43" s="876"/>
      <c r="BP43" s="876"/>
      <c r="BQ43" s="876"/>
      <c r="BR43" s="876"/>
      <c r="BS43" s="876"/>
      <c r="BT43" s="876"/>
      <c r="BU43" s="876"/>
      <c r="BV43" s="876"/>
      <c r="BW43" s="876"/>
      <c r="BX43" s="876"/>
      <c r="BY43" s="876"/>
      <c r="BZ43" s="876"/>
      <c r="CA43" s="876"/>
      <c r="CB43" s="876"/>
      <c r="CC43" s="876"/>
      <c r="CD43" s="876"/>
      <c r="CE43" s="876"/>
      <c r="CF43" s="876"/>
      <c r="CG43" s="876"/>
      <c r="CH43" s="876"/>
      <c r="CI43" s="876"/>
      <c r="CJ43" s="876"/>
      <c r="CK43" s="876"/>
      <c r="CL43" s="876"/>
      <c r="CM43" s="876"/>
      <c r="CN43" s="876"/>
      <c r="CO43" s="876"/>
      <c r="CP43" s="876"/>
      <c r="CQ43" s="876"/>
      <c r="CR43" s="876"/>
      <c r="CS43" s="876"/>
      <c r="CT43" s="876"/>
      <c r="CU43" s="876"/>
      <c r="CV43" s="876"/>
      <c r="CW43" s="876"/>
      <c r="CX43" s="876"/>
      <c r="CY43" s="876"/>
      <c r="CZ43" s="876"/>
      <c r="DA43" s="876"/>
      <c r="DB43" s="876"/>
      <c r="DC43" s="876"/>
      <c r="DD43" s="876"/>
      <c r="DE43" s="876"/>
      <c r="DF43" s="876"/>
      <c r="DG43" s="876"/>
      <c r="DH43" s="876"/>
      <c r="DI43" s="876"/>
      <c r="DJ43" s="876"/>
      <c r="DK43" s="876"/>
      <c r="DL43" s="876"/>
      <c r="DM43" s="876"/>
      <c r="DN43" s="876"/>
      <c r="DO43" s="876"/>
      <c r="DP43" s="876"/>
      <c r="DQ43" s="876"/>
      <c r="DR43" s="876"/>
      <c r="DS43" s="876"/>
      <c r="DT43" s="876"/>
      <c r="DU43" s="876"/>
      <c r="DV43" s="876"/>
      <c r="DW43" s="876"/>
      <c r="DX43" s="876"/>
      <c r="DY43" s="876"/>
      <c r="DZ43" s="876"/>
      <c r="EA43" s="876"/>
      <c r="EB43" s="876"/>
      <c r="EC43" s="876"/>
      <c r="ED43" s="876"/>
      <c r="EE43" s="876"/>
      <c r="EF43" s="876"/>
      <c r="EG43" s="876"/>
      <c r="EH43" s="876"/>
      <c r="EI43" s="876"/>
      <c r="EJ43" s="876"/>
      <c r="EK43" s="876"/>
      <c r="EL43" s="876"/>
      <c r="EM43" s="876"/>
      <c r="EN43" s="876"/>
      <c r="EO43" s="876"/>
      <c r="EP43" s="876"/>
      <c r="EQ43" s="876"/>
      <c r="ER43" s="876"/>
      <c r="ES43" s="876"/>
      <c r="ET43" s="876"/>
      <c r="EU43" s="876"/>
      <c r="EV43" s="876"/>
      <c r="EW43" s="876"/>
      <c r="EX43" s="876"/>
      <c r="EY43" s="876"/>
      <c r="EZ43" s="876"/>
      <c r="FA43" s="876"/>
      <c r="FB43" s="876"/>
      <c r="FC43" s="876"/>
      <c r="FD43" s="876"/>
      <c r="FE43" s="876"/>
      <c r="FF43" s="876"/>
      <c r="FG43" s="876"/>
      <c r="FH43" s="876"/>
      <c r="FI43" s="876"/>
      <c r="FJ43" s="876"/>
      <c r="FK43" s="876"/>
      <c r="FL43" s="876"/>
      <c r="FM43" s="876"/>
      <c r="FN43" s="876"/>
      <c r="FO43" s="876"/>
      <c r="FP43" s="876"/>
      <c r="FQ43" s="876"/>
      <c r="FR43" s="876"/>
      <c r="FS43" s="876"/>
      <c r="FT43" s="876"/>
      <c r="FU43" s="876"/>
      <c r="FV43" s="876"/>
      <c r="FW43" s="876"/>
      <c r="FX43" s="876"/>
      <c r="FY43" s="876"/>
      <c r="FZ43" s="876"/>
      <c r="GA43" s="876"/>
      <c r="GB43" s="876"/>
      <c r="GC43" s="876"/>
      <c r="GD43" s="876"/>
      <c r="GE43" s="876"/>
      <c r="GF43" s="876"/>
      <c r="GG43" s="876"/>
      <c r="GH43" s="876"/>
      <c r="GI43" s="876"/>
      <c r="GJ43" s="876"/>
      <c r="GK43" s="876"/>
      <c r="GL43" s="876"/>
      <c r="GM43" s="876"/>
      <c r="GN43" s="876"/>
      <c r="GO43" s="876"/>
      <c r="GP43" s="876"/>
      <c r="GQ43" s="876"/>
      <c r="GR43" s="876"/>
      <c r="GS43" s="876"/>
      <c r="GT43" s="876"/>
      <c r="GU43" s="876"/>
      <c r="GV43" s="876"/>
      <c r="GW43" s="876"/>
      <c r="GX43" s="876"/>
      <c r="GY43" s="876"/>
      <c r="GZ43" s="876"/>
      <c r="HA43" s="876"/>
      <c r="HB43" s="876"/>
      <c r="HC43" s="876"/>
      <c r="HD43" s="876"/>
      <c r="HE43" s="876"/>
      <c r="HF43" s="876"/>
      <c r="HG43" s="876"/>
      <c r="HH43" s="876"/>
      <c r="HI43" s="876"/>
      <c r="HJ43" s="876"/>
      <c r="HK43" s="876"/>
      <c r="HL43" s="876"/>
      <c r="HM43" s="876"/>
      <c r="HN43" s="876"/>
      <c r="HO43" s="876"/>
      <c r="HP43" s="876"/>
      <c r="HQ43" s="876"/>
      <c r="HR43" s="876"/>
      <c r="HS43" s="876"/>
      <c r="HT43" s="876"/>
      <c r="HU43" s="876"/>
      <c r="HV43" s="876"/>
      <c r="HW43" s="876"/>
      <c r="HX43" s="876"/>
      <c r="HY43" s="876"/>
      <c r="HZ43" s="876"/>
      <c r="IA43" s="876"/>
      <c r="IB43" s="876"/>
      <c r="IC43" s="876"/>
      <c r="ID43" s="876"/>
      <c r="IE43" s="876"/>
      <c r="IF43" s="876"/>
      <c r="IG43" s="876"/>
      <c r="IH43" s="876"/>
      <c r="II43" s="876"/>
      <c r="IJ43" s="876"/>
      <c r="IK43" s="876"/>
      <c r="IL43" s="876"/>
      <c r="IM43" s="876"/>
      <c r="IN43" s="876"/>
      <c r="IO43" s="876"/>
      <c r="IP43" s="876"/>
      <c r="IQ43" s="876"/>
      <c r="IR43" s="876"/>
      <c r="IS43" s="876"/>
      <c r="IT43" s="876"/>
      <c r="IU43" s="876"/>
      <c r="IV43" s="876"/>
    </row>
    <row r="44" spans="1:256" ht="17.25" customHeight="1">
      <c r="A44" s="872" t="s">
        <v>1387</v>
      </c>
      <c r="B44" s="876"/>
      <c r="C44" s="876"/>
      <c r="D44" s="1375">
        <f>ROUND(SUM(D27:D43),3)</f>
        <v>3492.567</v>
      </c>
      <c r="E44" s="1361"/>
      <c r="F44" s="1375">
        <f>ROUND(SUM(F27:F43),3)</f>
        <v>6386.085</v>
      </c>
      <c r="G44" s="1361"/>
      <c r="H44" s="1375">
        <f>ROUND(SUM(H27:H43),3)</f>
        <v>6443.84</v>
      </c>
      <c r="I44" s="1361"/>
      <c r="J44" s="1375">
        <f>ROUND(SUM(J27:J43),3)</f>
        <v>0</v>
      </c>
      <c r="K44" s="1361"/>
      <c r="L44" s="1375">
        <f>ROUND(SUM(L27:L43),3)</f>
        <v>3434.8119999999999</v>
      </c>
      <c r="M44" s="884"/>
      <c r="N44" s="750"/>
      <c r="O44" s="887"/>
      <c r="P44" s="876"/>
      <c r="Q44" s="876"/>
      <c r="R44" s="876"/>
      <c r="S44" s="876"/>
      <c r="T44" s="876"/>
      <c r="U44" s="876"/>
      <c r="V44" s="876"/>
      <c r="W44" s="876"/>
      <c r="X44" s="876"/>
      <c r="Y44" s="876"/>
      <c r="Z44" s="876"/>
      <c r="AA44" s="876"/>
      <c r="AB44" s="876"/>
      <c r="AC44" s="876"/>
      <c r="AD44" s="876"/>
      <c r="AE44" s="876"/>
      <c r="AF44" s="876"/>
      <c r="AG44" s="876"/>
      <c r="AH44" s="876"/>
      <c r="AI44" s="876"/>
      <c r="AJ44" s="876"/>
      <c r="AK44" s="876"/>
      <c r="AL44" s="876"/>
      <c r="AM44" s="876"/>
      <c r="AN44" s="876"/>
      <c r="AO44" s="876"/>
      <c r="AP44" s="876"/>
      <c r="AQ44" s="876"/>
      <c r="AR44" s="876"/>
      <c r="AS44" s="876"/>
      <c r="AT44" s="876"/>
      <c r="AU44" s="876"/>
      <c r="AV44" s="876"/>
      <c r="AW44" s="876"/>
      <c r="AX44" s="876"/>
      <c r="AY44" s="876"/>
      <c r="AZ44" s="876"/>
      <c r="BA44" s="876"/>
      <c r="BB44" s="876"/>
      <c r="BC44" s="876"/>
      <c r="BD44" s="876"/>
      <c r="BE44" s="876"/>
      <c r="BF44" s="876"/>
      <c r="BG44" s="876"/>
      <c r="BH44" s="876"/>
      <c r="BI44" s="876"/>
      <c r="BJ44" s="876"/>
      <c r="BK44" s="876"/>
      <c r="BL44" s="876"/>
      <c r="BM44" s="876"/>
      <c r="BN44" s="876"/>
      <c r="BO44" s="876"/>
      <c r="BP44" s="876"/>
      <c r="BQ44" s="876"/>
      <c r="BR44" s="876"/>
      <c r="BS44" s="876"/>
      <c r="BT44" s="876"/>
      <c r="BU44" s="876"/>
      <c r="BV44" s="876"/>
      <c r="BW44" s="876"/>
      <c r="BX44" s="876"/>
      <c r="BY44" s="876"/>
      <c r="BZ44" s="876"/>
      <c r="CA44" s="876"/>
      <c r="CB44" s="876"/>
      <c r="CC44" s="876"/>
      <c r="CD44" s="876"/>
      <c r="CE44" s="876"/>
      <c r="CF44" s="876"/>
      <c r="CG44" s="876"/>
      <c r="CH44" s="876"/>
      <c r="CI44" s="876"/>
      <c r="CJ44" s="876"/>
      <c r="CK44" s="876"/>
      <c r="CL44" s="876"/>
      <c r="CM44" s="876"/>
      <c r="CN44" s="876"/>
      <c r="CO44" s="876"/>
      <c r="CP44" s="876"/>
      <c r="CQ44" s="876"/>
      <c r="CR44" s="876"/>
      <c r="CS44" s="876"/>
      <c r="CT44" s="876"/>
      <c r="CU44" s="876"/>
      <c r="CV44" s="876"/>
      <c r="CW44" s="876"/>
      <c r="CX44" s="876"/>
      <c r="CY44" s="876"/>
      <c r="CZ44" s="876"/>
      <c r="DA44" s="876"/>
      <c r="DB44" s="876"/>
      <c r="DC44" s="876"/>
      <c r="DD44" s="876"/>
      <c r="DE44" s="876"/>
      <c r="DF44" s="876"/>
      <c r="DG44" s="876"/>
      <c r="DH44" s="876"/>
      <c r="DI44" s="876"/>
      <c r="DJ44" s="876"/>
      <c r="DK44" s="876"/>
      <c r="DL44" s="876"/>
      <c r="DM44" s="876"/>
      <c r="DN44" s="876"/>
      <c r="DO44" s="876"/>
      <c r="DP44" s="876"/>
      <c r="DQ44" s="876"/>
      <c r="DR44" s="876"/>
      <c r="DS44" s="876"/>
      <c r="DT44" s="876"/>
      <c r="DU44" s="876"/>
      <c r="DV44" s="876"/>
      <c r="DW44" s="876"/>
      <c r="DX44" s="876"/>
      <c r="DY44" s="876"/>
      <c r="DZ44" s="876"/>
      <c r="EA44" s="876"/>
      <c r="EB44" s="876"/>
      <c r="EC44" s="876"/>
      <c r="ED44" s="876"/>
      <c r="EE44" s="876"/>
      <c r="EF44" s="876"/>
      <c r="EG44" s="876"/>
      <c r="EH44" s="876"/>
      <c r="EI44" s="876"/>
      <c r="EJ44" s="876"/>
      <c r="EK44" s="876"/>
      <c r="EL44" s="876"/>
      <c r="EM44" s="876"/>
      <c r="EN44" s="876"/>
      <c r="EO44" s="876"/>
      <c r="EP44" s="876"/>
      <c r="EQ44" s="876"/>
      <c r="ER44" s="876"/>
      <c r="ES44" s="876"/>
      <c r="ET44" s="876"/>
      <c r="EU44" s="876"/>
      <c r="EV44" s="876"/>
      <c r="EW44" s="876"/>
      <c r="EX44" s="876"/>
      <c r="EY44" s="876"/>
      <c r="EZ44" s="876"/>
      <c r="FA44" s="876"/>
      <c r="FB44" s="876"/>
      <c r="FC44" s="876"/>
      <c r="FD44" s="876"/>
      <c r="FE44" s="876"/>
      <c r="FF44" s="876"/>
      <c r="FG44" s="876"/>
      <c r="FH44" s="876"/>
      <c r="FI44" s="876"/>
      <c r="FJ44" s="876"/>
      <c r="FK44" s="876"/>
      <c r="FL44" s="876"/>
      <c r="FM44" s="876"/>
      <c r="FN44" s="876"/>
      <c r="FO44" s="876"/>
      <c r="FP44" s="876"/>
      <c r="FQ44" s="876"/>
      <c r="FR44" s="876"/>
      <c r="FS44" s="876"/>
      <c r="FT44" s="876"/>
      <c r="FU44" s="876"/>
      <c r="FV44" s="876"/>
      <c r="FW44" s="876"/>
      <c r="FX44" s="876"/>
      <c r="FY44" s="876"/>
      <c r="FZ44" s="876"/>
      <c r="GA44" s="876"/>
      <c r="GB44" s="876"/>
      <c r="GC44" s="876"/>
      <c r="GD44" s="876"/>
      <c r="GE44" s="876"/>
      <c r="GF44" s="876"/>
      <c r="GG44" s="876"/>
      <c r="GH44" s="876"/>
      <c r="GI44" s="876"/>
      <c r="GJ44" s="876"/>
      <c r="GK44" s="876"/>
      <c r="GL44" s="876"/>
      <c r="GM44" s="876"/>
      <c r="GN44" s="876"/>
      <c r="GO44" s="876"/>
      <c r="GP44" s="876"/>
      <c r="GQ44" s="876"/>
      <c r="GR44" s="876"/>
      <c r="GS44" s="876"/>
      <c r="GT44" s="876"/>
      <c r="GU44" s="876"/>
      <c r="GV44" s="876"/>
      <c r="GW44" s="876"/>
      <c r="GX44" s="876"/>
      <c r="GY44" s="876"/>
      <c r="GZ44" s="876"/>
      <c r="HA44" s="876"/>
      <c r="HB44" s="876"/>
      <c r="HC44" s="876"/>
      <c r="HD44" s="876"/>
      <c r="HE44" s="876"/>
      <c r="HF44" s="876"/>
      <c r="HG44" s="876"/>
      <c r="HH44" s="876"/>
      <c r="HI44" s="876"/>
      <c r="HJ44" s="876"/>
      <c r="HK44" s="876"/>
      <c r="HL44" s="876"/>
      <c r="HM44" s="876"/>
      <c r="HN44" s="876"/>
      <c r="HO44" s="876"/>
      <c r="HP44" s="876"/>
      <c r="HQ44" s="876"/>
      <c r="HR44" s="876"/>
      <c r="HS44" s="876"/>
      <c r="HT44" s="876"/>
      <c r="HU44" s="876"/>
      <c r="HV44" s="876"/>
      <c r="HW44" s="876"/>
      <c r="HX44" s="876"/>
      <c r="HY44" s="876"/>
      <c r="HZ44" s="876"/>
      <c r="IA44" s="876"/>
      <c r="IB44" s="876"/>
      <c r="IC44" s="876"/>
      <c r="ID44" s="876"/>
      <c r="IE44" s="876"/>
      <c r="IF44" s="876"/>
      <c r="IG44" s="876"/>
      <c r="IH44" s="876"/>
      <c r="II44" s="876"/>
      <c r="IJ44" s="876"/>
      <c r="IK44" s="876"/>
      <c r="IL44" s="876"/>
      <c r="IM44" s="876"/>
      <c r="IN44" s="876"/>
      <c r="IO44" s="876"/>
      <c r="IP44" s="876"/>
      <c r="IQ44" s="876"/>
      <c r="IR44" s="876"/>
      <c r="IS44" s="876"/>
      <c r="IT44" s="876"/>
      <c r="IU44" s="876"/>
      <c r="IV44" s="876"/>
    </row>
    <row r="45" spans="1:256" ht="12" customHeight="1">
      <c r="A45" s="872"/>
      <c r="B45" s="876"/>
      <c r="C45" s="876"/>
      <c r="D45" s="1363" t="s">
        <v>16</v>
      </c>
      <c r="E45" s="848"/>
      <c r="F45" s="1363" t="s">
        <v>16</v>
      </c>
      <c r="G45" s="848"/>
      <c r="H45" s="1363" t="s">
        <v>16</v>
      </c>
      <c r="I45" s="848"/>
      <c r="J45" s="851" t="s">
        <v>16</v>
      </c>
      <c r="K45" s="848"/>
      <c r="L45" s="1363" t="s">
        <v>16</v>
      </c>
      <c r="M45" s="883"/>
      <c r="N45" s="876"/>
      <c r="O45" s="889"/>
      <c r="P45" s="889"/>
      <c r="Q45" s="876"/>
      <c r="R45" s="876"/>
      <c r="S45" s="876"/>
      <c r="T45" s="876"/>
      <c r="U45" s="876"/>
      <c r="V45" s="876"/>
      <c r="W45" s="876"/>
      <c r="X45" s="876"/>
      <c r="Y45" s="876"/>
      <c r="Z45" s="876"/>
      <c r="AA45" s="876"/>
      <c r="AB45" s="876"/>
      <c r="AC45" s="876"/>
      <c r="AD45" s="876"/>
      <c r="AE45" s="876"/>
      <c r="AF45" s="876"/>
      <c r="AG45" s="876"/>
      <c r="AH45" s="876"/>
      <c r="AI45" s="876"/>
      <c r="AJ45" s="876"/>
      <c r="AK45" s="876"/>
      <c r="AL45" s="876"/>
      <c r="AM45" s="876"/>
      <c r="AN45" s="876"/>
      <c r="AO45" s="876"/>
      <c r="AP45" s="876"/>
      <c r="AQ45" s="876"/>
      <c r="AR45" s="876"/>
      <c r="AS45" s="876"/>
      <c r="AT45" s="876"/>
      <c r="AU45" s="876"/>
      <c r="AV45" s="876"/>
      <c r="AW45" s="876"/>
      <c r="AX45" s="876"/>
      <c r="AY45" s="876"/>
      <c r="AZ45" s="876"/>
      <c r="BA45" s="876"/>
      <c r="BB45" s="876"/>
      <c r="BC45" s="876"/>
      <c r="BD45" s="876"/>
      <c r="BE45" s="876"/>
      <c r="BF45" s="876"/>
      <c r="BG45" s="876"/>
      <c r="BH45" s="876"/>
      <c r="BI45" s="876"/>
      <c r="BJ45" s="876"/>
      <c r="BK45" s="876"/>
      <c r="BL45" s="876"/>
      <c r="BM45" s="876"/>
      <c r="BN45" s="876"/>
      <c r="BO45" s="876"/>
      <c r="BP45" s="876"/>
      <c r="BQ45" s="876"/>
      <c r="BR45" s="876"/>
      <c r="BS45" s="876"/>
      <c r="BT45" s="876"/>
      <c r="BU45" s="876"/>
      <c r="BV45" s="876"/>
      <c r="BW45" s="876"/>
      <c r="BX45" s="876"/>
      <c r="BY45" s="876"/>
      <c r="BZ45" s="876"/>
      <c r="CA45" s="876"/>
      <c r="CB45" s="876"/>
      <c r="CC45" s="876"/>
      <c r="CD45" s="876"/>
      <c r="CE45" s="876"/>
      <c r="CF45" s="876"/>
      <c r="CG45" s="876"/>
      <c r="CH45" s="876"/>
      <c r="CI45" s="876"/>
      <c r="CJ45" s="876"/>
      <c r="CK45" s="876"/>
      <c r="CL45" s="876"/>
      <c r="CM45" s="876"/>
      <c r="CN45" s="876"/>
      <c r="CO45" s="876"/>
      <c r="CP45" s="876"/>
      <c r="CQ45" s="876"/>
      <c r="CR45" s="876"/>
      <c r="CS45" s="876"/>
      <c r="CT45" s="876"/>
      <c r="CU45" s="876"/>
      <c r="CV45" s="876"/>
      <c r="CW45" s="876"/>
      <c r="CX45" s="876"/>
      <c r="CY45" s="876"/>
      <c r="CZ45" s="876"/>
      <c r="DA45" s="876"/>
      <c r="DB45" s="876"/>
      <c r="DC45" s="876"/>
      <c r="DD45" s="876"/>
      <c r="DE45" s="876"/>
      <c r="DF45" s="876"/>
      <c r="DG45" s="876"/>
      <c r="DH45" s="876"/>
      <c r="DI45" s="876"/>
      <c r="DJ45" s="876"/>
      <c r="DK45" s="876"/>
      <c r="DL45" s="876"/>
      <c r="DM45" s="876"/>
      <c r="DN45" s="876"/>
      <c r="DO45" s="876"/>
      <c r="DP45" s="876"/>
      <c r="DQ45" s="876"/>
      <c r="DR45" s="876"/>
      <c r="DS45" s="876"/>
      <c r="DT45" s="876"/>
      <c r="DU45" s="876"/>
      <c r="DV45" s="876"/>
      <c r="DW45" s="876"/>
      <c r="DX45" s="876"/>
      <c r="DY45" s="876"/>
      <c r="DZ45" s="876"/>
      <c r="EA45" s="876"/>
      <c r="EB45" s="876"/>
      <c r="EC45" s="876"/>
      <c r="ED45" s="876"/>
      <c r="EE45" s="876"/>
      <c r="EF45" s="876"/>
      <c r="EG45" s="876"/>
      <c r="EH45" s="876"/>
      <c r="EI45" s="876"/>
      <c r="EJ45" s="876"/>
      <c r="EK45" s="876"/>
      <c r="EL45" s="876"/>
      <c r="EM45" s="876"/>
      <c r="EN45" s="876"/>
      <c r="EO45" s="876"/>
      <c r="EP45" s="876"/>
      <c r="EQ45" s="876"/>
      <c r="ER45" s="876"/>
      <c r="ES45" s="876"/>
      <c r="ET45" s="876"/>
      <c r="EU45" s="876"/>
      <c r="EV45" s="876"/>
      <c r="EW45" s="876"/>
      <c r="EX45" s="876"/>
      <c r="EY45" s="876"/>
      <c r="EZ45" s="876"/>
      <c r="FA45" s="876"/>
      <c r="FB45" s="876"/>
      <c r="FC45" s="876"/>
      <c r="FD45" s="876"/>
      <c r="FE45" s="876"/>
      <c r="FF45" s="876"/>
      <c r="FG45" s="876"/>
      <c r="FH45" s="876"/>
      <c r="FI45" s="876"/>
      <c r="FJ45" s="876"/>
      <c r="FK45" s="876"/>
      <c r="FL45" s="876"/>
      <c r="FM45" s="876"/>
      <c r="FN45" s="876"/>
      <c r="FO45" s="876"/>
      <c r="FP45" s="876"/>
      <c r="FQ45" s="876"/>
      <c r="FR45" s="876"/>
      <c r="FS45" s="876"/>
      <c r="FT45" s="876"/>
      <c r="FU45" s="876"/>
      <c r="FV45" s="876"/>
      <c r="FW45" s="876"/>
      <c r="FX45" s="876"/>
      <c r="FY45" s="876"/>
      <c r="FZ45" s="876"/>
      <c r="GA45" s="876"/>
      <c r="GB45" s="876"/>
      <c r="GC45" s="876"/>
      <c r="GD45" s="876"/>
      <c r="GE45" s="876"/>
      <c r="GF45" s="876"/>
      <c r="GG45" s="876"/>
      <c r="GH45" s="876"/>
      <c r="GI45" s="876"/>
      <c r="GJ45" s="876"/>
      <c r="GK45" s="876"/>
      <c r="GL45" s="876"/>
      <c r="GM45" s="876"/>
      <c r="GN45" s="876"/>
      <c r="GO45" s="876"/>
      <c r="GP45" s="876"/>
      <c r="GQ45" s="876"/>
      <c r="GR45" s="876"/>
      <c r="GS45" s="876"/>
      <c r="GT45" s="876"/>
      <c r="GU45" s="876"/>
      <c r="GV45" s="876"/>
      <c r="GW45" s="876"/>
      <c r="GX45" s="876"/>
      <c r="GY45" s="876"/>
      <c r="GZ45" s="876"/>
      <c r="HA45" s="876"/>
      <c r="HB45" s="876"/>
      <c r="HC45" s="876"/>
      <c r="HD45" s="876"/>
      <c r="HE45" s="876"/>
      <c r="HF45" s="876"/>
      <c r="HG45" s="876"/>
      <c r="HH45" s="876"/>
      <c r="HI45" s="876"/>
      <c r="HJ45" s="876"/>
      <c r="HK45" s="876"/>
      <c r="HL45" s="876"/>
      <c r="HM45" s="876"/>
      <c r="HN45" s="876"/>
      <c r="HO45" s="876"/>
      <c r="HP45" s="876"/>
      <c r="HQ45" s="876"/>
      <c r="HR45" s="876"/>
      <c r="HS45" s="876"/>
      <c r="HT45" s="876"/>
      <c r="HU45" s="876"/>
      <c r="HV45" s="876"/>
      <c r="HW45" s="876"/>
      <c r="HX45" s="876"/>
      <c r="HY45" s="876"/>
      <c r="HZ45" s="876"/>
      <c r="IA45" s="876"/>
      <c r="IB45" s="876"/>
      <c r="IC45" s="876"/>
      <c r="ID45" s="876"/>
      <c r="IE45" s="876"/>
      <c r="IF45" s="876"/>
      <c r="IG45" s="876"/>
      <c r="IH45" s="876"/>
      <c r="II45" s="876"/>
      <c r="IJ45" s="876"/>
      <c r="IK45" s="876"/>
      <c r="IL45" s="876"/>
      <c r="IM45" s="876"/>
      <c r="IN45" s="876"/>
      <c r="IO45" s="876"/>
      <c r="IP45" s="876"/>
      <c r="IQ45" s="876"/>
      <c r="IR45" s="876"/>
      <c r="IS45" s="876"/>
      <c r="IT45" s="876"/>
      <c r="IU45" s="876"/>
      <c r="IV45" s="876"/>
    </row>
    <row r="46" spans="1:256" ht="3" customHeight="1">
      <c r="A46" s="872"/>
      <c r="B46" s="876"/>
      <c r="C46" s="876"/>
      <c r="D46" s="1376"/>
      <c r="E46" s="1376"/>
      <c r="F46" s="1376"/>
      <c r="G46" s="1376"/>
      <c r="H46" s="1376"/>
      <c r="I46" s="1376"/>
      <c r="J46" s="1376"/>
      <c r="K46" s="1376"/>
      <c r="L46" s="1376"/>
      <c r="M46" s="883"/>
      <c r="N46" s="876"/>
      <c r="O46" s="889"/>
      <c r="P46" s="889"/>
      <c r="Q46" s="876"/>
      <c r="R46" s="876"/>
      <c r="S46" s="876"/>
      <c r="T46" s="876"/>
      <c r="U46" s="876"/>
      <c r="V46" s="876"/>
      <c r="W46" s="876"/>
      <c r="X46" s="876"/>
      <c r="Y46" s="876"/>
      <c r="Z46" s="876"/>
      <c r="AA46" s="876"/>
      <c r="AB46" s="876"/>
      <c r="AC46" s="876"/>
      <c r="AD46" s="876"/>
      <c r="AE46" s="876"/>
      <c r="AF46" s="876"/>
      <c r="AG46" s="876"/>
      <c r="AH46" s="876"/>
      <c r="AI46" s="876"/>
      <c r="AJ46" s="876"/>
      <c r="AK46" s="876"/>
      <c r="AL46" s="876"/>
      <c r="AM46" s="876"/>
      <c r="AN46" s="876"/>
      <c r="AO46" s="876"/>
      <c r="AP46" s="876"/>
      <c r="AQ46" s="876"/>
      <c r="AR46" s="876"/>
      <c r="AS46" s="876"/>
      <c r="AT46" s="876"/>
      <c r="AU46" s="876"/>
      <c r="AV46" s="876"/>
      <c r="AW46" s="876"/>
      <c r="AX46" s="876"/>
      <c r="AY46" s="876"/>
      <c r="AZ46" s="876"/>
      <c r="BA46" s="876"/>
      <c r="BB46" s="876"/>
      <c r="BC46" s="876"/>
      <c r="BD46" s="876"/>
      <c r="BE46" s="876"/>
      <c r="BF46" s="876"/>
      <c r="BG46" s="876"/>
      <c r="BH46" s="876"/>
      <c r="BI46" s="876"/>
      <c r="BJ46" s="876"/>
      <c r="BK46" s="876"/>
      <c r="BL46" s="876"/>
      <c r="BM46" s="876"/>
      <c r="BN46" s="876"/>
      <c r="BO46" s="876"/>
      <c r="BP46" s="876"/>
      <c r="BQ46" s="876"/>
      <c r="BR46" s="876"/>
      <c r="BS46" s="876"/>
      <c r="BT46" s="876"/>
      <c r="BU46" s="876"/>
      <c r="BV46" s="876"/>
      <c r="BW46" s="876"/>
      <c r="BX46" s="876"/>
      <c r="BY46" s="876"/>
      <c r="BZ46" s="876"/>
      <c r="CA46" s="876"/>
      <c r="CB46" s="876"/>
      <c r="CC46" s="876"/>
      <c r="CD46" s="876"/>
      <c r="CE46" s="876"/>
      <c r="CF46" s="876"/>
      <c r="CG46" s="876"/>
      <c r="CH46" s="876"/>
      <c r="CI46" s="876"/>
      <c r="CJ46" s="876"/>
      <c r="CK46" s="876"/>
      <c r="CL46" s="876"/>
      <c r="CM46" s="876"/>
      <c r="CN46" s="876"/>
      <c r="CO46" s="876"/>
      <c r="CP46" s="876"/>
      <c r="CQ46" s="876"/>
      <c r="CR46" s="876"/>
      <c r="CS46" s="876"/>
      <c r="CT46" s="876"/>
      <c r="CU46" s="876"/>
      <c r="CV46" s="876"/>
      <c r="CW46" s="876"/>
      <c r="CX46" s="876"/>
      <c r="CY46" s="876"/>
      <c r="CZ46" s="876"/>
      <c r="DA46" s="876"/>
      <c r="DB46" s="876"/>
      <c r="DC46" s="876"/>
      <c r="DD46" s="876"/>
      <c r="DE46" s="876"/>
      <c r="DF46" s="876"/>
      <c r="DG46" s="876"/>
      <c r="DH46" s="876"/>
      <c r="DI46" s="876"/>
      <c r="DJ46" s="876"/>
      <c r="DK46" s="876"/>
      <c r="DL46" s="876"/>
      <c r="DM46" s="876"/>
      <c r="DN46" s="876"/>
      <c r="DO46" s="876"/>
      <c r="DP46" s="876"/>
      <c r="DQ46" s="876"/>
      <c r="DR46" s="876"/>
      <c r="DS46" s="876"/>
      <c r="DT46" s="876"/>
      <c r="DU46" s="876"/>
      <c r="DV46" s="876"/>
      <c r="DW46" s="876"/>
      <c r="DX46" s="876"/>
      <c r="DY46" s="876"/>
      <c r="DZ46" s="876"/>
      <c r="EA46" s="876"/>
      <c r="EB46" s="876"/>
      <c r="EC46" s="876"/>
      <c r="ED46" s="876"/>
      <c r="EE46" s="876"/>
      <c r="EF46" s="876"/>
      <c r="EG46" s="876"/>
      <c r="EH46" s="876"/>
      <c r="EI46" s="876"/>
      <c r="EJ46" s="876"/>
      <c r="EK46" s="876"/>
      <c r="EL46" s="876"/>
      <c r="EM46" s="876"/>
      <c r="EN46" s="876"/>
      <c r="EO46" s="876"/>
      <c r="EP46" s="876"/>
      <c r="EQ46" s="876"/>
      <c r="ER46" s="876"/>
      <c r="ES46" s="876"/>
      <c r="ET46" s="876"/>
      <c r="EU46" s="876"/>
      <c r="EV46" s="876"/>
      <c r="EW46" s="876"/>
      <c r="EX46" s="876"/>
      <c r="EY46" s="876"/>
      <c r="EZ46" s="876"/>
      <c r="FA46" s="876"/>
      <c r="FB46" s="876"/>
      <c r="FC46" s="876"/>
      <c r="FD46" s="876"/>
      <c r="FE46" s="876"/>
      <c r="FF46" s="876"/>
      <c r="FG46" s="876"/>
      <c r="FH46" s="876"/>
      <c r="FI46" s="876"/>
      <c r="FJ46" s="876"/>
      <c r="FK46" s="876"/>
      <c r="FL46" s="876"/>
      <c r="FM46" s="876"/>
      <c r="FN46" s="876"/>
      <c r="FO46" s="876"/>
      <c r="FP46" s="876"/>
      <c r="FQ46" s="876"/>
      <c r="FR46" s="876"/>
      <c r="FS46" s="876"/>
      <c r="FT46" s="876"/>
      <c r="FU46" s="876"/>
      <c r="FV46" s="876"/>
      <c r="FW46" s="876"/>
      <c r="FX46" s="876"/>
      <c r="FY46" s="876"/>
      <c r="FZ46" s="876"/>
      <c r="GA46" s="876"/>
      <c r="GB46" s="876"/>
      <c r="GC46" s="876"/>
      <c r="GD46" s="876"/>
      <c r="GE46" s="876"/>
      <c r="GF46" s="876"/>
      <c r="GG46" s="876"/>
      <c r="GH46" s="876"/>
      <c r="GI46" s="876"/>
      <c r="GJ46" s="876"/>
      <c r="GK46" s="876"/>
      <c r="GL46" s="876"/>
      <c r="GM46" s="876"/>
      <c r="GN46" s="876"/>
      <c r="GO46" s="876"/>
      <c r="GP46" s="876"/>
      <c r="GQ46" s="876"/>
      <c r="GR46" s="876"/>
      <c r="GS46" s="876"/>
      <c r="GT46" s="876"/>
      <c r="GU46" s="876"/>
      <c r="GV46" s="876"/>
      <c r="GW46" s="876"/>
      <c r="GX46" s="876"/>
      <c r="GY46" s="876"/>
      <c r="GZ46" s="876"/>
      <c r="HA46" s="876"/>
      <c r="HB46" s="876"/>
      <c r="HC46" s="876"/>
      <c r="HD46" s="876"/>
      <c r="HE46" s="876"/>
      <c r="HF46" s="876"/>
      <c r="HG46" s="876"/>
      <c r="HH46" s="876"/>
      <c r="HI46" s="876"/>
      <c r="HJ46" s="876"/>
      <c r="HK46" s="876"/>
      <c r="HL46" s="876"/>
      <c r="HM46" s="876"/>
      <c r="HN46" s="876"/>
      <c r="HO46" s="876"/>
      <c r="HP46" s="876"/>
      <c r="HQ46" s="876"/>
      <c r="HR46" s="876"/>
      <c r="HS46" s="876"/>
      <c r="HT46" s="876"/>
      <c r="HU46" s="876"/>
      <c r="HV46" s="876"/>
      <c r="HW46" s="876"/>
      <c r="HX46" s="876"/>
      <c r="HY46" s="876"/>
      <c r="HZ46" s="876"/>
      <c r="IA46" s="876"/>
      <c r="IB46" s="876"/>
      <c r="IC46" s="876"/>
      <c r="ID46" s="876"/>
      <c r="IE46" s="876"/>
      <c r="IF46" s="876"/>
      <c r="IG46" s="876"/>
      <c r="IH46" s="876"/>
      <c r="II46" s="876"/>
      <c r="IJ46" s="876"/>
      <c r="IK46" s="876"/>
      <c r="IL46" s="876"/>
      <c r="IM46" s="876"/>
      <c r="IN46" s="876"/>
      <c r="IO46" s="876"/>
      <c r="IP46" s="876"/>
      <c r="IQ46" s="876"/>
      <c r="IR46" s="876"/>
      <c r="IS46" s="876"/>
      <c r="IT46" s="876"/>
      <c r="IU46" s="876"/>
      <c r="IV46" s="876"/>
    </row>
    <row r="47" spans="1:256" ht="17.25" customHeight="1" thickBot="1">
      <c r="A47" s="872" t="s">
        <v>1388</v>
      </c>
      <c r="B47" s="876"/>
      <c r="C47" s="894"/>
      <c r="D47" s="1377">
        <f>ROUND(D16+D23+D44,3)</f>
        <v>3504.1790000000001</v>
      </c>
      <c r="E47" s="1378"/>
      <c r="F47" s="1377">
        <f>ROUND(F16+F23+F44,3)</f>
        <v>6391.8059999999996</v>
      </c>
      <c r="G47" s="1378"/>
      <c r="H47" s="1377">
        <f>ROUND(H16+H23+H44,3)</f>
        <v>6449.3109999999997</v>
      </c>
      <c r="I47" s="1379"/>
      <c r="J47" s="1377">
        <f>ROUND(J16+J23+J44,3)</f>
        <v>0</v>
      </c>
      <c r="K47" s="1378"/>
      <c r="L47" s="1377">
        <f>ROUND(L16+L23+L44,3)</f>
        <v>3446.674</v>
      </c>
      <c r="M47" s="884"/>
      <c r="N47" s="887"/>
      <c r="O47" s="889"/>
      <c r="P47" s="889"/>
      <c r="Q47" s="876"/>
      <c r="R47" s="876"/>
      <c r="S47" s="876"/>
      <c r="T47" s="876"/>
      <c r="U47" s="876"/>
      <c r="V47" s="876"/>
      <c r="W47" s="876"/>
      <c r="X47" s="876"/>
      <c r="Y47" s="876"/>
      <c r="Z47" s="876"/>
      <c r="AA47" s="876"/>
      <c r="AB47" s="876"/>
      <c r="AC47" s="876"/>
      <c r="AD47" s="876"/>
      <c r="AE47" s="876"/>
      <c r="AF47" s="876"/>
      <c r="AG47" s="876"/>
      <c r="AH47" s="876"/>
      <c r="AI47" s="876"/>
      <c r="AJ47" s="876"/>
      <c r="AK47" s="876"/>
      <c r="AL47" s="876"/>
      <c r="AM47" s="876"/>
      <c r="AN47" s="876"/>
      <c r="AO47" s="876"/>
      <c r="AP47" s="876"/>
      <c r="AQ47" s="876"/>
      <c r="AR47" s="876"/>
      <c r="AS47" s="876"/>
      <c r="AT47" s="876"/>
      <c r="AU47" s="876"/>
      <c r="AV47" s="876"/>
      <c r="AW47" s="876"/>
      <c r="AX47" s="876"/>
      <c r="AY47" s="876"/>
      <c r="AZ47" s="876"/>
      <c r="BA47" s="876"/>
      <c r="BB47" s="876"/>
      <c r="BC47" s="876"/>
      <c r="BD47" s="876"/>
      <c r="BE47" s="876"/>
      <c r="BF47" s="876"/>
      <c r="BG47" s="876"/>
      <c r="BH47" s="876"/>
      <c r="BI47" s="876"/>
      <c r="BJ47" s="876"/>
      <c r="BK47" s="876"/>
      <c r="BL47" s="876"/>
      <c r="BM47" s="876"/>
      <c r="BN47" s="876"/>
      <c r="BO47" s="876"/>
      <c r="BP47" s="876"/>
      <c r="BQ47" s="876"/>
      <c r="BR47" s="876"/>
      <c r="BS47" s="876"/>
      <c r="BT47" s="876"/>
      <c r="BU47" s="876"/>
      <c r="BV47" s="876"/>
      <c r="BW47" s="876"/>
      <c r="BX47" s="876"/>
      <c r="BY47" s="876"/>
      <c r="BZ47" s="876"/>
      <c r="CA47" s="876"/>
      <c r="CB47" s="876"/>
      <c r="CC47" s="876"/>
      <c r="CD47" s="876"/>
      <c r="CE47" s="876"/>
      <c r="CF47" s="876"/>
      <c r="CG47" s="876"/>
      <c r="CH47" s="876"/>
      <c r="CI47" s="876"/>
      <c r="CJ47" s="876"/>
      <c r="CK47" s="876"/>
      <c r="CL47" s="876"/>
      <c r="CM47" s="876"/>
      <c r="CN47" s="876"/>
      <c r="CO47" s="876"/>
      <c r="CP47" s="876"/>
      <c r="CQ47" s="876"/>
      <c r="CR47" s="876"/>
      <c r="CS47" s="876"/>
      <c r="CT47" s="876"/>
      <c r="CU47" s="876"/>
      <c r="CV47" s="876"/>
      <c r="CW47" s="876"/>
      <c r="CX47" s="876"/>
      <c r="CY47" s="876"/>
      <c r="CZ47" s="876"/>
      <c r="DA47" s="876"/>
      <c r="DB47" s="876"/>
      <c r="DC47" s="876"/>
      <c r="DD47" s="876"/>
      <c r="DE47" s="876"/>
      <c r="DF47" s="876"/>
      <c r="DG47" s="876"/>
      <c r="DH47" s="876"/>
      <c r="DI47" s="876"/>
      <c r="DJ47" s="876"/>
      <c r="DK47" s="876"/>
      <c r="DL47" s="876"/>
      <c r="DM47" s="876"/>
      <c r="DN47" s="876"/>
      <c r="DO47" s="876"/>
      <c r="DP47" s="876"/>
      <c r="DQ47" s="876"/>
      <c r="DR47" s="876"/>
      <c r="DS47" s="876"/>
      <c r="DT47" s="876"/>
      <c r="DU47" s="876"/>
      <c r="DV47" s="876"/>
      <c r="DW47" s="876"/>
      <c r="DX47" s="876"/>
      <c r="DY47" s="876"/>
      <c r="DZ47" s="876"/>
      <c r="EA47" s="876"/>
      <c r="EB47" s="876"/>
      <c r="EC47" s="876"/>
      <c r="ED47" s="876"/>
      <c r="EE47" s="876"/>
      <c r="EF47" s="876"/>
      <c r="EG47" s="876"/>
      <c r="EH47" s="876"/>
      <c r="EI47" s="876"/>
      <c r="EJ47" s="876"/>
      <c r="EK47" s="876"/>
      <c r="EL47" s="876"/>
      <c r="EM47" s="876"/>
      <c r="EN47" s="876"/>
      <c r="EO47" s="876"/>
      <c r="EP47" s="876"/>
      <c r="EQ47" s="876"/>
      <c r="ER47" s="876"/>
      <c r="ES47" s="876"/>
      <c r="ET47" s="876"/>
      <c r="EU47" s="876"/>
      <c r="EV47" s="876"/>
      <c r="EW47" s="876"/>
      <c r="EX47" s="876"/>
      <c r="EY47" s="876"/>
      <c r="EZ47" s="876"/>
      <c r="FA47" s="876"/>
      <c r="FB47" s="876"/>
      <c r="FC47" s="876"/>
      <c r="FD47" s="876"/>
      <c r="FE47" s="876"/>
      <c r="FF47" s="876"/>
      <c r="FG47" s="876"/>
      <c r="FH47" s="876"/>
      <c r="FI47" s="876"/>
      <c r="FJ47" s="876"/>
      <c r="FK47" s="876"/>
      <c r="FL47" s="876"/>
      <c r="FM47" s="876"/>
      <c r="FN47" s="876"/>
      <c r="FO47" s="876"/>
      <c r="FP47" s="876"/>
      <c r="FQ47" s="876"/>
      <c r="FR47" s="876"/>
      <c r="FS47" s="876"/>
      <c r="FT47" s="876"/>
      <c r="FU47" s="876"/>
      <c r="FV47" s="876"/>
      <c r="FW47" s="876"/>
      <c r="FX47" s="876"/>
      <c r="FY47" s="876"/>
      <c r="FZ47" s="876"/>
      <c r="GA47" s="876"/>
      <c r="GB47" s="876"/>
      <c r="GC47" s="876"/>
      <c r="GD47" s="876"/>
      <c r="GE47" s="876"/>
      <c r="GF47" s="876"/>
      <c r="GG47" s="876"/>
      <c r="GH47" s="876"/>
      <c r="GI47" s="876"/>
      <c r="GJ47" s="876"/>
      <c r="GK47" s="876"/>
      <c r="GL47" s="876"/>
      <c r="GM47" s="876"/>
      <c r="GN47" s="876"/>
      <c r="GO47" s="876"/>
      <c r="GP47" s="876"/>
      <c r="GQ47" s="876"/>
      <c r="GR47" s="876"/>
      <c r="GS47" s="876"/>
      <c r="GT47" s="876"/>
      <c r="GU47" s="876"/>
      <c r="GV47" s="876"/>
      <c r="GW47" s="876"/>
      <c r="GX47" s="876"/>
      <c r="GY47" s="876"/>
      <c r="GZ47" s="876"/>
      <c r="HA47" s="876"/>
      <c r="HB47" s="876"/>
      <c r="HC47" s="876"/>
      <c r="HD47" s="876"/>
      <c r="HE47" s="876"/>
      <c r="HF47" s="876"/>
      <c r="HG47" s="876"/>
      <c r="HH47" s="876"/>
      <c r="HI47" s="876"/>
      <c r="HJ47" s="876"/>
      <c r="HK47" s="876"/>
      <c r="HL47" s="876"/>
      <c r="HM47" s="876"/>
      <c r="HN47" s="876"/>
      <c r="HO47" s="876"/>
      <c r="HP47" s="876"/>
      <c r="HQ47" s="876"/>
      <c r="HR47" s="876"/>
      <c r="HS47" s="876"/>
      <c r="HT47" s="876"/>
      <c r="HU47" s="876"/>
      <c r="HV47" s="876"/>
      <c r="HW47" s="876"/>
      <c r="HX47" s="876"/>
      <c r="HY47" s="876"/>
      <c r="HZ47" s="876"/>
      <c r="IA47" s="876"/>
      <c r="IB47" s="876"/>
      <c r="IC47" s="876"/>
      <c r="ID47" s="876"/>
      <c r="IE47" s="876"/>
      <c r="IF47" s="876"/>
      <c r="IG47" s="876"/>
      <c r="IH47" s="876"/>
      <c r="II47" s="876"/>
      <c r="IJ47" s="876"/>
      <c r="IK47" s="876"/>
      <c r="IL47" s="876"/>
      <c r="IM47" s="876"/>
      <c r="IN47" s="876"/>
      <c r="IO47" s="876"/>
      <c r="IP47" s="876"/>
      <c r="IQ47" s="876"/>
      <c r="IR47" s="876"/>
      <c r="IS47" s="876"/>
      <c r="IT47" s="876"/>
      <c r="IU47" s="876"/>
      <c r="IV47" s="876"/>
    </row>
    <row r="48" spans="1:256" ht="12" customHeight="1" thickTop="1">
      <c r="A48" s="876"/>
      <c r="B48" s="876"/>
      <c r="C48" s="876"/>
      <c r="D48" s="1380" t="s">
        <v>16</v>
      </c>
      <c r="E48" s="1357"/>
      <c r="F48" s="1380" t="s">
        <v>16</v>
      </c>
      <c r="G48" s="1357"/>
      <c r="H48" s="1380" t="s">
        <v>16</v>
      </c>
      <c r="I48" s="1357"/>
      <c r="J48" s="1351" t="s">
        <v>16</v>
      </c>
      <c r="K48" s="1357"/>
      <c r="L48" s="1380" t="s">
        <v>16</v>
      </c>
      <c r="M48" s="883"/>
      <c r="N48" s="876"/>
      <c r="O48" s="889"/>
      <c r="P48" s="889"/>
      <c r="Q48" s="876"/>
      <c r="R48" s="876"/>
      <c r="S48" s="876"/>
      <c r="T48" s="876"/>
      <c r="U48" s="876"/>
      <c r="V48" s="876"/>
      <c r="W48" s="876"/>
      <c r="X48" s="876"/>
      <c r="Y48" s="876"/>
      <c r="Z48" s="876"/>
      <c r="AA48" s="876"/>
      <c r="AB48" s="876"/>
      <c r="AC48" s="876"/>
      <c r="AD48" s="876"/>
      <c r="AE48" s="876"/>
      <c r="AF48" s="876"/>
      <c r="AG48" s="876"/>
      <c r="AH48" s="876"/>
      <c r="AI48" s="876"/>
      <c r="AJ48" s="876"/>
      <c r="AK48" s="876"/>
      <c r="AL48" s="876"/>
      <c r="AM48" s="876"/>
      <c r="AN48" s="876"/>
      <c r="AO48" s="876"/>
      <c r="AP48" s="876"/>
      <c r="AQ48" s="876"/>
      <c r="AR48" s="876"/>
      <c r="AS48" s="876"/>
      <c r="AT48" s="876"/>
      <c r="AU48" s="876"/>
      <c r="AV48" s="876"/>
      <c r="AW48" s="876"/>
      <c r="AX48" s="876"/>
      <c r="AY48" s="876"/>
      <c r="AZ48" s="876"/>
      <c r="BA48" s="876"/>
      <c r="BB48" s="876"/>
      <c r="BC48" s="876"/>
      <c r="BD48" s="876"/>
      <c r="BE48" s="876"/>
      <c r="BF48" s="876"/>
      <c r="BG48" s="876"/>
      <c r="BH48" s="876"/>
      <c r="BI48" s="876"/>
      <c r="BJ48" s="876"/>
      <c r="BK48" s="876"/>
      <c r="BL48" s="876"/>
      <c r="BM48" s="876"/>
      <c r="BN48" s="876"/>
      <c r="BO48" s="876"/>
      <c r="BP48" s="876"/>
      <c r="BQ48" s="876"/>
      <c r="BR48" s="876"/>
      <c r="BS48" s="876"/>
      <c r="BT48" s="876"/>
      <c r="BU48" s="876"/>
      <c r="BV48" s="876"/>
      <c r="BW48" s="876"/>
      <c r="BX48" s="876"/>
      <c r="BY48" s="876"/>
      <c r="BZ48" s="876"/>
      <c r="CA48" s="876"/>
      <c r="CB48" s="876"/>
      <c r="CC48" s="876"/>
      <c r="CD48" s="876"/>
      <c r="CE48" s="876"/>
      <c r="CF48" s="876"/>
      <c r="CG48" s="876"/>
      <c r="CH48" s="876"/>
      <c r="CI48" s="876"/>
      <c r="CJ48" s="876"/>
      <c r="CK48" s="876"/>
      <c r="CL48" s="876"/>
      <c r="CM48" s="876"/>
      <c r="CN48" s="876"/>
      <c r="CO48" s="876"/>
      <c r="CP48" s="876"/>
      <c r="CQ48" s="876"/>
      <c r="CR48" s="876"/>
      <c r="CS48" s="876"/>
      <c r="CT48" s="876"/>
      <c r="CU48" s="876"/>
      <c r="CV48" s="876"/>
      <c r="CW48" s="876"/>
      <c r="CX48" s="876"/>
      <c r="CY48" s="876"/>
      <c r="CZ48" s="876"/>
      <c r="DA48" s="876"/>
      <c r="DB48" s="876"/>
      <c r="DC48" s="876"/>
      <c r="DD48" s="876"/>
      <c r="DE48" s="876"/>
      <c r="DF48" s="876"/>
      <c r="DG48" s="876"/>
      <c r="DH48" s="876"/>
      <c r="DI48" s="876"/>
      <c r="DJ48" s="876"/>
      <c r="DK48" s="876"/>
      <c r="DL48" s="876"/>
      <c r="DM48" s="876"/>
      <c r="DN48" s="876"/>
      <c r="DO48" s="876"/>
      <c r="DP48" s="876"/>
      <c r="DQ48" s="876"/>
      <c r="DR48" s="876"/>
      <c r="DS48" s="876"/>
      <c r="DT48" s="876"/>
      <c r="DU48" s="876"/>
      <c r="DV48" s="876"/>
      <c r="DW48" s="876"/>
      <c r="DX48" s="876"/>
      <c r="DY48" s="876"/>
      <c r="DZ48" s="876"/>
      <c r="EA48" s="876"/>
      <c r="EB48" s="876"/>
      <c r="EC48" s="876"/>
      <c r="ED48" s="876"/>
      <c r="EE48" s="876"/>
      <c r="EF48" s="876"/>
      <c r="EG48" s="876"/>
      <c r="EH48" s="876"/>
      <c r="EI48" s="876"/>
      <c r="EJ48" s="876"/>
      <c r="EK48" s="876"/>
      <c r="EL48" s="876"/>
      <c r="EM48" s="876"/>
      <c r="EN48" s="876"/>
      <c r="EO48" s="876"/>
      <c r="EP48" s="876"/>
      <c r="EQ48" s="876"/>
      <c r="ER48" s="876"/>
      <c r="ES48" s="876"/>
      <c r="ET48" s="876"/>
      <c r="EU48" s="876"/>
      <c r="EV48" s="876"/>
      <c r="EW48" s="876"/>
      <c r="EX48" s="876"/>
      <c r="EY48" s="876"/>
      <c r="EZ48" s="876"/>
      <c r="FA48" s="876"/>
      <c r="FB48" s="876"/>
      <c r="FC48" s="876"/>
      <c r="FD48" s="876"/>
      <c r="FE48" s="876"/>
      <c r="FF48" s="876"/>
      <c r="FG48" s="876"/>
      <c r="FH48" s="876"/>
      <c r="FI48" s="876"/>
      <c r="FJ48" s="876"/>
      <c r="FK48" s="876"/>
      <c r="FL48" s="876"/>
      <c r="FM48" s="876"/>
      <c r="FN48" s="876"/>
      <c r="FO48" s="876"/>
      <c r="FP48" s="876"/>
      <c r="FQ48" s="876"/>
      <c r="FR48" s="876"/>
      <c r="FS48" s="876"/>
      <c r="FT48" s="876"/>
      <c r="FU48" s="876"/>
      <c r="FV48" s="876"/>
      <c r="FW48" s="876"/>
      <c r="FX48" s="876"/>
      <c r="FY48" s="876"/>
      <c r="FZ48" s="876"/>
      <c r="GA48" s="876"/>
      <c r="GB48" s="876"/>
      <c r="GC48" s="876"/>
      <c r="GD48" s="876"/>
      <c r="GE48" s="876"/>
      <c r="GF48" s="876"/>
      <c r="GG48" s="876"/>
      <c r="GH48" s="876"/>
      <c r="GI48" s="876"/>
      <c r="GJ48" s="876"/>
      <c r="GK48" s="876"/>
      <c r="GL48" s="876"/>
      <c r="GM48" s="876"/>
      <c r="GN48" s="876"/>
      <c r="GO48" s="876"/>
      <c r="GP48" s="876"/>
      <c r="GQ48" s="876"/>
      <c r="GR48" s="876"/>
      <c r="GS48" s="876"/>
      <c r="GT48" s="876"/>
      <c r="GU48" s="876"/>
      <c r="GV48" s="876"/>
      <c r="GW48" s="876"/>
      <c r="GX48" s="876"/>
      <c r="GY48" s="876"/>
      <c r="GZ48" s="876"/>
      <c r="HA48" s="876"/>
      <c r="HB48" s="876"/>
      <c r="HC48" s="876"/>
      <c r="HD48" s="876"/>
      <c r="HE48" s="876"/>
      <c r="HF48" s="876"/>
      <c r="HG48" s="876"/>
      <c r="HH48" s="876"/>
      <c r="HI48" s="876"/>
      <c r="HJ48" s="876"/>
      <c r="HK48" s="876"/>
      <c r="HL48" s="876"/>
      <c r="HM48" s="876"/>
      <c r="HN48" s="876"/>
      <c r="HO48" s="876"/>
      <c r="HP48" s="876"/>
      <c r="HQ48" s="876"/>
      <c r="HR48" s="876"/>
      <c r="HS48" s="876"/>
      <c r="HT48" s="876"/>
      <c r="HU48" s="876"/>
      <c r="HV48" s="876"/>
      <c r="HW48" s="876"/>
      <c r="HX48" s="876"/>
      <c r="HY48" s="876"/>
      <c r="HZ48" s="876"/>
      <c r="IA48" s="876"/>
      <c r="IB48" s="876"/>
      <c r="IC48" s="876"/>
      <c r="ID48" s="876"/>
      <c r="IE48" s="876"/>
      <c r="IF48" s="876"/>
      <c r="IG48" s="876"/>
      <c r="IH48" s="876"/>
      <c r="II48" s="876"/>
      <c r="IJ48" s="876"/>
      <c r="IK48" s="876"/>
      <c r="IL48" s="876"/>
      <c r="IM48" s="876"/>
      <c r="IN48" s="876"/>
      <c r="IO48" s="876"/>
      <c r="IP48" s="876"/>
      <c r="IQ48" s="876"/>
      <c r="IR48" s="876"/>
      <c r="IS48" s="876"/>
      <c r="IT48" s="876"/>
      <c r="IU48" s="876"/>
      <c r="IV48" s="876"/>
    </row>
    <row r="49" spans="1:256" ht="15.75" customHeight="1">
      <c r="A49" s="1381"/>
      <c r="B49" s="876"/>
      <c r="C49" s="876"/>
      <c r="D49" s="876"/>
      <c r="E49" s="876"/>
      <c r="F49" s="876">
        <v>6386.085</v>
      </c>
      <c r="G49" s="876"/>
      <c r="H49" s="876">
        <v>6443.8410000000003</v>
      </c>
      <c r="I49" s="876"/>
      <c r="J49" s="876"/>
      <c r="K49" s="876"/>
      <c r="L49" s="876">
        <v>3434.8119999999999</v>
      </c>
      <c r="M49" s="876"/>
      <c r="N49" s="876"/>
      <c r="O49" s="889"/>
      <c r="P49" s="889"/>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6"/>
      <c r="AY49" s="876"/>
      <c r="AZ49" s="876"/>
      <c r="BA49" s="876"/>
      <c r="BB49" s="876"/>
      <c r="BC49" s="876"/>
      <c r="BD49" s="876"/>
      <c r="BE49" s="876"/>
      <c r="BF49" s="876"/>
      <c r="BG49" s="876"/>
      <c r="BH49" s="876"/>
      <c r="BI49" s="876"/>
      <c r="BJ49" s="876"/>
      <c r="BK49" s="876"/>
      <c r="BL49" s="876"/>
      <c r="BM49" s="876"/>
      <c r="BN49" s="876"/>
      <c r="BO49" s="876"/>
      <c r="BP49" s="876"/>
      <c r="BQ49" s="876"/>
      <c r="BR49" s="876"/>
      <c r="BS49" s="876"/>
      <c r="BT49" s="876"/>
      <c r="BU49" s="876"/>
      <c r="BV49" s="876"/>
      <c r="BW49" s="876"/>
      <c r="BX49" s="876"/>
      <c r="BY49" s="876"/>
      <c r="BZ49" s="876"/>
      <c r="CA49" s="876"/>
      <c r="CB49" s="876"/>
      <c r="CC49" s="876"/>
      <c r="CD49" s="876"/>
      <c r="CE49" s="876"/>
      <c r="CF49" s="876"/>
      <c r="CG49" s="876"/>
      <c r="CH49" s="876"/>
      <c r="CI49" s="876"/>
      <c r="CJ49" s="876"/>
      <c r="CK49" s="876"/>
      <c r="CL49" s="876"/>
      <c r="CM49" s="876"/>
      <c r="CN49" s="876"/>
      <c r="CO49" s="876"/>
      <c r="CP49" s="876"/>
      <c r="CQ49" s="876"/>
      <c r="CR49" s="876"/>
      <c r="CS49" s="876"/>
      <c r="CT49" s="876"/>
      <c r="CU49" s="876"/>
      <c r="CV49" s="876"/>
      <c r="CW49" s="876"/>
      <c r="CX49" s="876"/>
      <c r="CY49" s="876"/>
      <c r="CZ49" s="876"/>
      <c r="DA49" s="876"/>
      <c r="DB49" s="876"/>
      <c r="DC49" s="876"/>
      <c r="DD49" s="876"/>
      <c r="DE49" s="876"/>
      <c r="DF49" s="876"/>
      <c r="DG49" s="876"/>
      <c r="DH49" s="876"/>
      <c r="DI49" s="876"/>
      <c r="DJ49" s="876"/>
      <c r="DK49" s="876"/>
      <c r="DL49" s="876"/>
      <c r="DM49" s="876"/>
      <c r="DN49" s="876"/>
      <c r="DO49" s="876"/>
      <c r="DP49" s="876"/>
      <c r="DQ49" s="876"/>
      <c r="DR49" s="876"/>
      <c r="DS49" s="876"/>
      <c r="DT49" s="876"/>
      <c r="DU49" s="876"/>
      <c r="DV49" s="876"/>
      <c r="DW49" s="876"/>
      <c r="DX49" s="876"/>
      <c r="DY49" s="876"/>
      <c r="DZ49" s="876"/>
      <c r="EA49" s="876"/>
      <c r="EB49" s="876"/>
      <c r="EC49" s="876"/>
      <c r="ED49" s="876"/>
      <c r="EE49" s="876"/>
      <c r="EF49" s="876"/>
      <c r="EG49" s="876"/>
      <c r="EH49" s="876"/>
      <c r="EI49" s="876"/>
      <c r="EJ49" s="876"/>
      <c r="EK49" s="876"/>
      <c r="EL49" s="876"/>
      <c r="EM49" s="876"/>
      <c r="EN49" s="876"/>
      <c r="EO49" s="876"/>
      <c r="EP49" s="876"/>
      <c r="EQ49" s="876"/>
      <c r="ER49" s="876"/>
      <c r="ES49" s="876"/>
      <c r="ET49" s="876"/>
      <c r="EU49" s="876"/>
      <c r="EV49" s="876"/>
      <c r="EW49" s="876"/>
      <c r="EX49" s="876"/>
      <c r="EY49" s="876"/>
      <c r="EZ49" s="876"/>
      <c r="FA49" s="876"/>
      <c r="FB49" s="876"/>
      <c r="FC49" s="876"/>
      <c r="FD49" s="876"/>
      <c r="FE49" s="876"/>
      <c r="FF49" s="876"/>
      <c r="FG49" s="876"/>
      <c r="FH49" s="876"/>
      <c r="FI49" s="876"/>
      <c r="FJ49" s="876"/>
      <c r="FK49" s="876"/>
      <c r="FL49" s="876"/>
      <c r="FM49" s="876"/>
      <c r="FN49" s="876"/>
      <c r="FO49" s="876"/>
      <c r="FP49" s="876"/>
      <c r="FQ49" s="876"/>
      <c r="FR49" s="876"/>
      <c r="FS49" s="876"/>
      <c r="FT49" s="876"/>
      <c r="FU49" s="876"/>
      <c r="FV49" s="876"/>
      <c r="FW49" s="876"/>
      <c r="FX49" s="876"/>
      <c r="FY49" s="876"/>
      <c r="FZ49" s="876"/>
      <c r="GA49" s="876"/>
      <c r="GB49" s="876"/>
      <c r="GC49" s="876"/>
      <c r="GD49" s="876"/>
      <c r="GE49" s="876"/>
      <c r="GF49" s="876"/>
      <c r="GG49" s="876"/>
      <c r="GH49" s="876"/>
      <c r="GI49" s="876"/>
      <c r="GJ49" s="876"/>
      <c r="GK49" s="876"/>
      <c r="GL49" s="876"/>
      <c r="GM49" s="876"/>
      <c r="GN49" s="876"/>
      <c r="GO49" s="876"/>
      <c r="GP49" s="876"/>
      <c r="GQ49" s="876"/>
      <c r="GR49" s="876"/>
      <c r="GS49" s="876"/>
      <c r="GT49" s="876"/>
      <c r="GU49" s="876"/>
      <c r="GV49" s="876"/>
      <c r="GW49" s="876"/>
      <c r="GX49" s="876"/>
      <c r="GY49" s="876"/>
      <c r="GZ49" s="876"/>
      <c r="HA49" s="876"/>
      <c r="HB49" s="876"/>
      <c r="HC49" s="876"/>
      <c r="HD49" s="876"/>
      <c r="HE49" s="876"/>
      <c r="HF49" s="876"/>
      <c r="HG49" s="876"/>
      <c r="HH49" s="876"/>
      <c r="HI49" s="876"/>
      <c r="HJ49" s="876"/>
      <c r="HK49" s="876"/>
      <c r="HL49" s="876"/>
      <c r="HM49" s="876"/>
      <c r="HN49" s="876"/>
      <c r="HO49" s="876"/>
      <c r="HP49" s="876"/>
      <c r="HQ49" s="876"/>
      <c r="HR49" s="876"/>
      <c r="HS49" s="876"/>
      <c r="HT49" s="876"/>
      <c r="HU49" s="876"/>
      <c r="HV49" s="876"/>
      <c r="HW49" s="876"/>
      <c r="HX49" s="876"/>
      <c r="HY49" s="876"/>
      <c r="HZ49" s="876"/>
      <c r="IA49" s="876"/>
      <c r="IB49" s="876"/>
      <c r="IC49" s="876"/>
      <c r="ID49" s="876"/>
      <c r="IE49" s="876"/>
      <c r="IF49" s="876"/>
      <c r="IG49" s="876"/>
      <c r="IH49" s="876"/>
      <c r="II49" s="876"/>
      <c r="IJ49" s="876"/>
      <c r="IK49" s="876"/>
      <c r="IL49" s="876"/>
      <c r="IM49" s="876"/>
      <c r="IN49" s="876"/>
      <c r="IO49" s="876"/>
      <c r="IP49" s="876"/>
      <c r="IQ49" s="876"/>
      <c r="IR49" s="876"/>
      <c r="IS49" s="876"/>
      <c r="IT49" s="876"/>
      <c r="IU49" s="876"/>
      <c r="IV49" s="876"/>
    </row>
    <row r="50" spans="1:256" ht="17.399999999999999">
      <c r="A50" s="876"/>
      <c r="B50" s="876"/>
      <c r="C50" s="876" t="s">
        <v>16</v>
      </c>
      <c r="D50" s="887"/>
      <c r="E50" s="876"/>
      <c r="F50" s="876"/>
      <c r="G50" s="876"/>
      <c r="H50" s="876"/>
      <c r="I50" s="876"/>
      <c r="J50" s="876"/>
      <c r="K50" s="876"/>
      <c r="L50" s="890"/>
      <c r="M50" s="876"/>
      <c r="N50" s="876"/>
      <c r="O50" s="889"/>
      <c r="P50" s="889"/>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6"/>
      <c r="AY50" s="876"/>
      <c r="AZ50" s="876"/>
      <c r="BA50" s="876"/>
      <c r="BB50" s="876"/>
      <c r="BC50" s="876"/>
      <c r="BD50" s="876"/>
      <c r="BE50" s="876"/>
      <c r="BF50" s="876"/>
      <c r="BG50" s="876"/>
      <c r="BH50" s="876"/>
      <c r="BI50" s="876"/>
      <c r="BJ50" s="876"/>
      <c r="BK50" s="876"/>
      <c r="BL50" s="876"/>
      <c r="BM50" s="876"/>
      <c r="BN50" s="876"/>
      <c r="BO50" s="876"/>
      <c r="BP50" s="876"/>
      <c r="BQ50" s="876"/>
      <c r="BR50" s="876"/>
      <c r="BS50" s="876"/>
      <c r="BT50" s="876"/>
      <c r="BU50" s="876"/>
      <c r="BV50" s="876"/>
      <c r="BW50" s="876"/>
      <c r="BX50" s="876"/>
      <c r="BY50" s="876"/>
      <c r="BZ50" s="876"/>
      <c r="CA50" s="876"/>
      <c r="CB50" s="876"/>
      <c r="CC50" s="876"/>
      <c r="CD50" s="876"/>
      <c r="CE50" s="876"/>
      <c r="CF50" s="876"/>
      <c r="CG50" s="876"/>
      <c r="CH50" s="876"/>
      <c r="CI50" s="876"/>
      <c r="CJ50" s="876"/>
      <c r="CK50" s="876"/>
      <c r="CL50" s="876"/>
      <c r="CM50" s="876"/>
      <c r="CN50" s="876"/>
      <c r="CO50" s="876"/>
      <c r="CP50" s="876"/>
      <c r="CQ50" s="876"/>
      <c r="CR50" s="876"/>
      <c r="CS50" s="876"/>
      <c r="CT50" s="876"/>
      <c r="CU50" s="876"/>
      <c r="CV50" s="876"/>
      <c r="CW50" s="876"/>
      <c r="CX50" s="876"/>
      <c r="CY50" s="876"/>
      <c r="CZ50" s="876"/>
      <c r="DA50" s="876"/>
      <c r="DB50" s="876"/>
      <c r="DC50" s="876"/>
      <c r="DD50" s="876"/>
      <c r="DE50" s="876"/>
      <c r="DF50" s="876"/>
      <c r="DG50" s="876"/>
      <c r="DH50" s="876"/>
      <c r="DI50" s="876"/>
      <c r="DJ50" s="876"/>
      <c r="DK50" s="876"/>
      <c r="DL50" s="876"/>
      <c r="DM50" s="876"/>
      <c r="DN50" s="876"/>
      <c r="DO50" s="876"/>
      <c r="DP50" s="876"/>
      <c r="DQ50" s="876"/>
      <c r="DR50" s="876"/>
      <c r="DS50" s="876"/>
      <c r="DT50" s="876"/>
      <c r="DU50" s="876"/>
      <c r="DV50" s="876"/>
      <c r="DW50" s="876"/>
      <c r="DX50" s="876"/>
      <c r="DY50" s="876"/>
      <c r="DZ50" s="876"/>
      <c r="EA50" s="876"/>
      <c r="EB50" s="876"/>
      <c r="EC50" s="876"/>
      <c r="ED50" s="876"/>
      <c r="EE50" s="876"/>
      <c r="EF50" s="876"/>
      <c r="EG50" s="876"/>
      <c r="EH50" s="876"/>
      <c r="EI50" s="876"/>
      <c r="EJ50" s="876"/>
      <c r="EK50" s="876"/>
      <c r="EL50" s="876"/>
      <c r="EM50" s="876"/>
      <c r="EN50" s="876"/>
      <c r="EO50" s="876"/>
      <c r="EP50" s="876"/>
      <c r="EQ50" s="876"/>
      <c r="ER50" s="876"/>
      <c r="ES50" s="876"/>
      <c r="ET50" s="876"/>
      <c r="EU50" s="876"/>
      <c r="EV50" s="876"/>
      <c r="EW50" s="876"/>
      <c r="EX50" s="876"/>
      <c r="EY50" s="876"/>
      <c r="EZ50" s="876"/>
      <c r="FA50" s="876"/>
      <c r="FB50" s="876"/>
      <c r="FC50" s="876"/>
      <c r="FD50" s="876"/>
      <c r="FE50" s="876"/>
      <c r="FF50" s="876"/>
      <c r="FG50" s="876"/>
      <c r="FH50" s="876"/>
      <c r="FI50" s="876"/>
      <c r="FJ50" s="876"/>
      <c r="FK50" s="876"/>
      <c r="FL50" s="876"/>
      <c r="FM50" s="876"/>
      <c r="FN50" s="876"/>
      <c r="FO50" s="876"/>
      <c r="FP50" s="876"/>
      <c r="FQ50" s="876"/>
      <c r="FR50" s="876"/>
      <c r="FS50" s="876"/>
      <c r="FT50" s="876"/>
      <c r="FU50" s="876"/>
      <c r="FV50" s="876"/>
      <c r="FW50" s="876"/>
      <c r="FX50" s="876"/>
      <c r="FY50" s="876"/>
      <c r="FZ50" s="876"/>
      <c r="GA50" s="876"/>
      <c r="GB50" s="876"/>
      <c r="GC50" s="876"/>
      <c r="GD50" s="876"/>
      <c r="GE50" s="876"/>
      <c r="GF50" s="876"/>
      <c r="GG50" s="876"/>
      <c r="GH50" s="876"/>
      <c r="GI50" s="876"/>
      <c r="GJ50" s="876"/>
      <c r="GK50" s="876"/>
      <c r="GL50" s="876"/>
      <c r="GM50" s="876"/>
      <c r="GN50" s="876"/>
      <c r="GO50" s="876"/>
      <c r="GP50" s="876"/>
      <c r="GQ50" s="876"/>
      <c r="GR50" s="876"/>
      <c r="GS50" s="876"/>
      <c r="GT50" s="876"/>
      <c r="GU50" s="876"/>
      <c r="GV50" s="876"/>
      <c r="GW50" s="876"/>
      <c r="GX50" s="876"/>
      <c r="GY50" s="876"/>
      <c r="GZ50" s="876"/>
      <c r="HA50" s="876"/>
      <c r="HB50" s="876"/>
      <c r="HC50" s="876"/>
      <c r="HD50" s="876"/>
      <c r="HE50" s="876"/>
      <c r="HF50" s="876"/>
      <c r="HG50" s="876"/>
      <c r="HH50" s="876"/>
      <c r="HI50" s="876"/>
      <c r="HJ50" s="876"/>
      <c r="HK50" s="876"/>
      <c r="HL50" s="876"/>
      <c r="HM50" s="876"/>
      <c r="HN50" s="876"/>
      <c r="HO50" s="876"/>
      <c r="HP50" s="876"/>
      <c r="HQ50" s="876"/>
      <c r="HR50" s="876"/>
      <c r="HS50" s="876"/>
      <c r="HT50" s="876"/>
      <c r="HU50" s="876"/>
      <c r="HV50" s="876"/>
      <c r="HW50" s="876"/>
      <c r="HX50" s="876"/>
      <c r="HY50" s="876"/>
      <c r="HZ50" s="876"/>
      <c r="IA50" s="876"/>
      <c r="IB50" s="876"/>
      <c r="IC50" s="876"/>
      <c r="ID50" s="876"/>
      <c r="IE50" s="876"/>
      <c r="IF50" s="876"/>
      <c r="IG50" s="876"/>
      <c r="IH50" s="876"/>
      <c r="II50" s="876"/>
      <c r="IJ50" s="876"/>
      <c r="IK50" s="876"/>
      <c r="IL50" s="876"/>
      <c r="IM50" s="876"/>
      <c r="IN50" s="876"/>
      <c r="IO50" s="876"/>
      <c r="IP50" s="876"/>
      <c r="IQ50" s="876"/>
      <c r="IR50" s="876"/>
      <c r="IS50" s="876"/>
      <c r="IT50" s="876"/>
      <c r="IU50" s="876"/>
      <c r="IV50" s="876"/>
    </row>
    <row r="51" spans="1:256" ht="17.399999999999999">
      <c r="A51" s="887"/>
      <c r="B51" s="876"/>
      <c r="C51" s="876"/>
      <c r="D51" s="876"/>
      <c r="E51" s="876"/>
      <c r="F51" s="876"/>
      <c r="G51" s="876"/>
      <c r="H51" s="876"/>
      <c r="I51" s="876"/>
      <c r="J51" s="876"/>
      <c r="K51" s="876"/>
      <c r="L51" s="876"/>
      <c r="M51" s="876"/>
      <c r="N51" s="876"/>
      <c r="O51" s="889"/>
      <c r="P51" s="889"/>
      <c r="Q51" s="876"/>
      <c r="R51" s="876"/>
      <c r="S51" s="876"/>
      <c r="T51" s="876"/>
      <c r="U51" s="876"/>
      <c r="V51" s="876"/>
      <c r="W51" s="876"/>
      <c r="X51" s="876"/>
      <c r="Y51" s="876"/>
      <c r="Z51" s="876"/>
      <c r="AA51" s="876"/>
      <c r="AB51" s="876"/>
      <c r="AC51" s="876"/>
      <c r="AD51" s="876"/>
      <c r="AE51" s="876"/>
      <c r="AF51" s="876"/>
      <c r="AG51" s="876"/>
      <c r="AH51" s="876"/>
      <c r="AI51" s="876"/>
      <c r="AJ51" s="876"/>
      <c r="AK51" s="876"/>
      <c r="AL51" s="876"/>
      <c r="AM51" s="876"/>
      <c r="AN51" s="876"/>
      <c r="AO51" s="876"/>
      <c r="AP51" s="876"/>
      <c r="AQ51" s="876"/>
      <c r="AR51" s="876"/>
      <c r="AS51" s="876"/>
      <c r="AT51" s="876"/>
      <c r="AU51" s="876"/>
      <c r="AV51" s="876"/>
      <c r="AW51" s="876"/>
      <c r="AX51" s="876"/>
      <c r="AY51" s="876"/>
      <c r="AZ51" s="876"/>
      <c r="BA51" s="876"/>
      <c r="BB51" s="876"/>
      <c r="BC51" s="876"/>
      <c r="BD51" s="876"/>
      <c r="BE51" s="876"/>
      <c r="BF51" s="876"/>
      <c r="BG51" s="876"/>
      <c r="BH51" s="876"/>
      <c r="BI51" s="876"/>
      <c r="BJ51" s="876"/>
      <c r="BK51" s="876"/>
      <c r="BL51" s="876"/>
      <c r="BM51" s="876"/>
      <c r="BN51" s="876"/>
      <c r="BO51" s="876"/>
      <c r="BP51" s="876"/>
      <c r="BQ51" s="876"/>
      <c r="BR51" s="876"/>
      <c r="BS51" s="876"/>
      <c r="BT51" s="876"/>
      <c r="BU51" s="876"/>
      <c r="BV51" s="876"/>
      <c r="BW51" s="876"/>
      <c r="BX51" s="876"/>
      <c r="BY51" s="876"/>
      <c r="BZ51" s="876"/>
      <c r="CA51" s="876"/>
      <c r="CB51" s="876"/>
      <c r="CC51" s="876"/>
      <c r="CD51" s="876"/>
      <c r="CE51" s="876"/>
      <c r="CF51" s="876"/>
      <c r="CG51" s="876"/>
      <c r="CH51" s="876"/>
      <c r="CI51" s="876"/>
      <c r="CJ51" s="876"/>
      <c r="CK51" s="876"/>
      <c r="CL51" s="876"/>
      <c r="CM51" s="876"/>
      <c r="CN51" s="876"/>
      <c r="CO51" s="876"/>
      <c r="CP51" s="876"/>
      <c r="CQ51" s="876"/>
      <c r="CR51" s="876"/>
      <c r="CS51" s="876"/>
      <c r="CT51" s="876"/>
      <c r="CU51" s="876"/>
      <c r="CV51" s="876"/>
      <c r="CW51" s="876"/>
      <c r="CX51" s="876"/>
      <c r="CY51" s="876"/>
      <c r="CZ51" s="876"/>
      <c r="DA51" s="876"/>
      <c r="DB51" s="876"/>
      <c r="DC51" s="876"/>
      <c r="DD51" s="876"/>
      <c r="DE51" s="876"/>
      <c r="DF51" s="876"/>
      <c r="DG51" s="876"/>
      <c r="DH51" s="876"/>
      <c r="DI51" s="876"/>
      <c r="DJ51" s="876"/>
      <c r="DK51" s="876"/>
      <c r="DL51" s="876"/>
      <c r="DM51" s="876"/>
      <c r="DN51" s="876"/>
      <c r="DO51" s="876"/>
      <c r="DP51" s="876"/>
      <c r="DQ51" s="876"/>
      <c r="DR51" s="876"/>
      <c r="DS51" s="876"/>
      <c r="DT51" s="876"/>
      <c r="DU51" s="876"/>
      <c r="DV51" s="876"/>
      <c r="DW51" s="876"/>
      <c r="DX51" s="876"/>
      <c r="DY51" s="876"/>
      <c r="DZ51" s="876"/>
      <c r="EA51" s="876"/>
      <c r="EB51" s="876"/>
      <c r="EC51" s="876"/>
      <c r="ED51" s="876"/>
      <c r="EE51" s="876"/>
      <c r="EF51" s="876"/>
      <c r="EG51" s="876"/>
      <c r="EH51" s="876"/>
      <c r="EI51" s="876"/>
      <c r="EJ51" s="876"/>
      <c r="EK51" s="876"/>
      <c r="EL51" s="876"/>
      <c r="EM51" s="876"/>
      <c r="EN51" s="876"/>
      <c r="EO51" s="876"/>
      <c r="EP51" s="876"/>
      <c r="EQ51" s="876"/>
      <c r="ER51" s="876"/>
      <c r="ES51" s="876"/>
      <c r="ET51" s="876"/>
      <c r="EU51" s="876"/>
      <c r="EV51" s="876"/>
      <c r="EW51" s="876"/>
      <c r="EX51" s="876"/>
      <c r="EY51" s="876"/>
      <c r="EZ51" s="876"/>
      <c r="FA51" s="876"/>
      <c r="FB51" s="876"/>
      <c r="FC51" s="876"/>
      <c r="FD51" s="876"/>
      <c r="FE51" s="876"/>
      <c r="FF51" s="876"/>
      <c r="FG51" s="876"/>
      <c r="FH51" s="876"/>
      <c r="FI51" s="876"/>
      <c r="FJ51" s="876"/>
      <c r="FK51" s="876"/>
      <c r="FL51" s="876"/>
      <c r="FM51" s="876"/>
      <c r="FN51" s="876"/>
      <c r="FO51" s="876"/>
      <c r="FP51" s="876"/>
      <c r="FQ51" s="876"/>
      <c r="FR51" s="876"/>
      <c r="FS51" s="876"/>
      <c r="FT51" s="876"/>
      <c r="FU51" s="876"/>
      <c r="FV51" s="876"/>
      <c r="FW51" s="876"/>
      <c r="FX51" s="876"/>
      <c r="FY51" s="876"/>
      <c r="FZ51" s="876"/>
      <c r="GA51" s="876"/>
      <c r="GB51" s="876"/>
      <c r="GC51" s="876"/>
      <c r="GD51" s="876"/>
      <c r="GE51" s="876"/>
      <c r="GF51" s="876"/>
      <c r="GG51" s="876"/>
      <c r="GH51" s="876"/>
      <c r="GI51" s="876"/>
      <c r="GJ51" s="876"/>
      <c r="GK51" s="876"/>
      <c r="GL51" s="876"/>
      <c r="GM51" s="876"/>
      <c r="GN51" s="876"/>
      <c r="GO51" s="876"/>
      <c r="GP51" s="876"/>
      <c r="GQ51" s="876"/>
      <c r="GR51" s="876"/>
      <c r="GS51" s="876"/>
      <c r="GT51" s="876"/>
      <c r="GU51" s="876"/>
      <c r="GV51" s="876"/>
      <c r="GW51" s="876"/>
      <c r="GX51" s="876"/>
      <c r="GY51" s="876"/>
      <c r="GZ51" s="876"/>
      <c r="HA51" s="876"/>
      <c r="HB51" s="876"/>
      <c r="HC51" s="876"/>
      <c r="HD51" s="876"/>
      <c r="HE51" s="876"/>
      <c r="HF51" s="876"/>
      <c r="HG51" s="876"/>
      <c r="HH51" s="876"/>
      <c r="HI51" s="876"/>
      <c r="HJ51" s="876"/>
      <c r="HK51" s="876"/>
      <c r="HL51" s="876"/>
      <c r="HM51" s="876"/>
      <c r="HN51" s="876"/>
      <c r="HO51" s="876"/>
      <c r="HP51" s="876"/>
      <c r="HQ51" s="876"/>
      <c r="HR51" s="876"/>
      <c r="HS51" s="876"/>
      <c r="HT51" s="876"/>
      <c r="HU51" s="876"/>
      <c r="HV51" s="876"/>
      <c r="HW51" s="876"/>
      <c r="HX51" s="876"/>
      <c r="HY51" s="876"/>
      <c r="HZ51" s="876"/>
      <c r="IA51" s="876"/>
      <c r="IB51" s="876"/>
      <c r="IC51" s="876"/>
      <c r="ID51" s="876"/>
      <c r="IE51" s="876"/>
      <c r="IF51" s="876"/>
      <c r="IG51" s="876"/>
      <c r="IH51" s="876"/>
      <c r="II51" s="876"/>
      <c r="IJ51" s="876"/>
      <c r="IK51" s="876"/>
      <c r="IL51" s="876"/>
      <c r="IM51" s="876"/>
      <c r="IN51" s="876"/>
      <c r="IO51" s="876"/>
      <c r="IP51" s="876"/>
      <c r="IQ51" s="876"/>
      <c r="IR51" s="876"/>
      <c r="IS51" s="876"/>
      <c r="IT51" s="876"/>
      <c r="IU51" s="876"/>
      <c r="IV51" s="876"/>
    </row>
    <row r="52" spans="1:256" ht="17.399999999999999">
      <c r="A52" s="887"/>
      <c r="B52" s="876"/>
      <c r="C52" s="876"/>
      <c r="D52" s="876"/>
      <c r="E52" s="876"/>
      <c r="F52" s="876"/>
      <c r="G52" s="876"/>
      <c r="H52" s="876"/>
      <c r="I52" s="876"/>
      <c r="J52" s="876"/>
      <c r="K52" s="876"/>
      <c r="L52" s="876"/>
      <c r="M52" s="876"/>
      <c r="N52" s="876"/>
      <c r="O52" s="889"/>
      <c r="P52" s="889"/>
      <c r="Q52" s="876"/>
      <c r="R52" s="876"/>
      <c r="S52" s="876"/>
      <c r="T52" s="876"/>
      <c r="U52" s="876"/>
      <c r="V52" s="876"/>
      <c r="W52" s="876"/>
      <c r="X52" s="876"/>
      <c r="Y52" s="876"/>
      <c r="Z52" s="876"/>
      <c r="AA52" s="876"/>
      <c r="AB52" s="876"/>
      <c r="AC52" s="876"/>
      <c r="AD52" s="876"/>
      <c r="AE52" s="876"/>
      <c r="AF52" s="876"/>
      <c r="AG52" s="876"/>
      <c r="AH52" s="876"/>
      <c r="AI52" s="876"/>
      <c r="AJ52" s="876"/>
      <c r="AK52" s="876"/>
      <c r="AL52" s="876"/>
      <c r="AM52" s="876"/>
      <c r="AN52" s="876"/>
      <c r="AO52" s="876"/>
      <c r="AP52" s="876"/>
      <c r="AQ52" s="876"/>
      <c r="AR52" s="876"/>
      <c r="AS52" s="876"/>
      <c r="AT52" s="876"/>
      <c r="AU52" s="876"/>
      <c r="AV52" s="876"/>
      <c r="AW52" s="876"/>
      <c r="AX52" s="876"/>
      <c r="AY52" s="876"/>
      <c r="AZ52" s="876"/>
      <c r="BA52" s="876"/>
      <c r="BB52" s="876"/>
      <c r="BC52" s="876"/>
      <c r="BD52" s="876"/>
      <c r="BE52" s="876"/>
      <c r="BF52" s="876"/>
      <c r="BG52" s="876"/>
      <c r="BH52" s="876"/>
      <c r="BI52" s="876"/>
      <c r="BJ52" s="876"/>
      <c r="BK52" s="876"/>
      <c r="BL52" s="876"/>
      <c r="BM52" s="876"/>
      <c r="BN52" s="876"/>
      <c r="BO52" s="876"/>
      <c r="BP52" s="876"/>
      <c r="BQ52" s="876"/>
      <c r="BR52" s="876"/>
      <c r="BS52" s="876"/>
      <c r="BT52" s="876"/>
      <c r="BU52" s="876"/>
      <c r="BV52" s="876"/>
      <c r="BW52" s="876"/>
      <c r="BX52" s="876"/>
      <c r="BY52" s="876"/>
      <c r="BZ52" s="876"/>
      <c r="CA52" s="876"/>
      <c r="CB52" s="876"/>
      <c r="CC52" s="876"/>
      <c r="CD52" s="876"/>
      <c r="CE52" s="876"/>
      <c r="CF52" s="876"/>
      <c r="CG52" s="876"/>
      <c r="CH52" s="876"/>
      <c r="CI52" s="876"/>
      <c r="CJ52" s="876"/>
      <c r="CK52" s="876"/>
      <c r="CL52" s="876"/>
      <c r="CM52" s="876"/>
      <c r="CN52" s="876"/>
      <c r="CO52" s="876"/>
      <c r="CP52" s="876"/>
      <c r="CQ52" s="876"/>
      <c r="CR52" s="876"/>
      <c r="CS52" s="876"/>
      <c r="CT52" s="876"/>
      <c r="CU52" s="876"/>
      <c r="CV52" s="876"/>
      <c r="CW52" s="876"/>
      <c r="CX52" s="876"/>
      <c r="CY52" s="876"/>
      <c r="CZ52" s="876"/>
      <c r="DA52" s="876"/>
      <c r="DB52" s="876"/>
      <c r="DC52" s="876"/>
      <c r="DD52" s="876"/>
      <c r="DE52" s="876"/>
      <c r="DF52" s="876"/>
      <c r="DG52" s="876"/>
      <c r="DH52" s="876"/>
      <c r="DI52" s="876"/>
      <c r="DJ52" s="876"/>
      <c r="DK52" s="876"/>
      <c r="DL52" s="876"/>
      <c r="DM52" s="876"/>
      <c r="DN52" s="876"/>
      <c r="DO52" s="876"/>
      <c r="DP52" s="876"/>
      <c r="DQ52" s="876"/>
      <c r="DR52" s="876"/>
      <c r="DS52" s="876"/>
      <c r="DT52" s="876"/>
      <c r="DU52" s="876"/>
      <c r="DV52" s="876"/>
      <c r="DW52" s="876"/>
      <c r="DX52" s="876"/>
      <c r="DY52" s="876"/>
      <c r="DZ52" s="876"/>
      <c r="EA52" s="876"/>
      <c r="EB52" s="876"/>
      <c r="EC52" s="876"/>
      <c r="ED52" s="876"/>
      <c r="EE52" s="876"/>
      <c r="EF52" s="876"/>
      <c r="EG52" s="876"/>
      <c r="EH52" s="876"/>
      <c r="EI52" s="876"/>
      <c r="EJ52" s="876"/>
      <c r="EK52" s="876"/>
      <c r="EL52" s="876"/>
      <c r="EM52" s="876"/>
      <c r="EN52" s="876"/>
      <c r="EO52" s="876"/>
      <c r="EP52" s="876"/>
      <c r="EQ52" s="876"/>
      <c r="ER52" s="876"/>
      <c r="ES52" s="876"/>
      <c r="ET52" s="876"/>
      <c r="EU52" s="876"/>
      <c r="EV52" s="876"/>
      <c r="EW52" s="876"/>
      <c r="EX52" s="876"/>
      <c r="EY52" s="876"/>
      <c r="EZ52" s="876"/>
      <c r="FA52" s="876"/>
      <c r="FB52" s="876"/>
      <c r="FC52" s="876"/>
      <c r="FD52" s="876"/>
      <c r="FE52" s="876"/>
      <c r="FF52" s="876"/>
      <c r="FG52" s="876"/>
      <c r="FH52" s="876"/>
      <c r="FI52" s="876"/>
      <c r="FJ52" s="876"/>
      <c r="FK52" s="876"/>
      <c r="FL52" s="876"/>
      <c r="FM52" s="876"/>
      <c r="FN52" s="876"/>
      <c r="FO52" s="876"/>
      <c r="FP52" s="876"/>
      <c r="FQ52" s="876"/>
      <c r="FR52" s="876"/>
      <c r="FS52" s="876"/>
      <c r="FT52" s="876"/>
      <c r="FU52" s="876"/>
      <c r="FV52" s="876"/>
      <c r="FW52" s="876"/>
      <c r="FX52" s="876"/>
      <c r="FY52" s="876"/>
      <c r="FZ52" s="876"/>
      <c r="GA52" s="876"/>
      <c r="GB52" s="876"/>
      <c r="GC52" s="876"/>
      <c r="GD52" s="876"/>
      <c r="GE52" s="876"/>
      <c r="GF52" s="876"/>
      <c r="GG52" s="876"/>
      <c r="GH52" s="876"/>
      <c r="GI52" s="876"/>
      <c r="GJ52" s="876"/>
      <c r="GK52" s="876"/>
      <c r="GL52" s="876"/>
      <c r="GM52" s="876"/>
      <c r="GN52" s="876"/>
      <c r="GO52" s="876"/>
      <c r="GP52" s="876"/>
      <c r="GQ52" s="876"/>
      <c r="GR52" s="876"/>
      <c r="GS52" s="876"/>
      <c r="GT52" s="876"/>
      <c r="GU52" s="876"/>
      <c r="GV52" s="876"/>
      <c r="GW52" s="876"/>
      <c r="GX52" s="876"/>
      <c r="GY52" s="876"/>
      <c r="GZ52" s="876"/>
      <c r="HA52" s="876"/>
      <c r="HB52" s="876"/>
      <c r="HC52" s="876"/>
      <c r="HD52" s="876"/>
      <c r="HE52" s="876"/>
      <c r="HF52" s="876"/>
      <c r="HG52" s="876"/>
      <c r="HH52" s="876"/>
      <c r="HI52" s="876"/>
      <c r="HJ52" s="876"/>
      <c r="HK52" s="876"/>
      <c r="HL52" s="876"/>
      <c r="HM52" s="876"/>
      <c r="HN52" s="876"/>
      <c r="HO52" s="876"/>
      <c r="HP52" s="876"/>
      <c r="HQ52" s="876"/>
      <c r="HR52" s="876"/>
      <c r="HS52" s="876"/>
      <c r="HT52" s="876"/>
      <c r="HU52" s="876"/>
      <c r="HV52" s="876"/>
      <c r="HW52" s="876"/>
      <c r="HX52" s="876"/>
      <c r="HY52" s="876"/>
      <c r="HZ52" s="876"/>
      <c r="IA52" s="876"/>
      <c r="IB52" s="876"/>
      <c r="IC52" s="876"/>
      <c r="ID52" s="876"/>
      <c r="IE52" s="876"/>
      <c r="IF52" s="876"/>
      <c r="IG52" s="876"/>
      <c r="IH52" s="876"/>
      <c r="II52" s="876"/>
      <c r="IJ52" s="876"/>
      <c r="IK52" s="876"/>
      <c r="IL52" s="876"/>
      <c r="IM52" s="876"/>
      <c r="IN52" s="876"/>
      <c r="IO52" s="876"/>
      <c r="IP52" s="876"/>
      <c r="IQ52" s="876"/>
      <c r="IR52" s="876"/>
      <c r="IS52" s="876"/>
      <c r="IT52" s="876"/>
      <c r="IU52" s="876"/>
      <c r="IV52" s="876"/>
    </row>
    <row r="53" spans="1:256" ht="17.399999999999999">
      <c r="A53" s="887"/>
      <c r="B53" s="876"/>
      <c r="C53" s="876"/>
      <c r="D53" s="876"/>
      <c r="E53" s="876"/>
      <c r="F53" s="876"/>
      <c r="G53" s="876"/>
      <c r="H53" s="876"/>
      <c r="I53" s="876"/>
      <c r="J53" s="876"/>
      <c r="K53" s="876"/>
      <c r="L53" s="876"/>
      <c r="M53" s="876"/>
      <c r="N53" s="876"/>
      <c r="O53" s="889"/>
      <c r="P53" s="889"/>
      <c r="Q53" s="876"/>
      <c r="R53" s="876"/>
      <c r="S53" s="876"/>
      <c r="T53" s="876"/>
      <c r="U53" s="876"/>
      <c r="V53" s="876"/>
      <c r="W53" s="876"/>
      <c r="X53" s="876"/>
      <c r="Y53" s="876"/>
      <c r="Z53" s="876"/>
      <c r="AA53" s="876"/>
      <c r="AB53" s="876"/>
      <c r="AC53" s="876"/>
      <c r="AD53" s="876"/>
      <c r="AE53" s="876"/>
      <c r="AF53" s="876"/>
      <c r="AG53" s="876"/>
      <c r="AH53" s="876"/>
      <c r="AI53" s="876"/>
      <c r="AJ53" s="876"/>
      <c r="AK53" s="876"/>
      <c r="AL53" s="876"/>
      <c r="AM53" s="876"/>
      <c r="AN53" s="876"/>
      <c r="AO53" s="876"/>
      <c r="AP53" s="876"/>
      <c r="AQ53" s="876"/>
      <c r="AR53" s="876"/>
      <c r="AS53" s="876"/>
      <c r="AT53" s="876"/>
      <c r="AU53" s="876"/>
      <c r="AV53" s="876"/>
      <c r="AW53" s="876"/>
      <c r="AX53" s="876"/>
      <c r="AY53" s="876"/>
      <c r="AZ53" s="876"/>
      <c r="BA53" s="876"/>
      <c r="BB53" s="876"/>
      <c r="BC53" s="876"/>
      <c r="BD53" s="876"/>
      <c r="BE53" s="876"/>
      <c r="BF53" s="876"/>
      <c r="BG53" s="876"/>
      <c r="BH53" s="876"/>
      <c r="BI53" s="876"/>
      <c r="BJ53" s="876"/>
      <c r="BK53" s="876"/>
      <c r="BL53" s="876"/>
      <c r="BM53" s="876"/>
      <c r="BN53" s="876"/>
      <c r="BO53" s="876"/>
      <c r="BP53" s="876"/>
      <c r="BQ53" s="876"/>
      <c r="BR53" s="876"/>
      <c r="BS53" s="876"/>
      <c r="BT53" s="876"/>
      <c r="BU53" s="876"/>
      <c r="BV53" s="876"/>
      <c r="BW53" s="876"/>
      <c r="BX53" s="876"/>
      <c r="BY53" s="876"/>
      <c r="BZ53" s="876"/>
      <c r="CA53" s="876"/>
      <c r="CB53" s="876"/>
      <c r="CC53" s="876"/>
      <c r="CD53" s="876"/>
      <c r="CE53" s="876"/>
      <c r="CF53" s="876"/>
      <c r="CG53" s="876"/>
      <c r="CH53" s="876"/>
      <c r="CI53" s="876"/>
      <c r="CJ53" s="876"/>
      <c r="CK53" s="876"/>
      <c r="CL53" s="876"/>
      <c r="CM53" s="876"/>
      <c r="CN53" s="876"/>
      <c r="CO53" s="876"/>
      <c r="CP53" s="876"/>
      <c r="CQ53" s="876"/>
      <c r="CR53" s="876"/>
      <c r="CS53" s="876"/>
      <c r="CT53" s="876"/>
      <c r="CU53" s="876"/>
      <c r="CV53" s="876"/>
      <c r="CW53" s="876"/>
      <c r="CX53" s="876"/>
      <c r="CY53" s="876"/>
      <c r="CZ53" s="876"/>
      <c r="DA53" s="876"/>
      <c r="DB53" s="876"/>
      <c r="DC53" s="876"/>
      <c r="DD53" s="876"/>
      <c r="DE53" s="876"/>
      <c r="DF53" s="876"/>
      <c r="DG53" s="876"/>
      <c r="DH53" s="876"/>
      <c r="DI53" s="876"/>
      <c r="DJ53" s="876"/>
      <c r="DK53" s="876"/>
      <c r="DL53" s="876"/>
      <c r="DM53" s="876"/>
      <c r="DN53" s="876"/>
      <c r="DO53" s="876"/>
      <c r="DP53" s="876"/>
      <c r="DQ53" s="876"/>
      <c r="DR53" s="876"/>
      <c r="DS53" s="876"/>
      <c r="DT53" s="876"/>
      <c r="DU53" s="876"/>
      <c r="DV53" s="876"/>
      <c r="DW53" s="876"/>
      <c r="DX53" s="876"/>
      <c r="DY53" s="876"/>
      <c r="DZ53" s="876"/>
      <c r="EA53" s="876"/>
      <c r="EB53" s="876"/>
      <c r="EC53" s="876"/>
      <c r="ED53" s="876"/>
      <c r="EE53" s="876"/>
      <c r="EF53" s="876"/>
      <c r="EG53" s="876"/>
      <c r="EH53" s="876"/>
      <c r="EI53" s="876"/>
      <c r="EJ53" s="876"/>
      <c r="EK53" s="876"/>
      <c r="EL53" s="876"/>
      <c r="EM53" s="876"/>
      <c r="EN53" s="876"/>
      <c r="EO53" s="876"/>
      <c r="EP53" s="876"/>
      <c r="EQ53" s="876"/>
      <c r="ER53" s="876"/>
      <c r="ES53" s="876"/>
      <c r="ET53" s="876"/>
      <c r="EU53" s="876"/>
      <c r="EV53" s="876"/>
      <c r="EW53" s="876"/>
      <c r="EX53" s="876"/>
      <c r="EY53" s="876"/>
      <c r="EZ53" s="876"/>
      <c r="FA53" s="876"/>
      <c r="FB53" s="876"/>
      <c r="FC53" s="876"/>
      <c r="FD53" s="876"/>
      <c r="FE53" s="876"/>
      <c r="FF53" s="876"/>
      <c r="FG53" s="876"/>
      <c r="FH53" s="876"/>
      <c r="FI53" s="876"/>
      <c r="FJ53" s="876"/>
      <c r="FK53" s="876"/>
      <c r="FL53" s="876"/>
      <c r="FM53" s="876"/>
      <c r="FN53" s="876"/>
      <c r="FO53" s="876"/>
      <c r="FP53" s="876"/>
      <c r="FQ53" s="876"/>
      <c r="FR53" s="876"/>
      <c r="FS53" s="876"/>
      <c r="FT53" s="876"/>
      <c r="FU53" s="876"/>
      <c r="FV53" s="876"/>
      <c r="FW53" s="876"/>
      <c r="FX53" s="876"/>
      <c r="FY53" s="876"/>
      <c r="FZ53" s="876"/>
      <c r="GA53" s="876"/>
      <c r="GB53" s="876"/>
      <c r="GC53" s="876"/>
      <c r="GD53" s="876"/>
      <c r="GE53" s="876"/>
      <c r="GF53" s="876"/>
      <c r="GG53" s="876"/>
      <c r="GH53" s="876"/>
      <c r="GI53" s="876"/>
      <c r="GJ53" s="876"/>
      <c r="GK53" s="876"/>
      <c r="GL53" s="876"/>
      <c r="GM53" s="876"/>
      <c r="GN53" s="876"/>
      <c r="GO53" s="876"/>
      <c r="GP53" s="876"/>
      <c r="GQ53" s="876"/>
      <c r="GR53" s="876"/>
      <c r="GS53" s="876"/>
      <c r="GT53" s="876"/>
      <c r="GU53" s="876"/>
      <c r="GV53" s="876"/>
      <c r="GW53" s="876"/>
      <c r="GX53" s="876"/>
      <c r="GY53" s="876"/>
      <c r="GZ53" s="876"/>
      <c r="HA53" s="876"/>
      <c r="HB53" s="876"/>
      <c r="HC53" s="876"/>
      <c r="HD53" s="876"/>
      <c r="HE53" s="876"/>
      <c r="HF53" s="876"/>
      <c r="HG53" s="876"/>
      <c r="HH53" s="876"/>
      <c r="HI53" s="876"/>
      <c r="HJ53" s="876"/>
      <c r="HK53" s="876"/>
      <c r="HL53" s="876"/>
      <c r="HM53" s="876"/>
      <c r="HN53" s="876"/>
      <c r="HO53" s="876"/>
      <c r="HP53" s="876"/>
      <c r="HQ53" s="876"/>
      <c r="HR53" s="876"/>
      <c r="HS53" s="876"/>
      <c r="HT53" s="876"/>
      <c r="HU53" s="876"/>
      <c r="HV53" s="876"/>
      <c r="HW53" s="876"/>
      <c r="HX53" s="876"/>
      <c r="HY53" s="876"/>
      <c r="HZ53" s="876"/>
      <c r="IA53" s="876"/>
      <c r="IB53" s="876"/>
      <c r="IC53" s="876"/>
      <c r="ID53" s="876"/>
      <c r="IE53" s="876"/>
      <c r="IF53" s="876"/>
      <c r="IG53" s="876"/>
      <c r="IH53" s="876"/>
      <c r="II53" s="876"/>
      <c r="IJ53" s="876"/>
      <c r="IK53" s="876"/>
      <c r="IL53" s="876"/>
      <c r="IM53" s="876"/>
      <c r="IN53" s="876"/>
      <c r="IO53" s="876"/>
      <c r="IP53" s="876"/>
      <c r="IQ53" s="876"/>
      <c r="IR53" s="876"/>
      <c r="IS53" s="876"/>
      <c r="IT53" s="876"/>
      <c r="IU53" s="876"/>
      <c r="IV53" s="876"/>
    </row>
    <row r="54" spans="1:256" ht="17.399999999999999">
      <c r="A54" s="887"/>
      <c r="B54" s="876"/>
      <c r="C54" s="876"/>
      <c r="D54" s="876"/>
      <c r="E54" s="876"/>
      <c r="F54" s="876"/>
      <c r="G54" s="876"/>
      <c r="H54" s="876"/>
      <c r="I54" s="876"/>
      <c r="J54" s="876"/>
      <c r="K54" s="876"/>
      <c r="L54" s="876"/>
      <c r="M54" s="876"/>
      <c r="N54" s="876"/>
      <c r="O54" s="889"/>
      <c r="P54" s="889"/>
      <c r="Q54" s="876"/>
      <c r="R54" s="876"/>
      <c r="S54" s="876"/>
      <c r="T54" s="876"/>
      <c r="U54" s="876"/>
      <c r="V54" s="876"/>
      <c r="W54" s="876"/>
      <c r="X54" s="876"/>
      <c r="Y54" s="876"/>
      <c r="Z54" s="876"/>
      <c r="AA54" s="876"/>
      <c r="AB54" s="876"/>
      <c r="AC54" s="876"/>
      <c r="AD54" s="876"/>
      <c r="AE54" s="876"/>
      <c r="AF54" s="876"/>
      <c r="AG54" s="876"/>
      <c r="AH54" s="876"/>
      <c r="AI54" s="876"/>
      <c r="AJ54" s="876"/>
      <c r="AK54" s="876"/>
      <c r="AL54" s="876"/>
      <c r="AM54" s="876"/>
      <c r="AN54" s="876"/>
      <c r="AO54" s="876"/>
      <c r="AP54" s="876"/>
      <c r="AQ54" s="876"/>
      <c r="AR54" s="876"/>
      <c r="AS54" s="876"/>
      <c r="AT54" s="876"/>
      <c r="AU54" s="876"/>
      <c r="AV54" s="876"/>
      <c r="AW54" s="876"/>
      <c r="AX54" s="876"/>
      <c r="AY54" s="876"/>
      <c r="AZ54" s="876"/>
      <c r="BA54" s="876"/>
      <c r="BB54" s="876"/>
      <c r="BC54" s="876"/>
      <c r="BD54" s="876"/>
      <c r="BE54" s="876"/>
      <c r="BF54" s="876"/>
      <c r="BG54" s="876"/>
      <c r="BH54" s="876"/>
      <c r="BI54" s="876"/>
      <c r="BJ54" s="876"/>
      <c r="BK54" s="876"/>
      <c r="BL54" s="876"/>
      <c r="BM54" s="876"/>
      <c r="BN54" s="876"/>
      <c r="BO54" s="876"/>
      <c r="BP54" s="876"/>
      <c r="BQ54" s="876"/>
      <c r="BR54" s="876"/>
      <c r="BS54" s="876"/>
      <c r="BT54" s="876"/>
      <c r="BU54" s="876"/>
      <c r="BV54" s="876"/>
      <c r="BW54" s="876"/>
      <c r="BX54" s="876"/>
      <c r="BY54" s="876"/>
      <c r="BZ54" s="876"/>
      <c r="CA54" s="876"/>
      <c r="CB54" s="876"/>
      <c r="CC54" s="876"/>
      <c r="CD54" s="876"/>
      <c r="CE54" s="876"/>
      <c r="CF54" s="876"/>
      <c r="CG54" s="876"/>
      <c r="CH54" s="876"/>
      <c r="CI54" s="876"/>
      <c r="CJ54" s="876"/>
      <c r="CK54" s="876"/>
      <c r="CL54" s="876"/>
      <c r="CM54" s="876"/>
      <c r="CN54" s="876"/>
      <c r="CO54" s="876"/>
      <c r="CP54" s="876"/>
      <c r="CQ54" s="876"/>
      <c r="CR54" s="876"/>
      <c r="CS54" s="876"/>
      <c r="CT54" s="876"/>
      <c r="CU54" s="876"/>
      <c r="CV54" s="876"/>
      <c r="CW54" s="876"/>
      <c r="CX54" s="876"/>
      <c r="CY54" s="876"/>
      <c r="CZ54" s="876"/>
      <c r="DA54" s="876"/>
      <c r="DB54" s="876"/>
      <c r="DC54" s="876"/>
      <c r="DD54" s="876"/>
      <c r="DE54" s="876"/>
      <c r="DF54" s="876"/>
      <c r="DG54" s="876"/>
      <c r="DH54" s="876"/>
      <c r="DI54" s="876"/>
      <c r="DJ54" s="876"/>
      <c r="DK54" s="876"/>
      <c r="DL54" s="876"/>
      <c r="DM54" s="876"/>
      <c r="DN54" s="876"/>
      <c r="DO54" s="876"/>
      <c r="DP54" s="876"/>
      <c r="DQ54" s="876"/>
      <c r="DR54" s="876"/>
      <c r="DS54" s="876"/>
      <c r="DT54" s="876"/>
      <c r="DU54" s="876"/>
      <c r="DV54" s="876"/>
      <c r="DW54" s="876"/>
      <c r="DX54" s="876"/>
      <c r="DY54" s="876"/>
      <c r="DZ54" s="876"/>
      <c r="EA54" s="876"/>
      <c r="EB54" s="876"/>
      <c r="EC54" s="876"/>
      <c r="ED54" s="876"/>
      <c r="EE54" s="876"/>
      <c r="EF54" s="876"/>
      <c r="EG54" s="876"/>
      <c r="EH54" s="876"/>
      <c r="EI54" s="876"/>
      <c r="EJ54" s="876"/>
      <c r="EK54" s="876"/>
      <c r="EL54" s="876"/>
      <c r="EM54" s="876"/>
      <c r="EN54" s="876"/>
      <c r="EO54" s="876"/>
      <c r="EP54" s="876"/>
      <c r="EQ54" s="876"/>
      <c r="ER54" s="876"/>
      <c r="ES54" s="876"/>
      <c r="ET54" s="876"/>
      <c r="EU54" s="876"/>
      <c r="EV54" s="876"/>
      <c r="EW54" s="876"/>
      <c r="EX54" s="876"/>
      <c r="EY54" s="876"/>
      <c r="EZ54" s="876"/>
      <c r="FA54" s="876"/>
      <c r="FB54" s="876"/>
      <c r="FC54" s="876"/>
      <c r="FD54" s="876"/>
      <c r="FE54" s="876"/>
      <c r="FF54" s="876"/>
      <c r="FG54" s="876"/>
      <c r="FH54" s="876"/>
      <c r="FI54" s="876"/>
      <c r="FJ54" s="876"/>
      <c r="FK54" s="876"/>
      <c r="FL54" s="876"/>
      <c r="FM54" s="876"/>
      <c r="FN54" s="876"/>
      <c r="FO54" s="876"/>
      <c r="FP54" s="876"/>
      <c r="FQ54" s="876"/>
      <c r="FR54" s="876"/>
      <c r="FS54" s="876"/>
      <c r="FT54" s="876"/>
      <c r="FU54" s="876"/>
      <c r="FV54" s="876"/>
      <c r="FW54" s="876"/>
      <c r="FX54" s="876"/>
      <c r="FY54" s="876"/>
      <c r="FZ54" s="876"/>
      <c r="GA54" s="876"/>
      <c r="GB54" s="876"/>
      <c r="GC54" s="876"/>
      <c r="GD54" s="876"/>
      <c r="GE54" s="876"/>
      <c r="GF54" s="876"/>
      <c r="GG54" s="876"/>
      <c r="GH54" s="876"/>
      <c r="GI54" s="876"/>
      <c r="GJ54" s="876"/>
      <c r="GK54" s="876"/>
      <c r="GL54" s="876"/>
      <c r="GM54" s="876"/>
      <c r="GN54" s="876"/>
      <c r="GO54" s="876"/>
      <c r="GP54" s="876"/>
      <c r="GQ54" s="876"/>
      <c r="GR54" s="876"/>
      <c r="GS54" s="876"/>
      <c r="GT54" s="876"/>
      <c r="GU54" s="876"/>
      <c r="GV54" s="876"/>
      <c r="GW54" s="876"/>
      <c r="GX54" s="876"/>
      <c r="GY54" s="876"/>
      <c r="GZ54" s="876"/>
      <c r="HA54" s="876"/>
      <c r="HB54" s="876"/>
      <c r="HC54" s="876"/>
      <c r="HD54" s="876"/>
      <c r="HE54" s="876"/>
      <c r="HF54" s="876"/>
      <c r="HG54" s="876"/>
      <c r="HH54" s="876"/>
      <c r="HI54" s="876"/>
      <c r="HJ54" s="876"/>
      <c r="HK54" s="876"/>
      <c r="HL54" s="876"/>
      <c r="HM54" s="876"/>
      <c r="HN54" s="876"/>
      <c r="HO54" s="876"/>
      <c r="HP54" s="876"/>
      <c r="HQ54" s="876"/>
      <c r="HR54" s="876"/>
      <c r="HS54" s="876"/>
      <c r="HT54" s="876"/>
      <c r="HU54" s="876"/>
      <c r="HV54" s="876"/>
      <c r="HW54" s="876"/>
      <c r="HX54" s="876"/>
      <c r="HY54" s="876"/>
      <c r="HZ54" s="876"/>
      <c r="IA54" s="876"/>
      <c r="IB54" s="876"/>
      <c r="IC54" s="876"/>
      <c r="ID54" s="876"/>
      <c r="IE54" s="876"/>
      <c r="IF54" s="876"/>
      <c r="IG54" s="876"/>
      <c r="IH54" s="876"/>
      <c r="II54" s="876"/>
      <c r="IJ54" s="876"/>
      <c r="IK54" s="876"/>
      <c r="IL54" s="876"/>
      <c r="IM54" s="876"/>
      <c r="IN54" s="876"/>
      <c r="IO54" s="876"/>
      <c r="IP54" s="876"/>
      <c r="IQ54" s="876"/>
      <c r="IR54" s="876"/>
      <c r="IS54" s="876"/>
      <c r="IT54" s="876"/>
      <c r="IU54" s="876"/>
      <c r="IV54" s="876"/>
    </row>
    <row r="55" spans="1:256" ht="17.399999999999999">
      <c r="A55" s="887"/>
      <c r="B55" s="876"/>
      <c r="C55" s="876"/>
      <c r="D55" s="876"/>
      <c r="E55" s="876"/>
      <c r="F55" s="876"/>
      <c r="G55" s="876"/>
      <c r="H55" s="876"/>
      <c r="I55" s="876"/>
      <c r="J55" s="876"/>
      <c r="K55" s="876"/>
      <c r="L55" s="876"/>
      <c r="M55" s="876"/>
      <c r="N55" s="876"/>
      <c r="O55" s="889"/>
      <c r="P55" s="889"/>
      <c r="Q55" s="876"/>
      <c r="R55" s="876"/>
      <c r="S55" s="876"/>
      <c r="T55" s="876"/>
      <c r="U55" s="876"/>
      <c r="V55" s="876"/>
      <c r="W55" s="876"/>
      <c r="X55" s="876"/>
      <c r="Y55" s="876"/>
      <c r="Z55" s="876"/>
      <c r="AA55" s="876"/>
      <c r="AB55" s="876"/>
      <c r="AC55" s="876"/>
      <c r="AD55" s="876"/>
      <c r="AE55" s="876"/>
      <c r="AF55" s="876"/>
      <c r="AG55" s="876"/>
      <c r="AH55" s="876"/>
      <c r="AI55" s="876"/>
      <c r="AJ55" s="876"/>
      <c r="AK55" s="876"/>
      <c r="AL55" s="876"/>
      <c r="AM55" s="876"/>
      <c r="AN55" s="876"/>
      <c r="AO55" s="876"/>
      <c r="AP55" s="876"/>
      <c r="AQ55" s="876"/>
      <c r="AR55" s="876"/>
      <c r="AS55" s="876"/>
      <c r="AT55" s="876"/>
      <c r="AU55" s="876"/>
      <c r="AV55" s="876"/>
      <c r="AW55" s="876"/>
      <c r="AX55" s="876"/>
      <c r="AY55" s="876"/>
      <c r="AZ55" s="876"/>
      <c r="BA55" s="876"/>
      <c r="BB55" s="876"/>
      <c r="BC55" s="876"/>
      <c r="BD55" s="876"/>
      <c r="BE55" s="876"/>
      <c r="BF55" s="876"/>
      <c r="BG55" s="876"/>
      <c r="BH55" s="876"/>
      <c r="BI55" s="876"/>
      <c r="BJ55" s="876"/>
      <c r="BK55" s="876"/>
      <c r="BL55" s="876"/>
      <c r="BM55" s="876"/>
      <c r="BN55" s="876"/>
      <c r="BO55" s="876"/>
      <c r="BP55" s="876"/>
      <c r="BQ55" s="876"/>
      <c r="BR55" s="876"/>
      <c r="BS55" s="876"/>
      <c r="BT55" s="876"/>
      <c r="BU55" s="876"/>
      <c r="BV55" s="876"/>
      <c r="BW55" s="876"/>
      <c r="BX55" s="876"/>
      <c r="BY55" s="876"/>
      <c r="BZ55" s="876"/>
      <c r="CA55" s="876"/>
      <c r="CB55" s="876"/>
      <c r="CC55" s="876"/>
      <c r="CD55" s="876"/>
      <c r="CE55" s="876"/>
      <c r="CF55" s="876"/>
      <c r="CG55" s="876"/>
      <c r="CH55" s="876"/>
      <c r="CI55" s="876"/>
      <c r="CJ55" s="876"/>
      <c r="CK55" s="876"/>
      <c r="CL55" s="876"/>
      <c r="CM55" s="876"/>
      <c r="CN55" s="876"/>
      <c r="CO55" s="876"/>
      <c r="CP55" s="876"/>
      <c r="CQ55" s="876"/>
      <c r="CR55" s="876"/>
      <c r="CS55" s="876"/>
      <c r="CT55" s="876"/>
      <c r="CU55" s="876"/>
      <c r="CV55" s="876"/>
      <c r="CW55" s="876"/>
      <c r="CX55" s="876"/>
      <c r="CY55" s="876"/>
      <c r="CZ55" s="876"/>
      <c r="DA55" s="876"/>
      <c r="DB55" s="876"/>
      <c r="DC55" s="876"/>
      <c r="DD55" s="876"/>
      <c r="DE55" s="876"/>
      <c r="DF55" s="876"/>
      <c r="DG55" s="876"/>
      <c r="DH55" s="876"/>
      <c r="DI55" s="876"/>
      <c r="DJ55" s="876"/>
      <c r="DK55" s="876"/>
      <c r="DL55" s="876"/>
      <c r="DM55" s="876"/>
      <c r="DN55" s="876"/>
      <c r="DO55" s="876"/>
      <c r="DP55" s="876"/>
      <c r="DQ55" s="876"/>
      <c r="DR55" s="876"/>
      <c r="DS55" s="876"/>
      <c r="DT55" s="876"/>
      <c r="DU55" s="876"/>
      <c r="DV55" s="876"/>
      <c r="DW55" s="876"/>
      <c r="DX55" s="876"/>
      <c r="DY55" s="876"/>
      <c r="DZ55" s="876"/>
      <c r="EA55" s="876"/>
      <c r="EB55" s="876"/>
      <c r="EC55" s="876"/>
      <c r="ED55" s="876"/>
      <c r="EE55" s="876"/>
      <c r="EF55" s="876"/>
      <c r="EG55" s="876"/>
      <c r="EH55" s="876"/>
      <c r="EI55" s="876"/>
      <c r="EJ55" s="876"/>
      <c r="EK55" s="876"/>
      <c r="EL55" s="876"/>
      <c r="EM55" s="876"/>
      <c r="EN55" s="876"/>
      <c r="EO55" s="876"/>
      <c r="EP55" s="876"/>
      <c r="EQ55" s="876"/>
      <c r="ER55" s="876"/>
      <c r="ES55" s="876"/>
      <c r="ET55" s="876"/>
      <c r="EU55" s="876"/>
      <c r="EV55" s="876"/>
      <c r="EW55" s="876"/>
      <c r="EX55" s="876"/>
      <c r="EY55" s="876"/>
      <c r="EZ55" s="876"/>
      <c r="FA55" s="876"/>
      <c r="FB55" s="876"/>
      <c r="FC55" s="876"/>
      <c r="FD55" s="876"/>
      <c r="FE55" s="876"/>
      <c r="FF55" s="876"/>
      <c r="FG55" s="876"/>
      <c r="FH55" s="876"/>
      <c r="FI55" s="876"/>
      <c r="FJ55" s="876"/>
      <c r="FK55" s="876"/>
      <c r="FL55" s="876"/>
      <c r="FM55" s="876"/>
      <c r="FN55" s="876"/>
      <c r="FO55" s="876"/>
      <c r="FP55" s="876"/>
      <c r="FQ55" s="876"/>
      <c r="FR55" s="876"/>
      <c r="FS55" s="876"/>
      <c r="FT55" s="876"/>
      <c r="FU55" s="876"/>
      <c r="FV55" s="876"/>
      <c r="FW55" s="876"/>
      <c r="FX55" s="876"/>
      <c r="FY55" s="876"/>
      <c r="FZ55" s="876"/>
      <c r="GA55" s="876"/>
      <c r="GB55" s="876"/>
      <c r="GC55" s="876"/>
      <c r="GD55" s="876"/>
      <c r="GE55" s="876"/>
      <c r="GF55" s="876"/>
      <c r="GG55" s="876"/>
      <c r="GH55" s="876"/>
      <c r="GI55" s="876"/>
      <c r="GJ55" s="876"/>
      <c r="GK55" s="876"/>
      <c r="GL55" s="876"/>
      <c r="GM55" s="876"/>
      <c r="GN55" s="876"/>
      <c r="GO55" s="876"/>
      <c r="GP55" s="876"/>
      <c r="GQ55" s="876"/>
      <c r="GR55" s="876"/>
      <c r="GS55" s="876"/>
      <c r="GT55" s="876"/>
      <c r="GU55" s="876"/>
      <c r="GV55" s="876"/>
      <c r="GW55" s="876"/>
      <c r="GX55" s="876"/>
      <c r="GY55" s="876"/>
      <c r="GZ55" s="876"/>
      <c r="HA55" s="876"/>
      <c r="HB55" s="876"/>
      <c r="HC55" s="876"/>
      <c r="HD55" s="876"/>
      <c r="HE55" s="876"/>
      <c r="HF55" s="876"/>
      <c r="HG55" s="876"/>
      <c r="HH55" s="876"/>
      <c r="HI55" s="876"/>
      <c r="HJ55" s="876"/>
      <c r="HK55" s="876"/>
      <c r="HL55" s="876"/>
      <c r="HM55" s="876"/>
      <c r="HN55" s="876"/>
      <c r="HO55" s="876"/>
      <c r="HP55" s="876"/>
      <c r="HQ55" s="876"/>
      <c r="HR55" s="876"/>
      <c r="HS55" s="876"/>
      <c r="HT55" s="876"/>
      <c r="HU55" s="876"/>
      <c r="HV55" s="876"/>
      <c r="HW55" s="876"/>
      <c r="HX55" s="876"/>
      <c r="HY55" s="876"/>
      <c r="HZ55" s="876"/>
      <c r="IA55" s="876"/>
      <c r="IB55" s="876"/>
      <c r="IC55" s="876"/>
      <c r="ID55" s="876"/>
      <c r="IE55" s="876"/>
      <c r="IF55" s="876"/>
      <c r="IG55" s="876"/>
      <c r="IH55" s="876"/>
      <c r="II55" s="876"/>
      <c r="IJ55" s="876"/>
      <c r="IK55" s="876"/>
      <c r="IL55" s="876"/>
      <c r="IM55" s="876"/>
      <c r="IN55" s="876"/>
      <c r="IO55" s="876"/>
      <c r="IP55" s="876"/>
      <c r="IQ55" s="876"/>
      <c r="IR55" s="876"/>
      <c r="IS55" s="876"/>
      <c r="IT55" s="876"/>
      <c r="IU55" s="876"/>
      <c r="IV55" s="876"/>
    </row>
    <row r="56" spans="1:256" ht="17.399999999999999">
      <c r="A56" s="876"/>
      <c r="B56" s="876"/>
      <c r="C56" s="876"/>
      <c r="D56" s="876"/>
      <c r="E56" s="876"/>
      <c r="F56" s="876"/>
      <c r="G56" s="876"/>
      <c r="H56" s="876"/>
      <c r="I56" s="876"/>
      <c r="J56" s="876"/>
      <c r="K56" s="876"/>
      <c r="L56" s="876"/>
      <c r="M56" s="876"/>
      <c r="N56" s="876"/>
      <c r="O56" s="889"/>
      <c r="P56" s="889"/>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6"/>
      <c r="AY56" s="876"/>
      <c r="AZ56" s="876"/>
      <c r="BA56" s="876"/>
      <c r="BB56" s="876"/>
      <c r="BC56" s="876"/>
      <c r="BD56" s="876"/>
      <c r="BE56" s="876"/>
      <c r="BF56" s="876"/>
      <c r="BG56" s="876"/>
      <c r="BH56" s="876"/>
      <c r="BI56" s="876"/>
      <c r="BJ56" s="876"/>
      <c r="BK56" s="876"/>
      <c r="BL56" s="876"/>
      <c r="BM56" s="876"/>
      <c r="BN56" s="876"/>
      <c r="BO56" s="876"/>
      <c r="BP56" s="876"/>
      <c r="BQ56" s="876"/>
      <c r="BR56" s="876"/>
      <c r="BS56" s="876"/>
      <c r="BT56" s="876"/>
      <c r="BU56" s="876"/>
      <c r="BV56" s="876"/>
      <c r="BW56" s="876"/>
      <c r="BX56" s="876"/>
      <c r="BY56" s="876"/>
      <c r="BZ56" s="876"/>
      <c r="CA56" s="876"/>
      <c r="CB56" s="876"/>
      <c r="CC56" s="876"/>
      <c r="CD56" s="876"/>
      <c r="CE56" s="876"/>
      <c r="CF56" s="876"/>
      <c r="CG56" s="876"/>
      <c r="CH56" s="876"/>
      <c r="CI56" s="876"/>
      <c r="CJ56" s="876"/>
      <c r="CK56" s="876"/>
      <c r="CL56" s="876"/>
      <c r="CM56" s="876"/>
      <c r="CN56" s="876"/>
      <c r="CO56" s="876"/>
      <c r="CP56" s="876"/>
      <c r="CQ56" s="876"/>
      <c r="CR56" s="876"/>
      <c r="CS56" s="876"/>
      <c r="CT56" s="876"/>
      <c r="CU56" s="876"/>
      <c r="CV56" s="876"/>
      <c r="CW56" s="876"/>
      <c r="CX56" s="876"/>
      <c r="CY56" s="876"/>
      <c r="CZ56" s="876"/>
      <c r="DA56" s="876"/>
      <c r="DB56" s="876"/>
      <c r="DC56" s="876"/>
      <c r="DD56" s="876"/>
      <c r="DE56" s="876"/>
      <c r="DF56" s="876"/>
      <c r="DG56" s="876"/>
      <c r="DH56" s="876"/>
      <c r="DI56" s="876"/>
      <c r="DJ56" s="876"/>
      <c r="DK56" s="876"/>
      <c r="DL56" s="876"/>
      <c r="DM56" s="876"/>
      <c r="DN56" s="876"/>
      <c r="DO56" s="876"/>
      <c r="DP56" s="876"/>
      <c r="DQ56" s="876"/>
      <c r="DR56" s="876"/>
      <c r="DS56" s="876"/>
      <c r="DT56" s="876"/>
      <c r="DU56" s="876"/>
      <c r="DV56" s="876"/>
      <c r="DW56" s="876"/>
      <c r="DX56" s="876"/>
      <c r="DY56" s="876"/>
      <c r="DZ56" s="876"/>
      <c r="EA56" s="876"/>
      <c r="EB56" s="876"/>
      <c r="EC56" s="876"/>
      <c r="ED56" s="876"/>
      <c r="EE56" s="876"/>
      <c r="EF56" s="876"/>
      <c r="EG56" s="876"/>
      <c r="EH56" s="876"/>
      <c r="EI56" s="876"/>
      <c r="EJ56" s="876"/>
      <c r="EK56" s="876"/>
      <c r="EL56" s="876"/>
      <c r="EM56" s="876"/>
      <c r="EN56" s="876"/>
      <c r="EO56" s="876"/>
      <c r="EP56" s="876"/>
      <c r="EQ56" s="876"/>
      <c r="ER56" s="876"/>
      <c r="ES56" s="876"/>
      <c r="ET56" s="876"/>
      <c r="EU56" s="876"/>
      <c r="EV56" s="876"/>
      <c r="EW56" s="876"/>
      <c r="EX56" s="876"/>
      <c r="EY56" s="876"/>
      <c r="EZ56" s="876"/>
      <c r="FA56" s="876"/>
      <c r="FB56" s="876"/>
      <c r="FC56" s="876"/>
      <c r="FD56" s="876"/>
      <c r="FE56" s="876"/>
      <c r="FF56" s="876"/>
      <c r="FG56" s="876"/>
      <c r="FH56" s="876"/>
      <c r="FI56" s="876"/>
      <c r="FJ56" s="876"/>
      <c r="FK56" s="876"/>
      <c r="FL56" s="876"/>
      <c r="FM56" s="876"/>
      <c r="FN56" s="876"/>
      <c r="FO56" s="876"/>
      <c r="FP56" s="876"/>
      <c r="FQ56" s="876"/>
      <c r="FR56" s="876"/>
      <c r="FS56" s="876"/>
      <c r="FT56" s="876"/>
      <c r="FU56" s="876"/>
      <c r="FV56" s="876"/>
      <c r="FW56" s="876"/>
      <c r="FX56" s="876"/>
      <c r="FY56" s="876"/>
      <c r="FZ56" s="876"/>
      <c r="GA56" s="876"/>
      <c r="GB56" s="876"/>
      <c r="GC56" s="876"/>
      <c r="GD56" s="876"/>
      <c r="GE56" s="876"/>
      <c r="GF56" s="876"/>
      <c r="GG56" s="876"/>
      <c r="GH56" s="876"/>
      <c r="GI56" s="876"/>
      <c r="GJ56" s="876"/>
      <c r="GK56" s="876"/>
      <c r="GL56" s="876"/>
      <c r="GM56" s="876"/>
      <c r="GN56" s="876"/>
      <c r="GO56" s="876"/>
      <c r="GP56" s="876"/>
      <c r="GQ56" s="876"/>
      <c r="GR56" s="876"/>
      <c r="GS56" s="876"/>
      <c r="GT56" s="876"/>
      <c r="GU56" s="876"/>
      <c r="GV56" s="876"/>
      <c r="GW56" s="876"/>
      <c r="GX56" s="876"/>
      <c r="GY56" s="876"/>
      <c r="GZ56" s="876"/>
      <c r="HA56" s="876"/>
      <c r="HB56" s="876"/>
      <c r="HC56" s="876"/>
      <c r="HD56" s="876"/>
      <c r="HE56" s="876"/>
      <c r="HF56" s="876"/>
      <c r="HG56" s="876"/>
      <c r="HH56" s="876"/>
      <c r="HI56" s="876"/>
      <c r="HJ56" s="876"/>
      <c r="HK56" s="876"/>
      <c r="HL56" s="876"/>
      <c r="HM56" s="876"/>
      <c r="HN56" s="876"/>
      <c r="HO56" s="876"/>
      <c r="HP56" s="876"/>
      <c r="HQ56" s="876"/>
      <c r="HR56" s="876"/>
      <c r="HS56" s="876"/>
      <c r="HT56" s="876"/>
      <c r="HU56" s="876"/>
      <c r="HV56" s="876"/>
      <c r="HW56" s="876"/>
      <c r="HX56" s="876"/>
      <c r="HY56" s="876"/>
      <c r="HZ56" s="876"/>
      <c r="IA56" s="876"/>
      <c r="IB56" s="876"/>
      <c r="IC56" s="876"/>
      <c r="ID56" s="876"/>
      <c r="IE56" s="876"/>
      <c r="IF56" s="876"/>
      <c r="IG56" s="876"/>
      <c r="IH56" s="876"/>
      <c r="II56" s="876"/>
      <c r="IJ56" s="876"/>
      <c r="IK56" s="876"/>
      <c r="IL56" s="876"/>
      <c r="IM56" s="876"/>
      <c r="IN56" s="876"/>
      <c r="IO56" s="876"/>
      <c r="IP56" s="876"/>
      <c r="IQ56" s="876"/>
      <c r="IR56" s="876"/>
      <c r="IS56" s="876"/>
      <c r="IT56" s="876"/>
      <c r="IU56" s="876"/>
      <c r="IV56" s="876"/>
    </row>
    <row r="57" spans="1:256" ht="17.399999999999999">
      <c r="A57" s="876"/>
      <c r="B57" s="876"/>
      <c r="C57" s="876"/>
      <c r="D57" s="876"/>
      <c r="E57" s="876"/>
      <c r="F57" s="876"/>
      <c r="G57" s="876"/>
      <c r="H57" s="876"/>
      <c r="I57" s="876"/>
      <c r="J57" s="876"/>
      <c r="K57" s="876"/>
      <c r="L57" s="876"/>
      <c r="M57" s="876"/>
      <c r="N57" s="876"/>
      <c r="O57" s="889"/>
      <c r="P57" s="889"/>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6"/>
      <c r="AY57" s="876"/>
      <c r="AZ57" s="876"/>
      <c r="BA57" s="876"/>
      <c r="BB57" s="876"/>
      <c r="BC57" s="876"/>
      <c r="BD57" s="876"/>
      <c r="BE57" s="876"/>
      <c r="BF57" s="876"/>
      <c r="BG57" s="876"/>
      <c r="BH57" s="876"/>
      <c r="BI57" s="876"/>
      <c r="BJ57" s="876"/>
      <c r="BK57" s="876"/>
      <c r="BL57" s="876"/>
      <c r="BM57" s="876"/>
      <c r="BN57" s="876"/>
      <c r="BO57" s="876"/>
      <c r="BP57" s="876"/>
      <c r="BQ57" s="876"/>
      <c r="BR57" s="876"/>
      <c r="BS57" s="876"/>
      <c r="BT57" s="876"/>
      <c r="BU57" s="876"/>
      <c r="BV57" s="876"/>
      <c r="BW57" s="876"/>
      <c r="BX57" s="876"/>
      <c r="BY57" s="876"/>
      <c r="BZ57" s="876"/>
      <c r="CA57" s="876"/>
      <c r="CB57" s="876"/>
      <c r="CC57" s="876"/>
      <c r="CD57" s="876"/>
      <c r="CE57" s="876"/>
      <c r="CF57" s="876"/>
      <c r="CG57" s="876"/>
      <c r="CH57" s="876"/>
      <c r="CI57" s="876"/>
      <c r="CJ57" s="876"/>
      <c r="CK57" s="876"/>
      <c r="CL57" s="876"/>
      <c r="CM57" s="876"/>
      <c r="CN57" s="876"/>
      <c r="CO57" s="876"/>
      <c r="CP57" s="876"/>
      <c r="CQ57" s="876"/>
      <c r="CR57" s="876"/>
      <c r="CS57" s="876"/>
      <c r="CT57" s="876"/>
      <c r="CU57" s="876"/>
      <c r="CV57" s="876"/>
      <c r="CW57" s="876"/>
      <c r="CX57" s="876"/>
      <c r="CY57" s="876"/>
      <c r="CZ57" s="876"/>
      <c r="DA57" s="876"/>
      <c r="DB57" s="876"/>
      <c r="DC57" s="876"/>
      <c r="DD57" s="876"/>
      <c r="DE57" s="876"/>
      <c r="DF57" s="876"/>
      <c r="DG57" s="876"/>
      <c r="DH57" s="876"/>
      <c r="DI57" s="876"/>
      <c r="DJ57" s="876"/>
      <c r="DK57" s="876"/>
      <c r="DL57" s="876"/>
      <c r="DM57" s="876"/>
      <c r="DN57" s="876"/>
      <c r="DO57" s="876"/>
      <c r="DP57" s="876"/>
      <c r="DQ57" s="876"/>
      <c r="DR57" s="876"/>
      <c r="DS57" s="876"/>
      <c r="DT57" s="876"/>
      <c r="DU57" s="876"/>
      <c r="DV57" s="876"/>
      <c r="DW57" s="876"/>
      <c r="DX57" s="876"/>
      <c r="DY57" s="876"/>
      <c r="DZ57" s="876"/>
      <c r="EA57" s="876"/>
      <c r="EB57" s="876"/>
      <c r="EC57" s="876"/>
      <c r="ED57" s="876"/>
      <c r="EE57" s="876"/>
      <c r="EF57" s="876"/>
      <c r="EG57" s="876"/>
      <c r="EH57" s="876"/>
      <c r="EI57" s="876"/>
      <c r="EJ57" s="876"/>
      <c r="EK57" s="876"/>
      <c r="EL57" s="876"/>
      <c r="EM57" s="876"/>
      <c r="EN57" s="876"/>
      <c r="EO57" s="876"/>
      <c r="EP57" s="876"/>
      <c r="EQ57" s="876"/>
      <c r="ER57" s="876"/>
      <c r="ES57" s="876"/>
      <c r="ET57" s="876"/>
      <c r="EU57" s="876"/>
      <c r="EV57" s="876"/>
      <c r="EW57" s="876"/>
      <c r="EX57" s="876"/>
      <c r="EY57" s="876"/>
      <c r="EZ57" s="876"/>
      <c r="FA57" s="876"/>
      <c r="FB57" s="876"/>
      <c r="FC57" s="876"/>
      <c r="FD57" s="876"/>
      <c r="FE57" s="876"/>
      <c r="FF57" s="876"/>
      <c r="FG57" s="876"/>
      <c r="FH57" s="876"/>
      <c r="FI57" s="876"/>
      <c r="FJ57" s="876"/>
      <c r="FK57" s="876"/>
      <c r="FL57" s="876"/>
      <c r="FM57" s="876"/>
      <c r="FN57" s="876"/>
      <c r="FO57" s="876"/>
      <c r="FP57" s="876"/>
      <c r="FQ57" s="876"/>
      <c r="FR57" s="876"/>
      <c r="FS57" s="876"/>
      <c r="FT57" s="876"/>
      <c r="FU57" s="876"/>
      <c r="FV57" s="876"/>
      <c r="FW57" s="876"/>
      <c r="FX57" s="876"/>
      <c r="FY57" s="876"/>
      <c r="FZ57" s="876"/>
      <c r="GA57" s="876"/>
      <c r="GB57" s="876"/>
      <c r="GC57" s="876"/>
      <c r="GD57" s="876"/>
      <c r="GE57" s="876"/>
      <c r="GF57" s="876"/>
      <c r="GG57" s="876"/>
      <c r="GH57" s="876"/>
      <c r="GI57" s="876"/>
      <c r="GJ57" s="876"/>
      <c r="GK57" s="876"/>
      <c r="GL57" s="876"/>
      <c r="GM57" s="876"/>
      <c r="GN57" s="876"/>
      <c r="GO57" s="876"/>
      <c r="GP57" s="876"/>
      <c r="GQ57" s="876"/>
      <c r="GR57" s="876"/>
      <c r="GS57" s="876"/>
      <c r="GT57" s="876"/>
      <c r="GU57" s="876"/>
      <c r="GV57" s="876"/>
      <c r="GW57" s="876"/>
      <c r="GX57" s="876"/>
      <c r="GY57" s="876"/>
      <c r="GZ57" s="876"/>
      <c r="HA57" s="876"/>
      <c r="HB57" s="876"/>
      <c r="HC57" s="876"/>
      <c r="HD57" s="876"/>
      <c r="HE57" s="876"/>
      <c r="HF57" s="876"/>
      <c r="HG57" s="876"/>
      <c r="HH57" s="876"/>
      <c r="HI57" s="876"/>
      <c r="HJ57" s="876"/>
      <c r="HK57" s="876"/>
      <c r="HL57" s="876"/>
      <c r="HM57" s="876"/>
      <c r="HN57" s="876"/>
      <c r="HO57" s="876"/>
      <c r="HP57" s="876"/>
      <c r="HQ57" s="876"/>
      <c r="HR57" s="876"/>
      <c r="HS57" s="876"/>
      <c r="HT57" s="876"/>
      <c r="HU57" s="876"/>
      <c r="HV57" s="876"/>
      <c r="HW57" s="876"/>
      <c r="HX57" s="876"/>
      <c r="HY57" s="876"/>
      <c r="HZ57" s="876"/>
      <c r="IA57" s="876"/>
      <c r="IB57" s="876"/>
      <c r="IC57" s="876"/>
      <c r="ID57" s="876"/>
      <c r="IE57" s="876"/>
      <c r="IF57" s="876"/>
      <c r="IG57" s="876"/>
      <c r="IH57" s="876"/>
      <c r="II57" s="876"/>
      <c r="IJ57" s="876"/>
      <c r="IK57" s="876"/>
      <c r="IL57" s="876"/>
      <c r="IM57" s="876"/>
      <c r="IN57" s="876"/>
      <c r="IO57" s="876"/>
      <c r="IP57" s="876"/>
      <c r="IQ57" s="876"/>
      <c r="IR57" s="876"/>
      <c r="IS57" s="876"/>
      <c r="IT57" s="876"/>
      <c r="IU57" s="876"/>
      <c r="IV57" s="876"/>
    </row>
    <row r="58" spans="1:256" ht="17.399999999999999">
      <c r="A58" s="876"/>
      <c r="B58" s="876"/>
      <c r="C58" s="876"/>
      <c r="D58" s="876"/>
      <c r="E58" s="876"/>
      <c r="F58" s="876"/>
      <c r="G58" s="876"/>
      <c r="H58" s="876"/>
      <c r="I58" s="876"/>
      <c r="J58" s="876"/>
      <c r="K58" s="876"/>
      <c r="L58" s="876"/>
      <c r="M58" s="876"/>
      <c r="N58" s="876"/>
      <c r="O58" s="889"/>
      <c r="P58" s="889"/>
      <c r="Q58" s="876"/>
      <c r="R58" s="876"/>
      <c r="S58" s="876"/>
      <c r="T58" s="876"/>
      <c r="U58" s="876"/>
      <c r="V58" s="876"/>
      <c r="W58" s="876"/>
      <c r="X58" s="876"/>
      <c r="Y58" s="876"/>
      <c r="Z58" s="876"/>
      <c r="AA58" s="876"/>
      <c r="AB58" s="876"/>
      <c r="AC58" s="876"/>
      <c r="AD58" s="876"/>
      <c r="AE58" s="876"/>
      <c r="AF58" s="876"/>
      <c r="AG58" s="876"/>
      <c r="AH58" s="876"/>
      <c r="AI58" s="876"/>
      <c r="AJ58" s="876"/>
      <c r="AK58" s="876"/>
      <c r="AL58" s="876"/>
      <c r="AM58" s="876"/>
      <c r="AN58" s="876"/>
      <c r="AO58" s="876"/>
      <c r="AP58" s="876"/>
      <c r="AQ58" s="876"/>
      <c r="AR58" s="876"/>
      <c r="AS58" s="876"/>
      <c r="AT58" s="876"/>
      <c r="AU58" s="876"/>
      <c r="AV58" s="876"/>
      <c r="AW58" s="876"/>
      <c r="AX58" s="876"/>
      <c r="AY58" s="876"/>
      <c r="AZ58" s="876"/>
      <c r="BA58" s="876"/>
      <c r="BB58" s="876"/>
      <c r="BC58" s="876"/>
      <c r="BD58" s="876"/>
      <c r="BE58" s="876"/>
      <c r="BF58" s="876"/>
      <c r="BG58" s="876"/>
      <c r="BH58" s="876"/>
      <c r="BI58" s="876"/>
      <c r="BJ58" s="876"/>
      <c r="BK58" s="876"/>
      <c r="BL58" s="876"/>
      <c r="BM58" s="876"/>
      <c r="BN58" s="876"/>
      <c r="BO58" s="876"/>
      <c r="BP58" s="876"/>
      <c r="BQ58" s="876"/>
      <c r="BR58" s="876"/>
      <c r="BS58" s="876"/>
      <c r="BT58" s="876"/>
      <c r="BU58" s="876"/>
      <c r="BV58" s="876"/>
      <c r="BW58" s="876"/>
      <c r="BX58" s="876"/>
      <c r="BY58" s="876"/>
      <c r="BZ58" s="876"/>
      <c r="CA58" s="876"/>
      <c r="CB58" s="876"/>
      <c r="CC58" s="876"/>
      <c r="CD58" s="876"/>
      <c r="CE58" s="876"/>
      <c r="CF58" s="876"/>
      <c r="CG58" s="876"/>
      <c r="CH58" s="876"/>
      <c r="CI58" s="876"/>
      <c r="CJ58" s="876"/>
      <c r="CK58" s="876"/>
      <c r="CL58" s="876"/>
      <c r="CM58" s="876"/>
      <c r="CN58" s="876"/>
      <c r="CO58" s="876"/>
      <c r="CP58" s="876"/>
      <c r="CQ58" s="876"/>
      <c r="CR58" s="876"/>
      <c r="CS58" s="876"/>
      <c r="CT58" s="876"/>
      <c r="CU58" s="876"/>
      <c r="CV58" s="876"/>
      <c r="CW58" s="876"/>
      <c r="CX58" s="876"/>
      <c r="CY58" s="876"/>
      <c r="CZ58" s="876"/>
      <c r="DA58" s="876"/>
      <c r="DB58" s="876"/>
      <c r="DC58" s="876"/>
      <c r="DD58" s="876"/>
      <c r="DE58" s="876"/>
      <c r="DF58" s="876"/>
      <c r="DG58" s="876"/>
      <c r="DH58" s="876"/>
      <c r="DI58" s="876"/>
      <c r="DJ58" s="876"/>
      <c r="DK58" s="876"/>
      <c r="DL58" s="876"/>
      <c r="DM58" s="876"/>
      <c r="DN58" s="876"/>
      <c r="DO58" s="876"/>
      <c r="DP58" s="876"/>
      <c r="DQ58" s="876"/>
      <c r="DR58" s="876"/>
      <c r="DS58" s="876"/>
      <c r="DT58" s="876"/>
      <c r="DU58" s="876"/>
      <c r="DV58" s="876"/>
      <c r="DW58" s="876"/>
      <c r="DX58" s="876"/>
      <c r="DY58" s="876"/>
      <c r="DZ58" s="876"/>
      <c r="EA58" s="876"/>
      <c r="EB58" s="876"/>
      <c r="EC58" s="876"/>
      <c r="ED58" s="876"/>
      <c r="EE58" s="876"/>
      <c r="EF58" s="876"/>
      <c r="EG58" s="876"/>
      <c r="EH58" s="876"/>
      <c r="EI58" s="876"/>
      <c r="EJ58" s="876"/>
      <c r="EK58" s="876"/>
      <c r="EL58" s="876"/>
      <c r="EM58" s="876"/>
      <c r="EN58" s="876"/>
      <c r="EO58" s="876"/>
      <c r="EP58" s="876"/>
      <c r="EQ58" s="876"/>
      <c r="ER58" s="876"/>
      <c r="ES58" s="876"/>
      <c r="ET58" s="876"/>
      <c r="EU58" s="876"/>
      <c r="EV58" s="876"/>
      <c r="EW58" s="876"/>
      <c r="EX58" s="876"/>
      <c r="EY58" s="876"/>
      <c r="EZ58" s="876"/>
      <c r="FA58" s="876"/>
      <c r="FB58" s="876"/>
      <c r="FC58" s="876"/>
      <c r="FD58" s="876"/>
      <c r="FE58" s="876"/>
      <c r="FF58" s="876"/>
      <c r="FG58" s="876"/>
      <c r="FH58" s="876"/>
      <c r="FI58" s="876"/>
      <c r="FJ58" s="876"/>
      <c r="FK58" s="876"/>
      <c r="FL58" s="876"/>
      <c r="FM58" s="876"/>
      <c r="FN58" s="876"/>
      <c r="FO58" s="876"/>
      <c r="FP58" s="876"/>
      <c r="FQ58" s="876"/>
      <c r="FR58" s="876"/>
      <c r="FS58" s="876"/>
      <c r="FT58" s="876"/>
      <c r="FU58" s="876"/>
      <c r="FV58" s="876"/>
      <c r="FW58" s="876"/>
      <c r="FX58" s="876"/>
      <c r="FY58" s="876"/>
      <c r="FZ58" s="876"/>
      <c r="GA58" s="876"/>
      <c r="GB58" s="876"/>
      <c r="GC58" s="876"/>
      <c r="GD58" s="876"/>
      <c r="GE58" s="876"/>
      <c r="GF58" s="876"/>
      <c r="GG58" s="876"/>
      <c r="GH58" s="876"/>
      <c r="GI58" s="876"/>
      <c r="GJ58" s="876"/>
      <c r="GK58" s="876"/>
      <c r="GL58" s="876"/>
      <c r="GM58" s="876"/>
      <c r="GN58" s="876"/>
      <c r="GO58" s="876"/>
      <c r="GP58" s="876"/>
      <c r="GQ58" s="876"/>
      <c r="GR58" s="876"/>
      <c r="GS58" s="876"/>
      <c r="GT58" s="876"/>
      <c r="GU58" s="876"/>
      <c r="GV58" s="876"/>
      <c r="GW58" s="876"/>
      <c r="GX58" s="876"/>
      <c r="GY58" s="876"/>
      <c r="GZ58" s="876"/>
      <c r="HA58" s="876"/>
      <c r="HB58" s="876"/>
      <c r="HC58" s="876"/>
      <c r="HD58" s="876"/>
      <c r="HE58" s="876"/>
      <c r="HF58" s="876"/>
      <c r="HG58" s="876"/>
      <c r="HH58" s="876"/>
      <c r="HI58" s="876"/>
      <c r="HJ58" s="876"/>
      <c r="HK58" s="876"/>
      <c r="HL58" s="876"/>
      <c r="HM58" s="876"/>
      <c r="HN58" s="876"/>
      <c r="HO58" s="876"/>
      <c r="HP58" s="876"/>
      <c r="HQ58" s="876"/>
      <c r="HR58" s="876"/>
      <c r="HS58" s="876"/>
      <c r="HT58" s="876"/>
      <c r="HU58" s="876"/>
      <c r="HV58" s="876"/>
      <c r="HW58" s="876"/>
      <c r="HX58" s="876"/>
      <c r="HY58" s="876"/>
      <c r="HZ58" s="876"/>
      <c r="IA58" s="876"/>
      <c r="IB58" s="876"/>
      <c r="IC58" s="876"/>
      <c r="ID58" s="876"/>
      <c r="IE58" s="876"/>
      <c r="IF58" s="876"/>
      <c r="IG58" s="876"/>
      <c r="IH58" s="876"/>
      <c r="II58" s="876"/>
      <c r="IJ58" s="876"/>
      <c r="IK58" s="876"/>
      <c r="IL58" s="876"/>
      <c r="IM58" s="876"/>
      <c r="IN58" s="876"/>
      <c r="IO58" s="876"/>
      <c r="IP58" s="876"/>
      <c r="IQ58" s="876"/>
      <c r="IR58" s="876"/>
      <c r="IS58" s="876"/>
      <c r="IT58" s="876"/>
      <c r="IU58" s="876"/>
      <c r="IV58" s="876"/>
    </row>
    <row r="59" spans="1:256" ht="17.399999999999999">
      <c r="A59" s="876"/>
      <c r="B59" s="876"/>
      <c r="C59" s="876"/>
      <c r="D59" s="876"/>
      <c r="E59" s="876"/>
      <c r="F59" s="876"/>
      <c r="G59" s="876"/>
      <c r="H59" s="876"/>
      <c r="I59" s="876"/>
      <c r="J59" s="876"/>
      <c r="K59" s="876"/>
      <c r="L59" s="876"/>
      <c r="M59" s="876"/>
      <c r="N59" s="876"/>
      <c r="O59" s="889"/>
      <c r="P59" s="889"/>
      <c r="Q59" s="876"/>
      <c r="R59" s="876"/>
      <c r="S59" s="876"/>
      <c r="T59" s="876"/>
      <c r="U59" s="876"/>
      <c r="V59" s="876"/>
      <c r="W59" s="876"/>
      <c r="X59" s="876"/>
      <c r="Y59" s="876"/>
      <c r="Z59" s="876"/>
      <c r="AA59" s="876"/>
      <c r="AB59" s="876"/>
      <c r="AC59" s="876"/>
      <c r="AD59" s="876"/>
      <c r="AE59" s="876"/>
      <c r="AF59" s="876"/>
      <c r="AG59" s="876"/>
      <c r="AH59" s="876"/>
      <c r="AI59" s="876"/>
      <c r="AJ59" s="876"/>
      <c r="AK59" s="876"/>
      <c r="AL59" s="876"/>
      <c r="AM59" s="876"/>
      <c r="AN59" s="876"/>
      <c r="AO59" s="876"/>
      <c r="AP59" s="876"/>
      <c r="AQ59" s="876"/>
      <c r="AR59" s="876"/>
      <c r="AS59" s="876"/>
      <c r="AT59" s="876"/>
      <c r="AU59" s="876"/>
      <c r="AV59" s="876"/>
      <c r="AW59" s="876"/>
      <c r="AX59" s="876"/>
      <c r="AY59" s="876"/>
      <c r="AZ59" s="876"/>
      <c r="BA59" s="876"/>
      <c r="BB59" s="876"/>
      <c r="BC59" s="876"/>
      <c r="BD59" s="876"/>
      <c r="BE59" s="876"/>
      <c r="BF59" s="876"/>
      <c r="BG59" s="876"/>
      <c r="BH59" s="876"/>
      <c r="BI59" s="876"/>
      <c r="BJ59" s="876"/>
      <c r="BK59" s="876"/>
      <c r="BL59" s="876"/>
      <c r="BM59" s="876"/>
      <c r="BN59" s="876"/>
      <c r="BO59" s="876"/>
      <c r="BP59" s="876"/>
      <c r="BQ59" s="876"/>
      <c r="BR59" s="876"/>
      <c r="BS59" s="876"/>
      <c r="BT59" s="876"/>
      <c r="BU59" s="876"/>
      <c r="BV59" s="876"/>
      <c r="BW59" s="876"/>
      <c r="BX59" s="876"/>
      <c r="BY59" s="876"/>
      <c r="BZ59" s="876"/>
      <c r="CA59" s="876"/>
      <c r="CB59" s="876"/>
      <c r="CC59" s="876"/>
      <c r="CD59" s="876"/>
      <c r="CE59" s="876"/>
      <c r="CF59" s="876"/>
      <c r="CG59" s="876"/>
      <c r="CH59" s="876"/>
      <c r="CI59" s="876"/>
      <c r="CJ59" s="876"/>
      <c r="CK59" s="876"/>
      <c r="CL59" s="876"/>
      <c r="CM59" s="876"/>
      <c r="CN59" s="876"/>
      <c r="CO59" s="876"/>
      <c r="CP59" s="876"/>
      <c r="CQ59" s="876"/>
      <c r="CR59" s="876"/>
      <c r="CS59" s="876"/>
      <c r="CT59" s="876"/>
      <c r="CU59" s="876"/>
      <c r="CV59" s="876"/>
      <c r="CW59" s="876"/>
      <c r="CX59" s="876"/>
      <c r="CY59" s="876"/>
      <c r="CZ59" s="876"/>
      <c r="DA59" s="876"/>
      <c r="DB59" s="876"/>
      <c r="DC59" s="876"/>
      <c r="DD59" s="876"/>
      <c r="DE59" s="876"/>
      <c r="DF59" s="876"/>
      <c r="DG59" s="876"/>
      <c r="DH59" s="876"/>
      <c r="DI59" s="876"/>
      <c r="DJ59" s="876"/>
      <c r="DK59" s="876"/>
      <c r="DL59" s="876"/>
      <c r="DM59" s="876"/>
      <c r="DN59" s="876"/>
      <c r="DO59" s="876"/>
      <c r="DP59" s="876"/>
      <c r="DQ59" s="876"/>
      <c r="DR59" s="876"/>
      <c r="DS59" s="876"/>
      <c r="DT59" s="876"/>
      <c r="DU59" s="876"/>
      <c r="DV59" s="876"/>
      <c r="DW59" s="876"/>
      <c r="DX59" s="876"/>
      <c r="DY59" s="876"/>
      <c r="DZ59" s="876"/>
      <c r="EA59" s="876"/>
      <c r="EB59" s="876"/>
      <c r="EC59" s="876"/>
      <c r="ED59" s="876"/>
      <c r="EE59" s="876"/>
      <c r="EF59" s="876"/>
      <c r="EG59" s="876"/>
      <c r="EH59" s="876"/>
      <c r="EI59" s="876"/>
      <c r="EJ59" s="876"/>
      <c r="EK59" s="876"/>
      <c r="EL59" s="876"/>
      <c r="EM59" s="876"/>
      <c r="EN59" s="876"/>
      <c r="EO59" s="876"/>
      <c r="EP59" s="876"/>
      <c r="EQ59" s="876"/>
      <c r="ER59" s="876"/>
      <c r="ES59" s="876"/>
      <c r="ET59" s="876"/>
      <c r="EU59" s="876"/>
      <c r="EV59" s="876"/>
      <c r="EW59" s="876"/>
      <c r="EX59" s="876"/>
      <c r="EY59" s="876"/>
      <c r="EZ59" s="876"/>
      <c r="FA59" s="876"/>
      <c r="FB59" s="876"/>
      <c r="FC59" s="876"/>
      <c r="FD59" s="876"/>
      <c r="FE59" s="876"/>
      <c r="FF59" s="876"/>
      <c r="FG59" s="876"/>
      <c r="FH59" s="876"/>
      <c r="FI59" s="876"/>
      <c r="FJ59" s="876"/>
      <c r="FK59" s="876"/>
      <c r="FL59" s="876"/>
      <c r="FM59" s="876"/>
      <c r="FN59" s="876"/>
      <c r="FO59" s="876"/>
      <c r="FP59" s="876"/>
      <c r="FQ59" s="876"/>
      <c r="FR59" s="876"/>
      <c r="FS59" s="876"/>
      <c r="FT59" s="876"/>
      <c r="FU59" s="876"/>
      <c r="FV59" s="876"/>
      <c r="FW59" s="876"/>
      <c r="FX59" s="876"/>
      <c r="FY59" s="876"/>
      <c r="FZ59" s="876"/>
      <c r="GA59" s="876"/>
      <c r="GB59" s="876"/>
      <c r="GC59" s="876"/>
      <c r="GD59" s="876"/>
      <c r="GE59" s="876"/>
      <c r="GF59" s="876"/>
      <c r="GG59" s="876"/>
      <c r="GH59" s="876"/>
      <c r="GI59" s="876"/>
      <c r="GJ59" s="876"/>
      <c r="GK59" s="876"/>
      <c r="GL59" s="876"/>
      <c r="GM59" s="876"/>
      <c r="GN59" s="876"/>
      <c r="GO59" s="876"/>
      <c r="GP59" s="876"/>
      <c r="GQ59" s="876"/>
      <c r="GR59" s="876"/>
      <c r="GS59" s="876"/>
      <c r="GT59" s="876"/>
      <c r="GU59" s="876"/>
      <c r="GV59" s="876"/>
      <c r="GW59" s="876"/>
      <c r="GX59" s="876"/>
      <c r="GY59" s="876"/>
      <c r="GZ59" s="876"/>
      <c r="HA59" s="876"/>
      <c r="HB59" s="876"/>
      <c r="HC59" s="876"/>
      <c r="HD59" s="876"/>
      <c r="HE59" s="876"/>
      <c r="HF59" s="876"/>
      <c r="HG59" s="876"/>
      <c r="HH59" s="876"/>
      <c r="HI59" s="876"/>
      <c r="HJ59" s="876"/>
      <c r="HK59" s="876"/>
      <c r="HL59" s="876"/>
      <c r="HM59" s="876"/>
      <c r="HN59" s="876"/>
      <c r="HO59" s="876"/>
      <c r="HP59" s="876"/>
      <c r="HQ59" s="876"/>
      <c r="HR59" s="876"/>
      <c r="HS59" s="876"/>
      <c r="HT59" s="876"/>
      <c r="HU59" s="876"/>
      <c r="HV59" s="876"/>
      <c r="HW59" s="876"/>
      <c r="HX59" s="876"/>
      <c r="HY59" s="876"/>
      <c r="HZ59" s="876"/>
      <c r="IA59" s="876"/>
      <c r="IB59" s="876"/>
      <c r="IC59" s="876"/>
      <c r="ID59" s="876"/>
      <c r="IE59" s="876"/>
      <c r="IF59" s="876"/>
      <c r="IG59" s="876"/>
      <c r="IH59" s="876"/>
      <c r="II59" s="876"/>
      <c r="IJ59" s="876"/>
      <c r="IK59" s="876"/>
      <c r="IL59" s="876"/>
      <c r="IM59" s="876"/>
      <c r="IN59" s="876"/>
      <c r="IO59" s="876"/>
      <c r="IP59" s="876"/>
      <c r="IQ59" s="876"/>
      <c r="IR59" s="876"/>
      <c r="IS59" s="876"/>
      <c r="IT59" s="876"/>
      <c r="IU59" s="876"/>
      <c r="IV59" s="876"/>
    </row>
    <row r="60" spans="1:256" ht="17.399999999999999">
      <c r="A60" s="876"/>
      <c r="B60" s="876"/>
      <c r="C60" s="876"/>
      <c r="D60" s="891"/>
      <c r="E60" s="876"/>
      <c r="F60" s="876"/>
      <c r="G60" s="876"/>
      <c r="H60" s="876"/>
      <c r="I60" s="876"/>
      <c r="J60" s="891"/>
      <c r="K60" s="876"/>
      <c r="L60" s="891"/>
      <c r="M60" s="876"/>
      <c r="N60" s="876"/>
      <c r="O60" s="889"/>
      <c r="P60" s="889"/>
      <c r="Q60" s="876"/>
      <c r="R60" s="876"/>
      <c r="S60" s="876"/>
      <c r="T60" s="876"/>
      <c r="U60" s="876"/>
      <c r="V60" s="876"/>
      <c r="W60" s="876"/>
      <c r="X60" s="876"/>
      <c r="Y60" s="876"/>
      <c r="Z60" s="876"/>
      <c r="AA60" s="876"/>
      <c r="AB60" s="876"/>
      <c r="AC60" s="876"/>
      <c r="AD60" s="876"/>
      <c r="AE60" s="876"/>
      <c r="AF60" s="876"/>
      <c r="AG60" s="876"/>
      <c r="AH60" s="876"/>
      <c r="AI60" s="876"/>
      <c r="AJ60" s="876"/>
      <c r="AK60" s="876"/>
      <c r="AL60" s="876"/>
      <c r="AM60" s="876"/>
      <c r="AN60" s="876"/>
      <c r="AO60" s="876"/>
      <c r="AP60" s="876"/>
      <c r="AQ60" s="876"/>
      <c r="AR60" s="876"/>
      <c r="AS60" s="876"/>
      <c r="AT60" s="876"/>
      <c r="AU60" s="876"/>
      <c r="AV60" s="876"/>
      <c r="AW60" s="876"/>
      <c r="AX60" s="876"/>
      <c r="AY60" s="876"/>
      <c r="AZ60" s="876"/>
      <c r="BA60" s="876"/>
      <c r="BB60" s="876"/>
      <c r="BC60" s="876"/>
      <c r="BD60" s="876"/>
      <c r="BE60" s="876"/>
      <c r="BF60" s="876"/>
      <c r="BG60" s="876"/>
      <c r="BH60" s="876"/>
      <c r="BI60" s="876"/>
      <c r="BJ60" s="876"/>
      <c r="BK60" s="876"/>
      <c r="BL60" s="876"/>
      <c r="BM60" s="876"/>
      <c r="BN60" s="876"/>
      <c r="BO60" s="876"/>
      <c r="BP60" s="876"/>
      <c r="BQ60" s="876"/>
      <c r="BR60" s="876"/>
      <c r="BS60" s="876"/>
      <c r="BT60" s="876"/>
      <c r="BU60" s="876"/>
      <c r="BV60" s="876"/>
      <c r="BW60" s="876"/>
      <c r="BX60" s="876"/>
      <c r="BY60" s="876"/>
      <c r="BZ60" s="876"/>
      <c r="CA60" s="876"/>
      <c r="CB60" s="876"/>
      <c r="CC60" s="876"/>
      <c r="CD60" s="876"/>
      <c r="CE60" s="876"/>
      <c r="CF60" s="876"/>
      <c r="CG60" s="876"/>
      <c r="CH60" s="876"/>
      <c r="CI60" s="876"/>
      <c r="CJ60" s="876"/>
      <c r="CK60" s="876"/>
      <c r="CL60" s="876"/>
      <c r="CM60" s="876"/>
      <c r="CN60" s="876"/>
      <c r="CO60" s="876"/>
      <c r="CP60" s="876"/>
      <c r="CQ60" s="876"/>
      <c r="CR60" s="876"/>
      <c r="CS60" s="876"/>
      <c r="CT60" s="876"/>
      <c r="CU60" s="876"/>
      <c r="CV60" s="876"/>
      <c r="CW60" s="876"/>
      <c r="CX60" s="876"/>
      <c r="CY60" s="876"/>
      <c r="CZ60" s="876"/>
      <c r="DA60" s="876"/>
      <c r="DB60" s="876"/>
      <c r="DC60" s="876"/>
      <c r="DD60" s="876"/>
      <c r="DE60" s="876"/>
      <c r="DF60" s="876"/>
      <c r="DG60" s="876"/>
      <c r="DH60" s="876"/>
      <c r="DI60" s="876"/>
      <c r="DJ60" s="876"/>
      <c r="DK60" s="876"/>
      <c r="DL60" s="876"/>
      <c r="DM60" s="876"/>
      <c r="DN60" s="876"/>
      <c r="DO60" s="876"/>
      <c r="DP60" s="876"/>
      <c r="DQ60" s="876"/>
      <c r="DR60" s="876"/>
      <c r="DS60" s="876"/>
      <c r="DT60" s="876"/>
      <c r="DU60" s="876"/>
      <c r="DV60" s="876"/>
      <c r="DW60" s="876"/>
      <c r="DX60" s="876"/>
      <c r="DY60" s="876"/>
      <c r="DZ60" s="876"/>
      <c r="EA60" s="876"/>
      <c r="EB60" s="876"/>
      <c r="EC60" s="876"/>
      <c r="ED60" s="876"/>
      <c r="EE60" s="876"/>
      <c r="EF60" s="876"/>
      <c r="EG60" s="876"/>
      <c r="EH60" s="876"/>
      <c r="EI60" s="876"/>
      <c r="EJ60" s="876"/>
      <c r="EK60" s="876"/>
      <c r="EL60" s="876"/>
      <c r="EM60" s="876"/>
      <c r="EN60" s="876"/>
      <c r="EO60" s="876"/>
      <c r="EP60" s="876"/>
      <c r="EQ60" s="876"/>
      <c r="ER60" s="876"/>
      <c r="ES60" s="876"/>
      <c r="ET60" s="876"/>
      <c r="EU60" s="876"/>
      <c r="EV60" s="876"/>
      <c r="EW60" s="876"/>
      <c r="EX60" s="876"/>
      <c r="EY60" s="876"/>
      <c r="EZ60" s="876"/>
      <c r="FA60" s="876"/>
      <c r="FB60" s="876"/>
      <c r="FC60" s="876"/>
      <c r="FD60" s="876"/>
      <c r="FE60" s="876"/>
      <c r="FF60" s="876"/>
      <c r="FG60" s="876"/>
      <c r="FH60" s="876"/>
      <c r="FI60" s="876"/>
      <c r="FJ60" s="876"/>
      <c r="FK60" s="876"/>
      <c r="FL60" s="876"/>
      <c r="FM60" s="876"/>
      <c r="FN60" s="876"/>
      <c r="FO60" s="876"/>
      <c r="FP60" s="876"/>
      <c r="FQ60" s="876"/>
      <c r="FR60" s="876"/>
      <c r="FS60" s="876"/>
      <c r="FT60" s="876"/>
      <c r="FU60" s="876"/>
      <c r="FV60" s="876"/>
      <c r="FW60" s="876"/>
      <c r="FX60" s="876"/>
      <c r="FY60" s="876"/>
      <c r="FZ60" s="876"/>
      <c r="GA60" s="876"/>
      <c r="GB60" s="876"/>
      <c r="GC60" s="876"/>
      <c r="GD60" s="876"/>
      <c r="GE60" s="876"/>
      <c r="GF60" s="876"/>
      <c r="GG60" s="876"/>
      <c r="GH60" s="876"/>
      <c r="GI60" s="876"/>
      <c r="GJ60" s="876"/>
      <c r="GK60" s="876"/>
      <c r="GL60" s="876"/>
      <c r="GM60" s="876"/>
      <c r="GN60" s="876"/>
      <c r="GO60" s="876"/>
      <c r="GP60" s="876"/>
      <c r="GQ60" s="876"/>
      <c r="GR60" s="876"/>
      <c r="GS60" s="876"/>
      <c r="GT60" s="876"/>
      <c r="GU60" s="876"/>
      <c r="GV60" s="876"/>
      <c r="GW60" s="876"/>
      <c r="GX60" s="876"/>
      <c r="GY60" s="876"/>
      <c r="GZ60" s="876"/>
      <c r="HA60" s="876"/>
      <c r="HB60" s="876"/>
      <c r="HC60" s="876"/>
      <c r="HD60" s="876"/>
      <c r="HE60" s="876"/>
      <c r="HF60" s="876"/>
      <c r="HG60" s="876"/>
      <c r="HH60" s="876"/>
      <c r="HI60" s="876"/>
      <c r="HJ60" s="876"/>
      <c r="HK60" s="876"/>
      <c r="HL60" s="876"/>
      <c r="HM60" s="876"/>
      <c r="HN60" s="876"/>
      <c r="HO60" s="876"/>
      <c r="HP60" s="876"/>
      <c r="HQ60" s="876"/>
      <c r="HR60" s="876"/>
      <c r="HS60" s="876"/>
      <c r="HT60" s="876"/>
      <c r="HU60" s="876"/>
      <c r="HV60" s="876"/>
      <c r="HW60" s="876"/>
      <c r="HX60" s="876"/>
      <c r="HY60" s="876"/>
      <c r="HZ60" s="876"/>
      <c r="IA60" s="876"/>
      <c r="IB60" s="876"/>
      <c r="IC60" s="876"/>
      <c r="ID60" s="876"/>
      <c r="IE60" s="876"/>
      <c r="IF60" s="876"/>
      <c r="IG60" s="876"/>
      <c r="IH60" s="876"/>
      <c r="II60" s="876"/>
      <c r="IJ60" s="876"/>
      <c r="IK60" s="876"/>
      <c r="IL60" s="876"/>
      <c r="IM60" s="876"/>
      <c r="IN60" s="876"/>
      <c r="IO60" s="876"/>
      <c r="IP60" s="876"/>
      <c r="IQ60" s="876"/>
      <c r="IR60" s="876"/>
      <c r="IS60" s="876"/>
      <c r="IT60" s="876"/>
      <c r="IU60" s="876"/>
      <c r="IV60" s="876"/>
    </row>
    <row r="61" spans="1:256" ht="17.399999999999999">
      <c r="A61" s="876"/>
      <c r="B61" s="876"/>
      <c r="C61" s="876"/>
      <c r="D61" s="891"/>
      <c r="E61" s="876"/>
      <c r="F61" s="876"/>
      <c r="G61" s="876"/>
      <c r="H61" s="876"/>
      <c r="I61" s="876"/>
      <c r="J61" s="891"/>
      <c r="K61" s="876"/>
      <c r="L61" s="891"/>
      <c r="M61" s="876"/>
      <c r="N61" s="876"/>
      <c r="O61" s="889"/>
      <c r="P61" s="889"/>
      <c r="Q61" s="876"/>
      <c r="R61" s="876"/>
      <c r="S61" s="876"/>
      <c r="T61" s="876"/>
      <c r="U61" s="876"/>
      <c r="V61" s="876"/>
      <c r="W61" s="876"/>
      <c r="X61" s="876"/>
      <c r="Y61" s="876"/>
      <c r="Z61" s="876"/>
      <c r="AA61" s="876"/>
      <c r="AB61" s="876"/>
      <c r="AC61" s="876"/>
      <c r="AD61" s="876"/>
      <c r="AE61" s="876"/>
      <c r="AF61" s="876"/>
      <c r="AG61" s="876"/>
      <c r="AH61" s="876"/>
      <c r="AI61" s="876"/>
      <c r="AJ61" s="876"/>
      <c r="AK61" s="876"/>
      <c r="AL61" s="876"/>
      <c r="AM61" s="876"/>
      <c r="AN61" s="876"/>
      <c r="AO61" s="876"/>
      <c r="AP61" s="876"/>
      <c r="AQ61" s="876"/>
      <c r="AR61" s="876"/>
      <c r="AS61" s="876"/>
      <c r="AT61" s="876"/>
      <c r="AU61" s="876"/>
      <c r="AV61" s="876"/>
      <c r="AW61" s="876"/>
      <c r="AX61" s="876"/>
      <c r="AY61" s="876"/>
      <c r="AZ61" s="876"/>
      <c r="BA61" s="876"/>
      <c r="BB61" s="876"/>
      <c r="BC61" s="876"/>
      <c r="BD61" s="876"/>
      <c r="BE61" s="876"/>
      <c r="BF61" s="876"/>
      <c r="BG61" s="876"/>
      <c r="BH61" s="876"/>
      <c r="BI61" s="876"/>
      <c r="BJ61" s="876"/>
      <c r="BK61" s="876"/>
      <c r="BL61" s="876"/>
      <c r="BM61" s="876"/>
      <c r="BN61" s="876"/>
      <c r="BO61" s="876"/>
      <c r="BP61" s="876"/>
      <c r="BQ61" s="876"/>
      <c r="BR61" s="876"/>
      <c r="BS61" s="876"/>
      <c r="BT61" s="876"/>
      <c r="BU61" s="876"/>
      <c r="BV61" s="876"/>
      <c r="BW61" s="876"/>
      <c r="BX61" s="876"/>
      <c r="BY61" s="876"/>
      <c r="BZ61" s="876"/>
      <c r="CA61" s="876"/>
      <c r="CB61" s="876"/>
      <c r="CC61" s="876"/>
      <c r="CD61" s="876"/>
      <c r="CE61" s="876"/>
      <c r="CF61" s="876"/>
      <c r="CG61" s="876"/>
      <c r="CH61" s="876"/>
      <c r="CI61" s="876"/>
      <c r="CJ61" s="876"/>
      <c r="CK61" s="876"/>
      <c r="CL61" s="876"/>
      <c r="CM61" s="876"/>
      <c r="CN61" s="876"/>
      <c r="CO61" s="876"/>
      <c r="CP61" s="876"/>
      <c r="CQ61" s="876"/>
      <c r="CR61" s="876"/>
      <c r="CS61" s="876"/>
      <c r="CT61" s="876"/>
      <c r="CU61" s="876"/>
      <c r="CV61" s="876"/>
      <c r="CW61" s="876"/>
      <c r="CX61" s="876"/>
      <c r="CY61" s="876"/>
      <c r="CZ61" s="876"/>
      <c r="DA61" s="876"/>
      <c r="DB61" s="876"/>
      <c r="DC61" s="876"/>
      <c r="DD61" s="876"/>
      <c r="DE61" s="876"/>
      <c r="DF61" s="876"/>
      <c r="DG61" s="876"/>
      <c r="DH61" s="876"/>
      <c r="DI61" s="876"/>
      <c r="DJ61" s="876"/>
      <c r="DK61" s="876"/>
      <c r="DL61" s="876"/>
      <c r="DM61" s="876"/>
      <c r="DN61" s="876"/>
      <c r="DO61" s="876"/>
      <c r="DP61" s="876"/>
      <c r="DQ61" s="876"/>
      <c r="DR61" s="876"/>
      <c r="DS61" s="876"/>
      <c r="DT61" s="876"/>
      <c r="DU61" s="876"/>
      <c r="DV61" s="876"/>
      <c r="DW61" s="876"/>
      <c r="DX61" s="876"/>
      <c r="DY61" s="876"/>
      <c r="DZ61" s="876"/>
      <c r="EA61" s="876"/>
      <c r="EB61" s="876"/>
      <c r="EC61" s="876"/>
      <c r="ED61" s="876"/>
      <c r="EE61" s="876"/>
      <c r="EF61" s="876"/>
      <c r="EG61" s="876"/>
      <c r="EH61" s="876"/>
      <c r="EI61" s="876"/>
      <c r="EJ61" s="876"/>
      <c r="EK61" s="876"/>
      <c r="EL61" s="876"/>
      <c r="EM61" s="876"/>
      <c r="EN61" s="876"/>
      <c r="EO61" s="876"/>
      <c r="EP61" s="876"/>
      <c r="EQ61" s="876"/>
      <c r="ER61" s="876"/>
      <c r="ES61" s="876"/>
      <c r="ET61" s="876"/>
      <c r="EU61" s="876"/>
      <c r="EV61" s="876"/>
      <c r="EW61" s="876"/>
      <c r="EX61" s="876"/>
      <c r="EY61" s="876"/>
      <c r="EZ61" s="876"/>
      <c r="FA61" s="876"/>
      <c r="FB61" s="876"/>
      <c r="FC61" s="876"/>
      <c r="FD61" s="876"/>
      <c r="FE61" s="876"/>
      <c r="FF61" s="876"/>
      <c r="FG61" s="876"/>
      <c r="FH61" s="876"/>
      <c r="FI61" s="876"/>
      <c r="FJ61" s="876"/>
      <c r="FK61" s="876"/>
      <c r="FL61" s="876"/>
      <c r="FM61" s="876"/>
      <c r="FN61" s="876"/>
      <c r="FO61" s="876"/>
      <c r="FP61" s="876"/>
      <c r="FQ61" s="876"/>
      <c r="FR61" s="876"/>
      <c r="FS61" s="876"/>
      <c r="FT61" s="876"/>
      <c r="FU61" s="876"/>
      <c r="FV61" s="876"/>
      <c r="FW61" s="876"/>
      <c r="FX61" s="876"/>
      <c r="FY61" s="876"/>
      <c r="FZ61" s="876"/>
      <c r="GA61" s="876"/>
      <c r="GB61" s="876"/>
      <c r="GC61" s="876"/>
      <c r="GD61" s="876"/>
      <c r="GE61" s="876"/>
      <c r="GF61" s="876"/>
      <c r="GG61" s="876"/>
      <c r="GH61" s="876"/>
      <c r="GI61" s="876"/>
      <c r="GJ61" s="876"/>
      <c r="GK61" s="876"/>
      <c r="GL61" s="876"/>
      <c r="GM61" s="876"/>
      <c r="GN61" s="876"/>
      <c r="GO61" s="876"/>
      <c r="GP61" s="876"/>
      <c r="GQ61" s="876"/>
      <c r="GR61" s="876"/>
      <c r="GS61" s="876"/>
      <c r="GT61" s="876"/>
      <c r="GU61" s="876"/>
      <c r="GV61" s="876"/>
      <c r="GW61" s="876"/>
      <c r="GX61" s="876"/>
      <c r="GY61" s="876"/>
      <c r="GZ61" s="876"/>
      <c r="HA61" s="876"/>
      <c r="HB61" s="876"/>
      <c r="HC61" s="876"/>
      <c r="HD61" s="876"/>
      <c r="HE61" s="876"/>
      <c r="HF61" s="876"/>
      <c r="HG61" s="876"/>
      <c r="HH61" s="876"/>
      <c r="HI61" s="876"/>
      <c r="HJ61" s="876"/>
      <c r="HK61" s="876"/>
      <c r="HL61" s="876"/>
      <c r="HM61" s="876"/>
      <c r="HN61" s="876"/>
      <c r="HO61" s="876"/>
      <c r="HP61" s="876"/>
      <c r="HQ61" s="876"/>
      <c r="HR61" s="876"/>
      <c r="HS61" s="876"/>
      <c r="HT61" s="876"/>
      <c r="HU61" s="876"/>
      <c r="HV61" s="876"/>
      <c r="HW61" s="876"/>
      <c r="HX61" s="876"/>
      <c r="HY61" s="876"/>
      <c r="HZ61" s="876"/>
      <c r="IA61" s="876"/>
      <c r="IB61" s="876"/>
      <c r="IC61" s="876"/>
      <c r="ID61" s="876"/>
      <c r="IE61" s="876"/>
      <c r="IF61" s="876"/>
      <c r="IG61" s="876"/>
      <c r="IH61" s="876"/>
      <c r="II61" s="876"/>
      <c r="IJ61" s="876"/>
      <c r="IK61" s="876"/>
      <c r="IL61" s="876"/>
      <c r="IM61" s="876"/>
      <c r="IN61" s="876"/>
      <c r="IO61" s="876"/>
      <c r="IP61" s="876"/>
      <c r="IQ61" s="876"/>
      <c r="IR61" s="876"/>
      <c r="IS61" s="876"/>
      <c r="IT61" s="876"/>
      <c r="IU61" s="876"/>
      <c r="IV61" s="876"/>
    </row>
    <row r="62" spans="1:256" ht="17.399999999999999">
      <c r="A62" s="892"/>
      <c r="B62" s="876"/>
      <c r="C62" s="876"/>
      <c r="D62" s="893"/>
      <c r="E62" s="881"/>
      <c r="F62" s="893"/>
      <c r="G62" s="881"/>
      <c r="H62" s="893"/>
      <c r="I62" s="881"/>
      <c r="J62" s="893"/>
      <c r="K62" s="881"/>
      <c r="L62" s="893"/>
      <c r="M62" s="876"/>
      <c r="N62" s="876"/>
      <c r="O62" s="889"/>
      <c r="P62" s="889"/>
      <c r="Q62" s="876"/>
      <c r="R62" s="876"/>
      <c r="S62" s="876"/>
      <c r="T62" s="876"/>
      <c r="U62" s="876"/>
      <c r="V62" s="876"/>
      <c r="W62" s="876"/>
      <c r="X62" s="876"/>
      <c r="Y62" s="876"/>
      <c r="Z62" s="876"/>
      <c r="AA62" s="876"/>
      <c r="AB62" s="876"/>
      <c r="AC62" s="876"/>
      <c r="AD62" s="876"/>
      <c r="AE62" s="876"/>
      <c r="AF62" s="876"/>
      <c r="AG62" s="876"/>
      <c r="AH62" s="876"/>
      <c r="AI62" s="876"/>
      <c r="AJ62" s="876"/>
      <c r="AK62" s="876"/>
      <c r="AL62" s="876"/>
      <c r="AM62" s="876"/>
      <c r="AN62" s="876"/>
      <c r="AO62" s="876"/>
      <c r="AP62" s="876"/>
      <c r="AQ62" s="876"/>
      <c r="AR62" s="876"/>
      <c r="AS62" s="876"/>
      <c r="AT62" s="876"/>
      <c r="AU62" s="876"/>
      <c r="AV62" s="876"/>
      <c r="AW62" s="876"/>
      <c r="AX62" s="876"/>
      <c r="AY62" s="876"/>
      <c r="AZ62" s="876"/>
      <c r="BA62" s="876"/>
      <c r="BB62" s="876"/>
      <c r="BC62" s="876"/>
      <c r="BD62" s="876"/>
      <c r="BE62" s="876"/>
      <c r="BF62" s="876"/>
      <c r="BG62" s="876"/>
      <c r="BH62" s="876"/>
      <c r="BI62" s="876"/>
      <c r="BJ62" s="876"/>
      <c r="BK62" s="876"/>
      <c r="BL62" s="876"/>
      <c r="BM62" s="876"/>
      <c r="BN62" s="876"/>
      <c r="BO62" s="876"/>
      <c r="BP62" s="876"/>
      <c r="BQ62" s="876"/>
      <c r="BR62" s="876"/>
      <c r="BS62" s="876"/>
      <c r="BT62" s="876"/>
      <c r="BU62" s="876"/>
      <c r="BV62" s="876"/>
      <c r="BW62" s="876"/>
      <c r="BX62" s="876"/>
      <c r="BY62" s="876"/>
      <c r="BZ62" s="876"/>
      <c r="CA62" s="876"/>
      <c r="CB62" s="876"/>
      <c r="CC62" s="876"/>
      <c r="CD62" s="876"/>
      <c r="CE62" s="876"/>
      <c r="CF62" s="876"/>
      <c r="CG62" s="876"/>
      <c r="CH62" s="876"/>
      <c r="CI62" s="876"/>
      <c r="CJ62" s="876"/>
      <c r="CK62" s="876"/>
      <c r="CL62" s="876"/>
      <c r="CM62" s="876"/>
      <c r="CN62" s="876"/>
      <c r="CO62" s="876"/>
      <c r="CP62" s="876"/>
      <c r="CQ62" s="876"/>
      <c r="CR62" s="876"/>
      <c r="CS62" s="876"/>
      <c r="CT62" s="876"/>
      <c r="CU62" s="876"/>
      <c r="CV62" s="876"/>
      <c r="CW62" s="876"/>
      <c r="CX62" s="876"/>
      <c r="CY62" s="876"/>
      <c r="CZ62" s="876"/>
      <c r="DA62" s="876"/>
      <c r="DB62" s="876"/>
      <c r="DC62" s="876"/>
      <c r="DD62" s="876"/>
      <c r="DE62" s="876"/>
      <c r="DF62" s="876"/>
      <c r="DG62" s="876"/>
      <c r="DH62" s="876"/>
      <c r="DI62" s="876"/>
      <c r="DJ62" s="876"/>
      <c r="DK62" s="876"/>
      <c r="DL62" s="876"/>
      <c r="DM62" s="876"/>
      <c r="DN62" s="876"/>
      <c r="DO62" s="876"/>
      <c r="DP62" s="876"/>
      <c r="DQ62" s="876"/>
      <c r="DR62" s="876"/>
      <c r="DS62" s="876"/>
      <c r="DT62" s="876"/>
      <c r="DU62" s="876"/>
      <c r="DV62" s="876"/>
      <c r="DW62" s="876"/>
      <c r="DX62" s="876"/>
      <c r="DY62" s="876"/>
      <c r="DZ62" s="876"/>
      <c r="EA62" s="876"/>
      <c r="EB62" s="876"/>
      <c r="EC62" s="876"/>
      <c r="ED62" s="876"/>
      <c r="EE62" s="876"/>
      <c r="EF62" s="876"/>
      <c r="EG62" s="876"/>
      <c r="EH62" s="876"/>
      <c r="EI62" s="876"/>
      <c r="EJ62" s="876"/>
      <c r="EK62" s="876"/>
      <c r="EL62" s="876"/>
      <c r="EM62" s="876"/>
      <c r="EN62" s="876"/>
      <c r="EO62" s="876"/>
      <c r="EP62" s="876"/>
      <c r="EQ62" s="876"/>
      <c r="ER62" s="876"/>
      <c r="ES62" s="876"/>
      <c r="ET62" s="876"/>
      <c r="EU62" s="876"/>
      <c r="EV62" s="876"/>
      <c r="EW62" s="876"/>
      <c r="EX62" s="876"/>
      <c r="EY62" s="876"/>
      <c r="EZ62" s="876"/>
      <c r="FA62" s="876"/>
      <c r="FB62" s="876"/>
      <c r="FC62" s="876"/>
      <c r="FD62" s="876"/>
      <c r="FE62" s="876"/>
      <c r="FF62" s="876"/>
      <c r="FG62" s="876"/>
      <c r="FH62" s="876"/>
      <c r="FI62" s="876"/>
      <c r="FJ62" s="876"/>
      <c r="FK62" s="876"/>
      <c r="FL62" s="876"/>
      <c r="FM62" s="876"/>
      <c r="FN62" s="876"/>
      <c r="FO62" s="876"/>
      <c r="FP62" s="876"/>
      <c r="FQ62" s="876"/>
      <c r="FR62" s="876"/>
      <c r="FS62" s="876"/>
      <c r="FT62" s="876"/>
      <c r="FU62" s="876"/>
      <c r="FV62" s="876"/>
      <c r="FW62" s="876"/>
      <c r="FX62" s="876"/>
      <c r="FY62" s="876"/>
      <c r="FZ62" s="876"/>
      <c r="GA62" s="876"/>
      <c r="GB62" s="876"/>
      <c r="GC62" s="876"/>
      <c r="GD62" s="876"/>
      <c r="GE62" s="876"/>
      <c r="GF62" s="876"/>
      <c r="GG62" s="876"/>
      <c r="GH62" s="876"/>
      <c r="GI62" s="876"/>
      <c r="GJ62" s="876"/>
      <c r="GK62" s="876"/>
      <c r="GL62" s="876"/>
      <c r="GM62" s="876"/>
      <c r="GN62" s="876"/>
      <c r="GO62" s="876"/>
      <c r="GP62" s="876"/>
      <c r="GQ62" s="876"/>
      <c r="GR62" s="876"/>
      <c r="GS62" s="876"/>
      <c r="GT62" s="876"/>
      <c r="GU62" s="876"/>
      <c r="GV62" s="876"/>
      <c r="GW62" s="876"/>
      <c r="GX62" s="876"/>
      <c r="GY62" s="876"/>
      <c r="GZ62" s="876"/>
      <c r="HA62" s="876"/>
      <c r="HB62" s="876"/>
      <c r="HC62" s="876"/>
      <c r="HD62" s="876"/>
      <c r="HE62" s="876"/>
      <c r="HF62" s="876"/>
      <c r="HG62" s="876"/>
      <c r="HH62" s="876"/>
      <c r="HI62" s="876"/>
      <c r="HJ62" s="876"/>
      <c r="HK62" s="876"/>
      <c r="HL62" s="876"/>
      <c r="HM62" s="876"/>
      <c r="HN62" s="876"/>
      <c r="HO62" s="876"/>
      <c r="HP62" s="876"/>
      <c r="HQ62" s="876"/>
      <c r="HR62" s="876"/>
      <c r="HS62" s="876"/>
      <c r="HT62" s="876"/>
      <c r="HU62" s="876"/>
      <c r="HV62" s="876"/>
      <c r="HW62" s="876"/>
      <c r="HX62" s="876"/>
      <c r="HY62" s="876"/>
      <c r="HZ62" s="876"/>
      <c r="IA62" s="876"/>
      <c r="IB62" s="876"/>
      <c r="IC62" s="876"/>
      <c r="ID62" s="876"/>
      <c r="IE62" s="876"/>
      <c r="IF62" s="876"/>
      <c r="IG62" s="876"/>
      <c r="IH62" s="876"/>
      <c r="II62" s="876"/>
      <c r="IJ62" s="876"/>
      <c r="IK62" s="876"/>
      <c r="IL62" s="876"/>
      <c r="IM62" s="876"/>
      <c r="IN62" s="876"/>
      <c r="IO62" s="876"/>
      <c r="IP62" s="876"/>
      <c r="IQ62" s="876"/>
      <c r="IR62" s="876"/>
      <c r="IS62" s="876"/>
      <c r="IT62" s="876"/>
      <c r="IU62" s="876"/>
      <c r="IV62" s="876"/>
    </row>
    <row r="63" spans="1:256" ht="17.399999999999999">
      <c r="A63" s="876"/>
      <c r="B63" s="876"/>
      <c r="C63" s="876"/>
      <c r="D63" s="881"/>
      <c r="E63" s="876"/>
      <c r="F63" s="881"/>
      <c r="G63" s="876"/>
      <c r="H63" s="881"/>
      <c r="I63" s="876"/>
      <c r="J63" s="881"/>
      <c r="K63" s="876"/>
      <c r="L63" s="881"/>
      <c r="M63" s="876"/>
      <c r="N63" s="876"/>
      <c r="O63" s="889"/>
      <c r="P63" s="889"/>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6"/>
      <c r="AY63" s="876"/>
      <c r="AZ63" s="876"/>
      <c r="BA63" s="876"/>
      <c r="BB63" s="876"/>
      <c r="BC63" s="876"/>
      <c r="BD63" s="876"/>
      <c r="BE63" s="876"/>
      <c r="BF63" s="876"/>
      <c r="BG63" s="876"/>
      <c r="BH63" s="876"/>
      <c r="BI63" s="876"/>
      <c r="BJ63" s="876"/>
      <c r="BK63" s="876"/>
      <c r="BL63" s="876"/>
      <c r="BM63" s="876"/>
      <c r="BN63" s="876"/>
      <c r="BO63" s="876"/>
      <c r="BP63" s="876"/>
      <c r="BQ63" s="876"/>
      <c r="BR63" s="876"/>
      <c r="BS63" s="876"/>
      <c r="BT63" s="876"/>
      <c r="BU63" s="876"/>
      <c r="BV63" s="876"/>
      <c r="BW63" s="876"/>
      <c r="BX63" s="876"/>
      <c r="BY63" s="876"/>
      <c r="BZ63" s="876"/>
      <c r="CA63" s="876"/>
      <c r="CB63" s="876"/>
      <c r="CC63" s="876"/>
      <c r="CD63" s="876"/>
      <c r="CE63" s="876"/>
      <c r="CF63" s="876"/>
      <c r="CG63" s="876"/>
      <c r="CH63" s="876"/>
      <c r="CI63" s="876"/>
      <c r="CJ63" s="876"/>
      <c r="CK63" s="876"/>
      <c r="CL63" s="876"/>
      <c r="CM63" s="876"/>
      <c r="CN63" s="876"/>
      <c r="CO63" s="876"/>
      <c r="CP63" s="876"/>
      <c r="CQ63" s="876"/>
      <c r="CR63" s="876"/>
      <c r="CS63" s="876"/>
      <c r="CT63" s="876"/>
      <c r="CU63" s="876"/>
      <c r="CV63" s="876"/>
      <c r="CW63" s="876"/>
      <c r="CX63" s="876"/>
      <c r="CY63" s="876"/>
      <c r="CZ63" s="876"/>
      <c r="DA63" s="876"/>
      <c r="DB63" s="876"/>
      <c r="DC63" s="876"/>
      <c r="DD63" s="876"/>
      <c r="DE63" s="876"/>
      <c r="DF63" s="876"/>
      <c r="DG63" s="876"/>
      <c r="DH63" s="876"/>
      <c r="DI63" s="876"/>
      <c r="DJ63" s="876"/>
      <c r="DK63" s="876"/>
      <c r="DL63" s="876"/>
      <c r="DM63" s="876"/>
      <c r="DN63" s="876"/>
      <c r="DO63" s="876"/>
      <c r="DP63" s="876"/>
      <c r="DQ63" s="876"/>
      <c r="DR63" s="876"/>
      <c r="DS63" s="876"/>
      <c r="DT63" s="876"/>
      <c r="DU63" s="876"/>
      <c r="DV63" s="876"/>
      <c r="DW63" s="876"/>
      <c r="DX63" s="876"/>
      <c r="DY63" s="876"/>
      <c r="DZ63" s="876"/>
      <c r="EA63" s="876"/>
      <c r="EB63" s="876"/>
      <c r="EC63" s="876"/>
      <c r="ED63" s="876"/>
      <c r="EE63" s="876"/>
      <c r="EF63" s="876"/>
      <c r="EG63" s="876"/>
      <c r="EH63" s="876"/>
      <c r="EI63" s="876"/>
      <c r="EJ63" s="876"/>
      <c r="EK63" s="876"/>
      <c r="EL63" s="876"/>
      <c r="EM63" s="876"/>
      <c r="EN63" s="876"/>
      <c r="EO63" s="876"/>
      <c r="EP63" s="876"/>
      <c r="EQ63" s="876"/>
      <c r="ER63" s="876"/>
      <c r="ES63" s="876"/>
      <c r="ET63" s="876"/>
      <c r="EU63" s="876"/>
      <c r="EV63" s="876"/>
      <c r="EW63" s="876"/>
      <c r="EX63" s="876"/>
      <c r="EY63" s="876"/>
      <c r="EZ63" s="876"/>
      <c r="FA63" s="876"/>
      <c r="FB63" s="876"/>
      <c r="FC63" s="876"/>
      <c r="FD63" s="876"/>
      <c r="FE63" s="876"/>
      <c r="FF63" s="876"/>
      <c r="FG63" s="876"/>
      <c r="FH63" s="876"/>
      <c r="FI63" s="876"/>
      <c r="FJ63" s="876"/>
      <c r="FK63" s="876"/>
      <c r="FL63" s="876"/>
      <c r="FM63" s="876"/>
      <c r="FN63" s="876"/>
      <c r="FO63" s="876"/>
      <c r="FP63" s="876"/>
      <c r="FQ63" s="876"/>
      <c r="FR63" s="876"/>
      <c r="FS63" s="876"/>
      <c r="FT63" s="876"/>
      <c r="FU63" s="876"/>
      <c r="FV63" s="876"/>
      <c r="FW63" s="876"/>
      <c r="FX63" s="876"/>
      <c r="FY63" s="876"/>
      <c r="FZ63" s="876"/>
      <c r="GA63" s="876"/>
      <c r="GB63" s="876"/>
      <c r="GC63" s="876"/>
      <c r="GD63" s="876"/>
      <c r="GE63" s="876"/>
      <c r="GF63" s="876"/>
      <c r="GG63" s="876"/>
      <c r="GH63" s="876"/>
      <c r="GI63" s="876"/>
      <c r="GJ63" s="876"/>
      <c r="GK63" s="876"/>
      <c r="GL63" s="876"/>
      <c r="GM63" s="876"/>
      <c r="GN63" s="876"/>
      <c r="GO63" s="876"/>
      <c r="GP63" s="876"/>
      <c r="GQ63" s="876"/>
      <c r="GR63" s="876"/>
      <c r="GS63" s="876"/>
      <c r="GT63" s="876"/>
      <c r="GU63" s="876"/>
      <c r="GV63" s="876"/>
      <c r="GW63" s="876"/>
      <c r="GX63" s="876"/>
      <c r="GY63" s="876"/>
      <c r="GZ63" s="876"/>
      <c r="HA63" s="876"/>
      <c r="HB63" s="876"/>
      <c r="HC63" s="876"/>
      <c r="HD63" s="876"/>
      <c r="HE63" s="876"/>
      <c r="HF63" s="876"/>
      <c r="HG63" s="876"/>
      <c r="HH63" s="876"/>
      <c r="HI63" s="876"/>
      <c r="HJ63" s="876"/>
      <c r="HK63" s="876"/>
      <c r="HL63" s="876"/>
      <c r="HM63" s="876"/>
      <c r="HN63" s="876"/>
      <c r="HO63" s="876"/>
      <c r="HP63" s="876"/>
      <c r="HQ63" s="876"/>
      <c r="HR63" s="876"/>
      <c r="HS63" s="876"/>
      <c r="HT63" s="876"/>
      <c r="HU63" s="876"/>
      <c r="HV63" s="876"/>
      <c r="HW63" s="876"/>
      <c r="HX63" s="876"/>
      <c r="HY63" s="876"/>
      <c r="HZ63" s="876"/>
      <c r="IA63" s="876"/>
      <c r="IB63" s="876"/>
      <c r="IC63" s="876"/>
      <c r="ID63" s="876"/>
      <c r="IE63" s="876"/>
      <c r="IF63" s="876"/>
      <c r="IG63" s="876"/>
      <c r="IH63" s="876"/>
      <c r="II63" s="876"/>
      <c r="IJ63" s="876"/>
      <c r="IK63" s="876"/>
      <c r="IL63" s="876"/>
      <c r="IM63" s="876"/>
      <c r="IN63" s="876"/>
      <c r="IO63" s="876"/>
      <c r="IP63" s="876"/>
      <c r="IQ63" s="876"/>
      <c r="IR63" s="876"/>
      <c r="IS63" s="876"/>
      <c r="IT63" s="876"/>
      <c r="IU63" s="876"/>
      <c r="IV63" s="876"/>
    </row>
    <row r="64" spans="1:256" ht="17.399999999999999">
      <c r="A64" s="879"/>
      <c r="B64" s="876"/>
      <c r="C64" s="876"/>
      <c r="D64" s="876"/>
      <c r="E64" s="876"/>
      <c r="F64" s="876"/>
      <c r="G64" s="876"/>
      <c r="H64" s="876"/>
      <c r="I64" s="876"/>
      <c r="J64" s="876"/>
      <c r="K64" s="876"/>
      <c r="L64" s="876"/>
      <c r="M64" s="876"/>
      <c r="N64" s="876"/>
      <c r="O64" s="889"/>
      <c r="P64" s="889"/>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6"/>
      <c r="AY64" s="876"/>
      <c r="AZ64" s="876"/>
      <c r="BA64" s="876"/>
      <c r="BB64" s="876"/>
      <c r="BC64" s="876"/>
      <c r="BD64" s="876"/>
      <c r="BE64" s="876"/>
      <c r="BF64" s="876"/>
      <c r="BG64" s="876"/>
      <c r="BH64" s="876"/>
      <c r="BI64" s="876"/>
      <c r="BJ64" s="876"/>
      <c r="BK64" s="876"/>
      <c r="BL64" s="876"/>
      <c r="BM64" s="876"/>
      <c r="BN64" s="876"/>
      <c r="BO64" s="876"/>
      <c r="BP64" s="876"/>
      <c r="BQ64" s="876"/>
      <c r="BR64" s="876"/>
      <c r="BS64" s="876"/>
      <c r="BT64" s="876"/>
      <c r="BU64" s="876"/>
      <c r="BV64" s="876"/>
      <c r="BW64" s="876"/>
      <c r="BX64" s="876"/>
      <c r="BY64" s="876"/>
      <c r="BZ64" s="876"/>
      <c r="CA64" s="876"/>
      <c r="CB64" s="876"/>
      <c r="CC64" s="876"/>
      <c r="CD64" s="876"/>
      <c r="CE64" s="876"/>
      <c r="CF64" s="876"/>
      <c r="CG64" s="876"/>
      <c r="CH64" s="876"/>
      <c r="CI64" s="876"/>
      <c r="CJ64" s="876"/>
      <c r="CK64" s="876"/>
      <c r="CL64" s="876"/>
      <c r="CM64" s="876"/>
      <c r="CN64" s="876"/>
      <c r="CO64" s="876"/>
      <c r="CP64" s="876"/>
      <c r="CQ64" s="876"/>
      <c r="CR64" s="876"/>
      <c r="CS64" s="876"/>
      <c r="CT64" s="876"/>
      <c r="CU64" s="876"/>
      <c r="CV64" s="876"/>
      <c r="CW64" s="876"/>
      <c r="CX64" s="876"/>
      <c r="CY64" s="876"/>
      <c r="CZ64" s="876"/>
      <c r="DA64" s="876"/>
      <c r="DB64" s="876"/>
      <c r="DC64" s="876"/>
      <c r="DD64" s="876"/>
      <c r="DE64" s="876"/>
      <c r="DF64" s="876"/>
      <c r="DG64" s="876"/>
      <c r="DH64" s="876"/>
      <c r="DI64" s="876"/>
      <c r="DJ64" s="876"/>
      <c r="DK64" s="876"/>
      <c r="DL64" s="876"/>
      <c r="DM64" s="876"/>
      <c r="DN64" s="876"/>
      <c r="DO64" s="876"/>
      <c r="DP64" s="876"/>
      <c r="DQ64" s="876"/>
      <c r="DR64" s="876"/>
      <c r="DS64" s="876"/>
      <c r="DT64" s="876"/>
      <c r="DU64" s="876"/>
      <c r="DV64" s="876"/>
      <c r="DW64" s="876"/>
      <c r="DX64" s="876"/>
      <c r="DY64" s="876"/>
      <c r="DZ64" s="876"/>
      <c r="EA64" s="876"/>
      <c r="EB64" s="876"/>
      <c r="EC64" s="876"/>
      <c r="ED64" s="876"/>
      <c r="EE64" s="876"/>
      <c r="EF64" s="876"/>
      <c r="EG64" s="876"/>
      <c r="EH64" s="876"/>
      <c r="EI64" s="876"/>
      <c r="EJ64" s="876"/>
      <c r="EK64" s="876"/>
      <c r="EL64" s="876"/>
      <c r="EM64" s="876"/>
      <c r="EN64" s="876"/>
      <c r="EO64" s="876"/>
      <c r="EP64" s="876"/>
      <c r="EQ64" s="876"/>
      <c r="ER64" s="876"/>
      <c r="ES64" s="876"/>
      <c r="ET64" s="876"/>
      <c r="EU64" s="876"/>
      <c r="EV64" s="876"/>
      <c r="EW64" s="876"/>
      <c r="EX64" s="876"/>
      <c r="EY64" s="876"/>
      <c r="EZ64" s="876"/>
      <c r="FA64" s="876"/>
      <c r="FB64" s="876"/>
      <c r="FC64" s="876"/>
      <c r="FD64" s="876"/>
      <c r="FE64" s="876"/>
      <c r="FF64" s="876"/>
      <c r="FG64" s="876"/>
      <c r="FH64" s="876"/>
      <c r="FI64" s="876"/>
      <c r="FJ64" s="876"/>
      <c r="FK64" s="876"/>
      <c r="FL64" s="876"/>
      <c r="FM64" s="876"/>
      <c r="FN64" s="876"/>
      <c r="FO64" s="876"/>
      <c r="FP64" s="876"/>
      <c r="FQ64" s="876"/>
      <c r="FR64" s="876"/>
      <c r="FS64" s="876"/>
      <c r="FT64" s="876"/>
      <c r="FU64" s="876"/>
      <c r="FV64" s="876"/>
      <c r="FW64" s="876"/>
      <c r="FX64" s="876"/>
      <c r="FY64" s="876"/>
      <c r="FZ64" s="876"/>
      <c r="GA64" s="876"/>
      <c r="GB64" s="876"/>
      <c r="GC64" s="876"/>
      <c r="GD64" s="876"/>
      <c r="GE64" s="876"/>
      <c r="GF64" s="876"/>
      <c r="GG64" s="876"/>
      <c r="GH64" s="876"/>
      <c r="GI64" s="876"/>
      <c r="GJ64" s="876"/>
      <c r="GK64" s="876"/>
      <c r="GL64" s="876"/>
      <c r="GM64" s="876"/>
      <c r="GN64" s="876"/>
      <c r="GO64" s="876"/>
      <c r="GP64" s="876"/>
      <c r="GQ64" s="876"/>
      <c r="GR64" s="876"/>
      <c r="GS64" s="876"/>
      <c r="GT64" s="876"/>
      <c r="GU64" s="876"/>
      <c r="GV64" s="876"/>
      <c r="GW64" s="876"/>
      <c r="GX64" s="876"/>
      <c r="GY64" s="876"/>
      <c r="GZ64" s="876"/>
      <c r="HA64" s="876"/>
      <c r="HB64" s="876"/>
      <c r="HC64" s="876"/>
      <c r="HD64" s="876"/>
      <c r="HE64" s="876"/>
      <c r="HF64" s="876"/>
      <c r="HG64" s="876"/>
      <c r="HH64" s="876"/>
      <c r="HI64" s="876"/>
      <c r="HJ64" s="876"/>
      <c r="HK64" s="876"/>
      <c r="HL64" s="876"/>
      <c r="HM64" s="876"/>
      <c r="HN64" s="876"/>
      <c r="HO64" s="876"/>
      <c r="HP64" s="876"/>
      <c r="HQ64" s="876"/>
      <c r="HR64" s="876"/>
      <c r="HS64" s="876"/>
      <c r="HT64" s="876"/>
      <c r="HU64" s="876"/>
      <c r="HV64" s="876"/>
      <c r="HW64" s="876"/>
      <c r="HX64" s="876"/>
      <c r="HY64" s="876"/>
      <c r="HZ64" s="876"/>
      <c r="IA64" s="876"/>
      <c r="IB64" s="876"/>
      <c r="IC64" s="876"/>
      <c r="ID64" s="876"/>
      <c r="IE64" s="876"/>
      <c r="IF64" s="876"/>
      <c r="IG64" s="876"/>
      <c r="IH64" s="876"/>
      <c r="II64" s="876"/>
      <c r="IJ64" s="876"/>
      <c r="IK64" s="876"/>
      <c r="IL64" s="876"/>
      <c r="IM64" s="876"/>
      <c r="IN64" s="876"/>
      <c r="IO64" s="876"/>
      <c r="IP64" s="876"/>
      <c r="IQ64" s="876"/>
      <c r="IR64" s="876"/>
      <c r="IS64" s="876"/>
      <c r="IT64" s="876"/>
      <c r="IU64" s="876"/>
      <c r="IV64" s="876"/>
    </row>
    <row r="65" spans="1:256" ht="17.399999999999999">
      <c r="A65" s="876"/>
      <c r="B65" s="876"/>
      <c r="C65" s="876"/>
      <c r="D65" s="876"/>
      <c r="E65" s="876"/>
      <c r="F65" s="876"/>
      <c r="G65" s="876"/>
      <c r="H65" s="876"/>
      <c r="I65" s="876"/>
      <c r="J65" s="876"/>
      <c r="K65" s="876"/>
      <c r="L65" s="876"/>
      <c r="M65" s="876"/>
      <c r="N65" s="876"/>
      <c r="O65" s="889"/>
      <c r="P65" s="889"/>
      <c r="Q65" s="876"/>
      <c r="R65" s="876"/>
      <c r="S65" s="876"/>
      <c r="T65" s="876"/>
      <c r="U65" s="876"/>
      <c r="V65" s="876"/>
      <c r="W65" s="876"/>
      <c r="X65" s="876"/>
      <c r="Y65" s="876"/>
      <c r="Z65" s="876"/>
      <c r="AA65" s="876"/>
      <c r="AB65" s="876"/>
      <c r="AC65" s="876"/>
      <c r="AD65" s="876"/>
      <c r="AE65" s="876"/>
      <c r="AF65" s="876"/>
      <c r="AG65" s="876"/>
      <c r="AH65" s="876"/>
      <c r="AI65" s="876"/>
      <c r="AJ65" s="876"/>
      <c r="AK65" s="876"/>
      <c r="AL65" s="876"/>
      <c r="AM65" s="876"/>
      <c r="AN65" s="876"/>
      <c r="AO65" s="876"/>
      <c r="AP65" s="876"/>
      <c r="AQ65" s="876"/>
      <c r="AR65" s="876"/>
      <c r="AS65" s="876"/>
      <c r="AT65" s="876"/>
      <c r="AU65" s="876"/>
      <c r="AV65" s="876"/>
      <c r="AW65" s="876"/>
      <c r="AX65" s="876"/>
      <c r="AY65" s="876"/>
      <c r="AZ65" s="876"/>
      <c r="BA65" s="876"/>
      <c r="BB65" s="876"/>
      <c r="BC65" s="876"/>
      <c r="BD65" s="876"/>
      <c r="BE65" s="876"/>
      <c r="BF65" s="876"/>
      <c r="BG65" s="876"/>
      <c r="BH65" s="876"/>
      <c r="BI65" s="876"/>
      <c r="BJ65" s="876"/>
      <c r="BK65" s="876"/>
      <c r="BL65" s="876"/>
      <c r="BM65" s="876"/>
      <c r="BN65" s="876"/>
      <c r="BO65" s="876"/>
      <c r="BP65" s="876"/>
      <c r="BQ65" s="876"/>
      <c r="BR65" s="876"/>
      <c r="BS65" s="876"/>
      <c r="BT65" s="876"/>
      <c r="BU65" s="876"/>
      <c r="BV65" s="876"/>
      <c r="BW65" s="876"/>
      <c r="BX65" s="876"/>
      <c r="BY65" s="876"/>
      <c r="BZ65" s="876"/>
      <c r="CA65" s="876"/>
      <c r="CB65" s="876"/>
      <c r="CC65" s="876"/>
      <c r="CD65" s="876"/>
      <c r="CE65" s="876"/>
      <c r="CF65" s="876"/>
      <c r="CG65" s="876"/>
      <c r="CH65" s="876"/>
      <c r="CI65" s="876"/>
      <c r="CJ65" s="876"/>
      <c r="CK65" s="876"/>
      <c r="CL65" s="876"/>
      <c r="CM65" s="876"/>
      <c r="CN65" s="876"/>
      <c r="CO65" s="876"/>
      <c r="CP65" s="876"/>
      <c r="CQ65" s="876"/>
      <c r="CR65" s="876"/>
      <c r="CS65" s="876"/>
      <c r="CT65" s="876"/>
      <c r="CU65" s="876"/>
      <c r="CV65" s="876"/>
      <c r="CW65" s="876"/>
      <c r="CX65" s="876"/>
      <c r="CY65" s="876"/>
      <c r="CZ65" s="876"/>
      <c r="DA65" s="876"/>
      <c r="DB65" s="876"/>
      <c r="DC65" s="876"/>
      <c r="DD65" s="876"/>
      <c r="DE65" s="876"/>
      <c r="DF65" s="876"/>
      <c r="DG65" s="876"/>
      <c r="DH65" s="876"/>
      <c r="DI65" s="876"/>
      <c r="DJ65" s="876"/>
      <c r="DK65" s="876"/>
      <c r="DL65" s="876"/>
      <c r="DM65" s="876"/>
      <c r="DN65" s="876"/>
      <c r="DO65" s="876"/>
      <c r="DP65" s="876"/>
      <c r="DQ65" s="876"/>
      <c r="DR65" s="876"/>
      <c r="DS65" s="876"/>
      <c r="DT65" s="876"/>
      <c r="DU65" s="876"/>
      <c r="DV65" s="876"/>
      <c r="DW65" s="876"/>
      <c r="DX65" s="876"/>
      <c r="DY65" s="876"/>
      <c r="DZ65" s="876"/>
      <c r="EA65" s="876"/>
      <c r="EB65" s="876"/>
      <c r="EC65" s="876"/>
      <c r="ED65" s="876"/>
      <c r="EE65" s="876"/>
      <c r="EF65" s="876"/>
      <c r="EG65" s="876"/>
      <c r="EH65" s="876"/>
      <c r="EI65" s="876"/>
      <c r="EJ65" s="876"/>
      <c r="EK65" s="876"/>
      <c r="EL65" s="876"/>
      <c r="EM65" s="876"/>
      <c r="EN65" s="876"/>
      <c r="EO65" s="876"/>
      <c r="EP65" s="876"/>
      <c r="EQ65" s="876"/>
      <c r="ER65" s="876"/>
      <c r="ES65" s="876"/>
      <c r="ET65" s="876"/>
      <c r="EU65" s="876"/>
      <c r="EV65" s="876"/>
      <c r="EW65" s="876"/>
      <c r="EX65" s="876"/>
      <c r="EY65" s="876"/>
      <c r="EZ65" s="876"/>
      <c r="FA65" s="876"/>
      <c r="FB65" s="876"/>
      <c r="FC65" s="876"/>
      <c r="FD65" s="876"/>
      <c r="FE65" s="876"/>
      <c r="FF65" s="876"/>
      <c r="FG65" s="876"/>
      <c r="FH65" s="876"/>
      <c r="FI65" s="876"/>
      <c r="FJ65" s="876"/>
      <c r="FK65" s="876"/>
      <c r="FL65" s="876"/>
      <c r="FM65" s="876"/>
      <c r="FN65" s="876"/>
      <c r="FO65" s="876"/>
      <c r="FP65" s="876"/>
      <c r="FQ65" s="876"/>
      <c r="FR65" s="876"/>
      <c r="FS65" s="876"/>
      <c r="FT65" s="876"/>
      <c r="FU65" s="876"/>
      <c r="FV65" s="876"/>
      <c r="FW65" s="876"/>
      <c r="FX65" s="876"/>
      <c r="FY65" s="876"/>
      <c r="FZ65" s="876"/>
      <c r="GA65" s="876"/>
      <c r="GB65" s="876"/>
      <c r="GC65" s="876"/>
      <c r="GD65" s="876"/>
      <c r="GE65" s="876"/>
      <c r="GF65" s="876"/>
      <c r="GG65" s="876"/>
      <c r="GH65" s="876"/>
      <c r="GI65" s="876"/>
      <c r="GJ65" s="876"/>
      <c r="GK65" s="876"/>
      <c r="GL65" s="876"/>
      <c r="GM65" s="876"/>
      <c r="GN65" s="876"/>
      <c r="GO65" s="876"/>
      <c r="GP65" s="876"/>
      <c r="GQ65" s="876"/>
      <c r="GR65" s="876"/>
      <c r="GS65" s="876"/>
      <c r="GT65" s="876"/>
      <c r="GU65" s="876"/>
      <c r="GV65" s="876"/>
      <c r="GW65" s="876"/>
      <c r="GX65" s="876"/>
      <c r="GY65" s="876"/>
      <c r="GZ65" s="876"/>
      <c r="HA65" s="876"/>
      <c r="HB65" s="876"/>
      <c r="HC65" s="876"/>
      <c r="HD65" s="876"/>
      <c r="HE65" s="876"/>
      <c r="HF65" s="876"/>
      <c r="HG65" s="876"/>
      <c r="HH65" s="876"/>
      <c r="HI65" s="876"/>
      <c r="HJ65" s="876"/>
      <c r="HK65" s="876"/>
      <c r="HL65" s="876"/>
      <c r="HM65" s="876"/>
      <c r="HN65" s="876"/>
      <c r="HO65" s="876"/>
      <c r="HP65" s="876"/>
      <c r="HQ65" s="876"/>
      <c r="HR65" s="876"/>
      <c r="HS65" s="876"/>
      <c r="HT65" s="876"/>
      <c r="HU65" s="876"/>
      <c r="HV65" s="876"/>
      <c r="HW65" s="876"/>
      <c r="HX65" s="876"/>
      <c r="HY65" s="876"/>
      <c r="HZ65" s="876"/>
      <c r="IA65" s="876"/>
      <c r="IB65" s="876"/>
      <c r="IC65" s="876"/>
      <c r="ID65" s="876"/>
      <c r="IE65" s="876"/>
      <c r="IF65" s="876"/>
      <c r="IG65" s="876"/>
      <c r="IH65" s="876"/>
      <c r="II65" s="876"/>
      <c r="IJ65" s="876"/>
      <c r="IK65" s="876"/>
      <c r="IL65" s="876"/>
      <c r="IM65" s="876"/>
      <c r="IN65" s="876"/>
      <c r="IO65" s="876"/>
      <c r="IP65" s="876"/>
      <c r="IQ65" s="876"/>
      <c r="IR65" s="876"/>
      <c r="IS65" s="876"/>
      <c r="IT65" s="876"/>
      <c r="IU65" s="876"/>
      <c r="IV65" s="876"/>
    </row>
    <row r="66" spans="1:256" ht="20.100000000000001" customHeight="1">
      <c r="A66" s="876"/>
      <c r="B66" s="876"/>
      <c r="C66" s="894"/>
      <c r="D66" s="895"/>
      <c r="E66" s="894"/>
      <c r="F66" s="896"/>
      <c r="G66" s="894"/>
      <c r="H66" s="897"/>
      <c r="I66" s="894"/>
      <c r="J66" s="898"/>
      <c r="K66" s="894"/>
      <c r="L66" s="895"/>
      <c r="M66" s="876"/>
      <c r="N66" s="876"/>
      <c r="O66" s="889"/>
      <c r="P66" s="889"/>
      <c r="Q66" s="876"/>
      <c r="R66" s="876"/>
      <c r="S66" s="876"/>
      <c r="T66" s="876"/>
      <c r="U66" s="876"/>
      <c r="V66" s="876"/>
      <c r="W66" s="876"/>
      <c r="X66" s="876"/>
      <c r="Y66" s="876"/>
      <c r="Z66" s="876"/>
      <c r="AA66" s="876"/>
      <c r="AB66" s="876"/>
      <c r="AC66" s="876"/>
      <c r="AD66" s="876"/>
      <c r="AE66" s="876"/>
      <c r="AF66" s="876"/>
      <c r="AG66" s="876"/>
      <c r="AH66" s="876"/>
      <c r="AI66" s="876"/>
      <c r="AJ66" s="876"/>
      <c r="AK66" s="876"/>
      <c r="AL66" s="876"/>
      <c r="AM66" s="876"/>
      <c r="AN66" s="876"/>
      <c r="AO66" s="876"/>
      <c r="AP66" s="876"/>
      <c r="AQ66" s="876"/>
      <c r="AR66" s="876"/>
      <c r="AS66" s="876"/>
      <c r="AT66" s="876"/>
      <c r="AU66" s="876"/>
      <c r="AV66" s="876"/>
      <c r="AW66" s="876"/>
      <c r="AX66" s="876"/>
      <c r="AY66" s="876"/>
      <c r="AZ66" s="876"/>
      <c r="BA66" s="876"/>
      <c r="BB66" s="876"/>
      <c r="BC66" s="876"/>
      <c r="BD66" s="876"/>
      <c r="BE66" s="876"/>
      <c r="BF66" s="876"/>
      <c r="BG66" s="876"/>
      <c r="BH66" s="876"/>
      <c r="BI66" s="876"/>
      <c r="BJ66" s="876"/>
      <c r="BK66" s="876"/>
      <c r="BL66" s="876"/>
      <c r="BM66" s="876"/>
      <c r="BN66" s="876"/>
      <c r="BO66" s="876"/>
      <c r="BP66" s="876"/>
      <c r="BQ66" s="876"/>
      <c r="BR66" s="876"/>
      <c r="BS66" s="876"/>
      <c r="BT66" s="876"/>
      <c r="BU66" s="876"/>
      <c r="BV66" s="876"/>
      <c r="BW66" s="876"/>
      <c r="BX66" s="876"/>
      <c r="BY66" s="876"/>
      <c r="BZ66" s="876"/>
      <c r="CA66" s="876"/>
      <c r="CB66" s="876"/>
      <c r="CC66" s="876"/>
      <c r="CD66" s="876"/>
      <c r="CE66" s="876"/>
      <c r="CF66" s="876"/>
      <c r="CG66" s="876"/>
      <c r="CH66" s="876"/>
      <c r="CI66" s="876"/>
      <c r="CJ66" s="876"/>
      <c r="CK66" s="876"/>
      <c r="CL66" s="876"/>
      <c r="CM66" s="876"/>
      <c r="CN66" s="876"/>
      <c r="CO66" s="876"/>
      <c r="CP66" s="876"/>
      <c r="CQ66" s="876"/>
      <c r="CR66" s="876"/>
      <c r="CS66" s="876"/>
      <c r="CT66" s="876"/>
      <c r="CU66" s="876"/>
      <c r="CV66" s="876"/>
      <c r="CW66" s="876"/>
      <c r="CX66" s="876"/>
      <c r="CY66" s="876"/>
      <c r="CZ66" s="876"/>
      <c r="DA66" s="876"/>
      <c r="DB66" s="876"/>
      <c r="DC66" s="876"/>
      <c r="DD66" s="876"/>
      <c r="DE66" s="876"/>
      <c r="DF66" s="876"/>
      <c r="DG66" s="876"/>
      <c r="DH66" s="876"/>
      <c r="DI66" s="876"/>
      <c r="DJ66" s="876"/>
      <c r="DK66" s="876"/>
      <c r="DL66" s="876"/>
      <c r="DM66" s="876"/>
      <c r="DN66" s="876"/>
      <c r="DO66" s="876"/>
      <c r="DP66" s="876"/>
      <c r="DQ66" s="876"/>
      <c r="DR66" s="876"/>
      <c r="DS66" s="876"/>
      <c r="DT66" s="876"/>
      <c r="DU66" s="876"/>
      <c r="DV66" s="876"/>
      <c r="DW66" s="876"/>
      <c r="DX66" s="876"/>
      <c r="DY66" s="876"/>
      <c r="DZ66" s="876"/>
      <c r="EA66" s="876"/>
      <c r="EB66" s="876"/>
      <c r="EC66" s="876"/>
      <c r="ED66" s="876"/>
      <c r="EE66" s="876"/>
      <c r="EF66" s="876"/>
      <c r="EG66" s="876"/>
      <c r="EH66" s="876"/>
      <c r="EI66" s="876"/>
      <c r="EJ66" s="876"/>
      <c r="EK66" s="876"/>
      <c r="EL66" s="876"/>
      <c r="EM66" s="876"/>
      <c r="EN66" s="876"/>
      <c r="EO66" s="876"/>
      <c r="EP66" s="876"/>
      <c r="EQ66" s="876"/>
      <c r="ER66" s="876"/>
      <c r="ES66" s="876"/>
      <c r="ET66" s="876"/>
      <c r="EU66" s="876"/>
      <c r="EV66" s="876"/>
      <c r="EW66" s="876"/>
      <c r="EX66" s="876"/>
      <c r="EY66" s="876"/>
      <c r="EZ66" s="876"/>
      <c r="FA66" s="876"/>
      <c r="FB66" s="876"/>
      <c r="FC66" s="876"/>
      <c r="FD66" s="876"/>
      <c r="FE66" s="876"/>
      <c r="FF66" s="876"/>
      <c r="FG66" s="876"/>
      <c r="FH66" s="876"/>
      <c r="FI66" s="876"/>
      <c r="FJ66" s="876"/>
      <c r="FK66" s="876"/>
      <c r="FL66" s="876"/>
      <c r="FM66" s="876"/>
      <c r="FN66" s="876"/>
      <c r="FO66" s="876"/>
      <c r="FP66" s="876"/>
      <c r="FQ66" s="876"/>
      <c r="FR66" s="876"/>
      <c r="FS66" s="876"/>
      <c r="FT66" s="876"/>
      <c r="FU66" s="876"/>
      <c r="FV66" s="876"/>
      <c r="FW66" s="876"/>
      <c r="FX66" s="876"/>
      <c r="FY66" s="876"/>
      <c r="FZ66" s="876"/>
      <c r="GA66" s="876"/>
      <c r="GB66" s="876"/>
      <c r="GC66" s="876"/>
      <c r="GD66" s="876"/>
      <c r="GE66" s="876"/>
      <c r="GF66" s="876"/>
      <c r="GG66" s="876"/>
      <c r="GH66" s="876"/>
      <c r="GI66" s="876"/>
      <c r="GJ66" s="876"/>
      <c r="GK66" s="876"/>
      <c r="GL66" s="876"/>
      <c r="GM66" s="876"/>
      <c r="GN66" s="876"/>
      <c r="GO66" s="876"/>
      <c r="GP66" s="876"/>
      <c r="GQ66" s="876"/>
      <c r="GR66" s="876"/>
      <c r="GS66" s="876"/>
      <c r="GT66" s="876"/>
      <c r="GU66" s="876"/>
      <c r="GV66" s="876"/>
      <c r="GW66" s="876"/>
      <c r="GX66" s="876"/>
      <c r="GY66" s="876"/>
      <c r="GZ66" s="876"/>
      <c r="HA66" s="876"/>
      <c r="HB66" s="876"/>
      <c r="HC66" s="876"/>
      <c r="HD66" s="876"/>
      <c r="HE66" s="876"/>
      <c r="HF66" s="876"/>
      <c r="HG66" s="876"/>
      <c r="HH66" s="876"/>
      <c r="HI66" s="876"/>
      <c r="HJ66" s="876"/>
      <c r="HK66" s="876"/>
      <c r="HL66" s="876"/>
      <c r="HM66" s="876"/>
      <c r="HN66" s="876"/>
      <c r="HO66" s="876"/>
      <c r="HP66" s="876"/>
      <c r="HQ66" s="876"/>
      <c r="HR66" s="876"/>
      <c r="HS66" s="876"/>
      <c r="HT66" s="876"/>
      <c r="HU66" s="876"/>
      <c r="HV66" s="876"/>
      <c r="HW66" s="876"/>
      <c r="HX66" s="876"/>
      <c r="HY66" s="876"/>
      <c r="HZ66" s="876"/>
      <c r="IA66" s="876"/>
      <c r="IB66" s="876"/>
      <c r="IC66" s="876"/>
      <c r="ID66" s="876"/>
      <c r="IE66" s="876"/>
      <c r="IF66" s="876"/>
      <c r="IG66" s="876"/>
      <c r="IH66" s="876"/>
      <c r="II66" s="876"/>
      <c r="IJ66" s="876"/>
      <c r="IK66" s="876"/>
      <c r="IL66" s="876"/>
      <c r="IM66" s="876"/>
      <c r="IN66" s="876"/>
      <c r="IO66" s="876"/>
      <c r="IP66" s="876"/>
      <c r="IQ66" s="876"/>
      <c r="IR66" s="876"/>
      <c r="IS66" s="876"/>
      <c r="IT66" s="876"/>
      <c r="IU66" s="876"/>
      <c r="IV66" s="876"/>
    </row>
    <row r="67" spans="1:256" ht="20.100000000000001" customHeight="1">
      <c r="A67" s="876"/>
      <c r="B67" s="876"/>
      <c r="C67" s="876"/>
      <c r="D67" s="895"/>
      <c r="E67" s="876"/>
      <c r="F67" s="876"/>
      <c r="G67" s="876"/>
      <c r="H67" s="897"/>
      <c r="I67" s="876"/>
      <c r="J67" s="898"/>
      <c r="K67" s="876"/>
      <c r="L67" s="895"/>
      <c r="M67" s="876"/>
      <c r="N67" s="876"/>
      <c r="O67" s="889"/>
      <c r="P67" s="889"/>
      <c r="Q67" s="876"/>
      <c r="R67" s="876"/>
      <c r="S67" s="876"/>
      <c r="T67" s="876"/>
      <c r="U67" s="876"/>
      <c r="V67" s="876"/>
      <c r="W67" s="876"/>
      <c r="X67" s="876"/>
      <c r="Y67" s="876"/>
      <c r="Z67" s="876"/>
      <c r="AA67" s="876"/>
      <c r="AB67" s="876"/>
      <c r="AC67" s="876"/>
      <c r="AD67" s="876"/>
      <c r="AE67" s="876"/>
      <c r="AF67" s="876"/>
      <c r="AG67" s="876"/>
      <c r="AH67" s="876"/>
      <c r="AI67" s="876"/>
      <c r="AJ67" s="876"/>
      <c r="AK67" s="876"/>
      <c r="AL67" s="876"/>
      <c r="AM67" s="876"/>
      <c r="AN67" s="876"/>
      <c r="AO67" s="876"/>
      <c r="AP67" s="876"/>
      <c r="AQ67" s="876"/>
      <c r="AR67" s="876"/>
      <c r="AS67" s="876"/>
      <c r="AT67" s="876"/>
      <c r="AU67" s="876"/>
      <c r="AV67" s="876"/>
      <c r="AW67" s="876"/>
      <c r="AX67" s="876"/>
      <c r="AY67" s="876"/>
      <c r="AZ67" s="876"/>
      <c r="BA67" s="876"/>
      <c r="BB67" s="876"/>
      <c r="BC67" s="876"/>
      <c r="BD67" s="876"/>
      <c r="BE67" s="876"/>
      <c r="BF67" s="876"/>
      <c r="BG67" s="876"/>
      <c r="BH67" s="876"/>
      <c r="BI67" s="876"/>
      <c r="BJ67" s="876"/>
      <c r="BK67" s="876"/>
      <c r="BL67" s="876"/>
      <c r="BM67" s="876"/>
      <c r="BN67" s="876"/>
      <c r="BO67" s="876"/>
      <c r="BP67" s="876"/>
      <c r="BQ67" s="876"/>
      <c r="BR67" s="876"/>
      <c r="BS67" s="876"/>
      <c r="BT67" s="876"/>
      <c r="BU67" s="876"/>
      <c r="BV67" s="876"/>
      <c r="BW67" s="876"/>
      <c r="BX67" s="876"/>
      <c r="BY67" s="876"/>
      <c r="BZ67" s="876"/>
      <c r="CA67" s="876"/>
      <c r="CB67" s="876"/>
      <c r="CC67" s="876"/>
      <c r="CD67" s="876"/>
      <c r="CE67" s="876"/>
      <c r="CF67" s="876"/>
      <c r="CG67" s="876"/>
      <c r="CH67" s="876"/>
      <c r="CI67" s="876"/>
      <c r="CJ67" s="876"/>
      <c r="CK67" s="876"/>
      <c r="CL67" s="876"/>
      <c r="CM67" s="876"/>
      <c r="CN67" s="876"/>
      <c r="CO67" s="876"/>
      <c r="CP67" s="876"/>
      <c r="CQ67" s="876"/>
      <c r="CR67" s="876"/>
      <c r="CS67" s="876"/>
      <c r="CT67" s="876"/>
      <c r="CU67" s="876"/>
      <c r="CV67" s="876"/>
      <c r="CW67" s="876"/>
      <c r="CX67" s="876"/>
      <c r="CY67" s="876"/>
      <c r="CZ67" s="876"/>
      <c r="DA67" s="876"/>
      <c r="DB67" s="876"/>
      <c r="DC67" s="876"/>
      <c r="DD67" s="876"/>
      <c r="DE67" s="876"/>
      <c r="DF67" s="876"/>
      <c r="DG67" s="876"/>
      <c r="DH67" s="876"/>
      <c r="DI67" s="876"/>
      <c r="DJ67" s="876"/>
      <c r="DK67" s="876"/>
      <c r="DL67" s="876"/>
      <c r="DM67" s="876"/>
      <c r="DN67" s="876"/>
      <c r="DO67" s="876"/>
      <c r="DP67" s="876"/>
      <c r="DQ67" s="876"/>
      <c r="DR67" s="876"/>
      <c r="DS67" s="876"/>
      <c r="DT67" s="876"/>
      <c r="DU67" s="876"/>
      <c r="DV67" s="876"/>
      <c r="DW67" s="876"/>
      <c r="DX67" s="876"/>
      <c r="DY67" s="876"/>
      <c r="DZ67" s="876"/>
      <c r="EA67" s="876"/>
      <c r="EB67" s="876"/>
      <c r="EC67" s="876"/>
      <c r="ED67" s="876"/>
      <c r="EE67" s="876"/>
      <c r="EF67" s="876"/>
      <c r="EG67" s="876"/>
      <c r="EH67" s="876"/>
      <c r="EI67" s="876"/>
      <c r="EJ67" s="876"/>
      <c r="EK67" s="876"/>
      <c r="EL67" s="876"/>
      <c r="EM67" s="876"/>
      <c r="EN67" s="876"/>
      <c r="EO67" s="876"/>
      <c r="EP67" s="876"/>
      <c r="EQ67" s="876"/>
      <c r="ER67" s="876"/>
      <c r="ES67" s="876"/>
      <c r="ET67" s="876"/>
      <c r="EU67" s="876"/>
      <c r="EV67" s="876"/>
      <c r="EW67" s="876"/>
      <c r="EX67" s="876"/>
      <c r="EY67" s="876"/>
      <c r="EZ67" s="876"/>
      <c r="FA67" s="876"/>
      <c r="FB67" s="876"/>
      <c r="FC67" s="876"/>
      <c r="FD67" s="876"/>
      <c r="FE67" s="876"/>
      <c r="FF67" s="876"/>
      <c r="FG67" s="876"/>
      <c r="FH67" s="876"/>
      <c r="FI67" s="876"/>
      <c r="FJ67" s="876"/>
      <c r="FK67" s="876"/>
      <c r="FL67" s="876"/>
      <c r="FM67" s="876"/>
      <c r="FN67" s="876"/>
      <c r="FO67" s="876"/>
      <c r="FP67" s="876"/>
      <c r="FQ67" s="876"/>
      <c r="FR67" s="876"/>
      <c r="FS67" s="876"/>
      <c r="FT67" s="876"/>
      <c r="FU67" s="876"/>
      <c r="FV67" s="876"/>
      <c r="FW67" s="876"/>
      <c r="FX67" s="876"/>
      <c r="FY67" s="876"/>
      <c r="FZ67" s="876"/>
      <c r="GA67" s="876"/>
      <c r="GB67" s="876"/>
      <c r="GC67" s="876"/>
      <c r="GD67" s="876"/>
      <c r="GE67" s="876"/>
      <c r="GF67" s="876"/>
      <c r="GG67" s="876"/>
      <c r="GH67" s="876"/>
      <c r="GI67" s="876"/>
      <c r="GJ67" s="876"/>
      <c r="GK67" s="876"/>
      <c r="GL67" s="876"/>
      <c r="GM67" s="876"/>
      <c r="GN67" s="876"/>
      <c r="GO67" s="876"/>
      <c r="GP67" s="876"/>
      <c r="GQ67" s="876"/>
      <c r="GR67" s="876"/>
      <c r="GS67" s="876"/>
      <c r="GT67" s="876"/>
      <c r="GU67" s="876"/>
      <c r="GV67" s="876"/>
      <c r="GW67" s="876"/>
      <c r="GX67" s="876"/>
      <c r="GY67" s="876"/>
      <c r="GZ67" s="876"/>
      <c r="HA67" s="876"/>
      <c r="HB67" s="876"/>
      <c r="HC67" s="876"/>
      <c r="HD67" s="876"/>
      <c r="HE67" s="876"/>
      <c r="HF67" s="876"/>
      <c r="HG67" s="876"/>
      <c r="HH67" s="876"/>
      <c r="HI67" s="876"/>
      <c r="HJ67" s="876"/>
      <c r="HK67" s="876"/>
      <c r="HL67" s="876"/>
      <c r="HM67" s="876"/>
      <c r="HN67" s="876"/>
      <c r="HO67" s="876"/>
      <c r="HP67" s="876"/>
      <c r="HQ67" s="876"/>
      <c r="HR67" s="876"/>
      <c r="HS67" s="876"/>
      <c r="HT67" s="876"/>
      <c r="HU67" s="876"/>
      <c r="HV67" s="876"/>
      <c r="HW67" s="876"/>
      <c r="HX67" s="876"/>
      <c r="HY67" s="876"/>
      <c r="HZ67" s="876"/>
      <c r="IA67" s="876"/>
      <c r="IB67" s="876"/>
      <c r="IC67" s="876"/>
      <c r="ID67" s="876"/>
      <c r="IE67" s="876"/>
      <c r="IF67" s="876"/>
      <c r="IG67" s="876"/>
      <c r="IH67" s="876"/>
      <c r="II67" s="876"/>
      <c r="IJ67" s="876"/>
      <c r="IK67" s="876"/>
      <c r="IL67" s="876"/>
      <c r="IM67" s="876"/>
      <c r="IN67" s="876"/>
      <c r="IO67" s="876"/>
      <c r="IP67" s="876"/>
      <c r="IQ67" s="876"/>
      <c r="IR67" s="876"/>
      <c r="IS67" s="876"/>
      <c r="IT67" s="876"/>
      <c r="IU67" s="876"/>
      <c r="IV67" s="876"/>
    </row>
    <row r="68" spans="1:256" ht="20.100000000000001" customHeight="1">
      <c r="A68" s="876"/>
      <c r="B68" s="876"/>
      <c r="C68" s="876"/>
      <c r="D68" s="895"/>
      <c r="E68" s="876"/>
      <c r="F68" s="876"/>
      <c r="G68" s="876"/>
      <c r="H68" s="899"/>
      <c r="I68" s="876"/>
      <c r="J68" s="898"/>
      <c r="K68" s="876"/>
      <c r="L68" s="895"/>
      <c r="M68" s="876"/>
      <c r="N68" s="876"/>
      <c r="O68" s="876"/>
      <c r="P68" s="876"/>
      <c r="Q68" s="876"/>
      <c r="R68" s="876"/>
      <c r="S68" s="876"/>
      <c r="T68" s="876"/>
      <c r="U68" s="876"/>
      <c r="V68" s="876"/>
      <c r="W68" s="876"/>
      <c r="X68" s="876"/>
      <c r="Y68" s="876"/>
      <c r="Z68" s="876"/>
      <c r="AA68" s="876"/>
      <c r="AB68" s="876"/>
      <c r="AC68" s="876"/>
      <c r="AD68" s="876"/>
      <c r="AE68" s="876"/>
      <c r="AF68" s="876"/>
      <c r="AG68" s="876"/>
      <c r="AH68" s="876"/>
      <c r="AI68" s="876"/>
      <c r="AJ68" s="876"/>
      <c r="AK68" s="876"/>
      <c r="AL68" s="876"/>
      <c r="AM68" s="876"/>
      <c r="AN68" s="876"/>
      <c r="AO68" s="876"/>
      <c r="AP68" s="876"/>
      <c r="AQ68" s="876"/>
      <c r="AR68" s="876"/>
      <c r="AS68" s="876"/>
      <c r="AT68" s="876"/>
      <c r="AU68" s="876"/>
      <c r="AV68" s="876"/>
      <c r="AW68" s="876"/>
      <c r="AX68" s="876"/>
      <c r="AY68" s="876"/>
      <c r="AZ68" s="876"/>
      <c r="BA68" s="876"/>
      <c r="BB68" s="876"/>
      <c r="BC68" s="876"/>
      <c r="BD68" s="876"/>
      <c r="BE68" s="876"/>
      <c r="BF68" s="876"/>
      <c r="BG68" s="876"/>
      <c r="BH68" s="876"/>
      <c r="BI68" s="876"/>
      <c r="BJ68" s="876"/>
      <c r="BK68" s="876"/>
      <c r="BL68" s="876"/>
      <c r="BM68" s="876"/>
      <c r="BN68" s="876"/>
      <c r="BO68" s="876"/>
      <c r="BP68" s="876"/>
      <c r="BQ68" s="876"/>
      <c r="BR68" s="876"/>
      <c r="BS68" s="876"/>
      <c r="BT68" s="876"/>
      <c r="BU68" s="876"/>
      <c r="BV68" s="876"/>
      <c r="BW68" s="876"/>
      <c r="BX68" s="876"/>
      <c r="BY68" s="876"/>
      <c r="BZ68" s="876"/>
      <c r="CA68" s="876"/>
      <c r="CB68" s="876"/>
      <c r="CC68" s="876"/>
      <c r="CD68" s="876"/>
      <c r="CE68" s="876"/>
      <c r="CF68" s="876"/>
      <c r="CG68" s="876"/>
      <c r="CH68" s="876"/>
      <c r="CI68" s="876"/>
      <c r="CJ68" s="876"/>
      <c r="CK68" s="876"/>
      <c r="CL68" s="876"/>
      <c r="CM68" s="876"/>
      <c r="CN68" s="876"/>
      <c r="CO68" s="876"/>
      <c r="CP68" s="876"/>
      <c r="CQ68" s="876"/>
      <c r="CR68" s="876"/>
      <c r="CS68" s="876"/>
      <c r="CT68" s="876"/>
      <c r="CU68" s="876"/>
      <c r="CV68" s="876"/>
      <c r="CW68" s="876"/>
      <c r="CX68" s="876"/>
      <c r="CY68" s="876"/>
      <c r="CZ68" s="876"/>
      <c r="DA68" s="876"/>
      <c r="DB68" s="876"/>
      <c r="DC68" s="876"/>
      <c r="DD68" s="876"/>
      <c r="DE68" s="876"/>
      <c r="DF68" s="876"/>
      <c r="DG68" s="876"/>
      <c r="DH68" s="876"/>
      <c r="DI68" s="876"/>
      <c r="DJ68" s="876"/>
      <c r="DK68" s="876"/>
      <c r="DL68" s="876"/>
      <c r="DM68" s="876"/>
      <c r="DN68" s="876"/>
      <c r="DO68" s="876"/>
      <c r="DP68" s="876"/>
      <c r="DQ68" s="876"/>
      <c r="DR68" s="876"/>
      <c r="DS68" s="876"/>
      <c r="DT68" s="876"/>
      <c r="DU68" s="876"/>
      <c r="DV68" s="876"/>
      <c r="DW68" s="876"/>
      <c r="DX68" s="876"/>
      <c r="DY68" s="876"/>
      <c r="DZ68" s="876"/>
      <c r="EA68" s="876"/>
      <c r="EB68" s="876"/>
      <c r="EC68" s="876"/>
      <c r="ED68" s="876"/>
      <c r="EE68" s="876"/>
      <c r="EF68" s="876"/>
      <c r="EG68" s="876"/>
      <c r="EH68" s="876"/>
      <c r="EI68" s="876"/>
      <c r="EJ68" s="876"/>
      <c r="EK68" s="876"/>
      <c r="EL68" s="876"/>
      <c r="EM68" s="876"/>
      <c r="EN68" s="876"/>
      <c r="EO68" s="876"/>
      <c r="EP68" s="876"/>
      <c r="EQ68" s="876"/>
      <c r="ER68" s="876"/>
      <c r="ES68" s="876"/>
      <c r="ET68" s="876"/>
      <c r="EU68" s="876"/>
      <c r="EV68" s="876"/>
      <c r="EW68" s="876"/>
      <c r="EX68" s="876"/>
      <c r="EY68" s="876"/>
      <c r="EZ68" s="876"/>
      <c r="FA68" s="876"/>
      <c r="FB68" s="876"/>
      <c r="FC68" s="876"/>
      <c r="FD68" s="876"/>
      <c r="FE68" s="876"/>
      <c r="FF68" s="876"/>
      <c r="FG68" s="876"/>
      <c r="FH68" s="876"/>
      <c r="FI68" s="876"/>
      <c r="FJ68" s="876"/>
      <c r="FK68" s="876"/>
      <c r="FL68" s="876"/>
      <c r="FM68" s="876"/>
      <c r="FN68" s="876"/>
      <c r="FO68" s="876"/>
      <c r="FP68" s="876"/>
      <c r="FQ68" s="876"/>
      <c r="FR68" s="876"/>
      <c r="FS68" s="876"/>
      <c r="FT68" s="876"/>
      <c r="FU68" s="876"/>
      <c r="FV68" s="876"/>
      <c r="FW68" s="876"/>
      <c r="FX68" s="876"/>
      <c r="FY68" s="876"/>
      <c r="FZ68" s="876"/>
      <c r="GA68" s="876"/>
      <c r="GB68" s="876"/>
      <c r="GC68" s="876"/>
      <c r="GD68" s="876"/>
      <c r="GE68" s="876"/>
      <c r="GF68" s="876"/>
      <c r="GG68" s="876"/>
      <c r="GH68" s="876"/>
      <c r="GI68" s="876"/>
      <c r="GJ68" s="876"/>
      <c r="GK68" s="876"/>
      <c r="GL68" s="876"/>
      <c r="GM68" s="876"/>
      <c r="GN68" s="876"/>
      <c r="GO68" s="876"/>
      <c r="GP68" s="876"/>
      <c r="GQ68" s="876"/>
      <c r="GR68" s="876"/>
      <c r="GS68" s="876"/>
      <c r="GT68" s="876"/>
      <c r="GU68" s="876"/>
      <c r="GV68" s="876"/>
      <c r="GW68" s="876"/>
      <c r="GX68" s="876"/>
      <c r="GY68" s="876"/>
      <c r="GZ68" s="876"/>
      <c r="HA68" s="876"/>
      <c r="HB68" s="876"/>
      <c r="HC68" s="876"/>
      <c r="HD68" s="876"/>
      <c r="HE68" s="876"/>
      <c r="HF68" s="876"/>
      <c r="HG68" s="876"/>
      <c r="HH68" s="876"/>
      <c r="HI68" s="876"/>
      <c r="HJ68" s="876"/>
      <c r="HK68" s="876"/>
      <c r="HL68" s="876"/>
      <c r="HM68" s="876"/>
      <c r="HN68" s="876"/>
      <c r="HO68" s="876"/>
      <c r="HP68" s="876"/>
      <c r="HQ68" s="876"/>
      <c r="HR68" s="876"/>
      <c r="HS68" s="876"/>
      <c r="HT68" s="876"/>
      <c r="HU68" s="876"/>
      <c r="HV68" s="876"/>
      <c r="HW68" s="876"/>
      <c r="HX68" s="876"/>
      <c r="HY68" s="876"/>
      <c r="HZ68" s="876"/>
      <c r="IA68" s="876"/>
      <c r="IB68" s="876"/>
      <c r="IC68" s="876"/>
      <c r="ID68" s="876"/>
      <c r="IE68" s="876"/>
      <c r="IF68" s="876"/>
      <c r="IG68" s="876"/>
      <c r="IH68" s="876"/>
      <c r="II68" s="876"/>
      <c r="IJ68" s="876"/>
      <c r="IK68" s="876"/>
      <c r="IL68" s="876"/>
      <c r="IM68" s="876"/>
      <c r="IN68" s="876"/>
      <c r="IO68" s="876"/>
      <c r="IP68" s="876"/>
      <c r="IQ68" s="876"/>
      <c r="IR68" s="876"/>
      <c r="IS68" s="876"/>
      <c r="IT68" s="876"/>
      <c r="IU68" s="876"/>
      <c r="IV68" s="876"/>
    </row>
    <row r="69" spans="1:256" ht="20.100000000000001" customHeight="1">
      <c r="A69" s="876"/>
      <c r="B69" s="876"/>
      <c r="C69" s="876"/>
      <c r="D69" s="895"/>
      <c r="E69" s="876"/>
      <c r="F69" s="876"/>
      <c r="G69" s="876"/>
      <c r="H69" s="897"/>
      <c r="I69" s="876"/>
      <c r="J69" s="898"/>
      <c r="K69" s="876"/>
      <c r="L69" s="895"/>
      <c r="M69" s="876"/>
      <c r="N69" s="876"/>
      <c r="O69" s="889"/>
      <c r="P69" s="889"/>
      <c r="Q69" s="876"/>
      <c r="R69" s="876"/>
      <c r="S69" s="876"/>
      <c r="T69" s="876"/>
      <c r="U69" s="876"/>
      <c r="V69" s="876"/>
      <c r="W69" s="876"/>
      <c r="X69" s="876"/>
      <c r="Y69" s="876"/>
      <c r="Z69" s="876"/>
      <c r="AA69" s="876"/>
      <c r="AB69" s="876"/>
      <c r="AC69" s="876"/>
      <c r="AD69" s="876"/>
      <c r="AE69" s="876"/>
      <c r="AF69" s="876"/>
      <c r="AG69" s="876"/>
      <c r="AH69" s="876"/>
      <c r="AI69" s="876"/>
      <c r="AJ69" s="876"/>
      <c r="AK69" s="876"/>
      <c r="AL69" s="876"/>
      <c r="AM69" s="876"/>
      <c r="AN69" s="876"/>
      <c r="AO69" s="876"/>
      <c r="AP69" s="876"/>
      <c r="AQ69" s="876"/>
      <c r="AR69" s="876"/>
      <c r="AS69" s="876"/>
      <c r="AT69" s="876"/>
      <c r="AU69" s="876"/>
      <c r="AV69" s="876"/>
      <c r="AW69" s="876"/>
      <c r="AX69" s="876"/>
      <c r="AY69" s="876"/>
      <c r="AZ69" s="876"/>
      <c r="BA69" s="876"/>
      <c r="BB69" s="876"/>
      <c r="BC69" s="876"/>
      <c r="BD69" s="876"/>
      <c r="BE69" s="876"/>
      <c r="BF69" s="876"/>
      <c r="BG69" s="876"/>
      <c r="BH69" s="876"/>
      <c r="BI69" s="876"/>
      <c r="BJ69" s="876"/>
      <c r="BK69" s="876"/>
      <c r="BL69" s="876"/>
      <c r="BM69" s="876"/>
      <c r="BN69" s="876"/>
      <c r="BO69" s="876"/>
      <c r="BP69" s="876"/>
      <c r="BQ69" s="876"/>
      <c r="BR69" s="876"/>
      <c r="BS69" s="876"/>
      <c r="BT69" s="876"/>
      <c r="BU69" s="876"/>
      <c r="BV69" s="876"/>
      <c r="BW69" s="876"/>
      <c r="BX69" s="876"/>
      <c r="BY69" s="876"/>
      <c r="BZ69" s="876"/>
      <c r="CA69" s="876"/>
      <c r="CB69" s="876"/>
      <c r="CC69" s="876"/>
      <c r="CD69" s="876"/>
      <c r="CE69" s="876"/>
      <c r="CF69" s="876"/>
      <c r="CG69" s="876"/>
      <c r="CH69" s="876"/>
      <c r="CI69" s="876"/>
      <c r="CJ69" s="876"/>
      <c r="CK69" s="876"/>
      <c r="CL69" s="876"/>
      <c r="CM69" s="876"/>
      <c r="CN69" s="876"/>
      <c r="CO69" s="876"/>
      <c r="CP69" s="876"/>
      <c r="CQ69" s="876"/>
      <c r="CR69" s="876"/>
      <c r="CS69" s="876"/>
      <c r="CT69" s="876"/>
      <c r="CU69" s="876"/>
      <c r="CV69" s="876"/>
      <c r="CW69" s="876"/>
      <c r="CX69" s="876"/>
      <c r="CY69" s="876"/>
      <c r="CZ69" s="876"/>
      <c r="DA69" s="876"/>
      <c r="DB69" s="876"/>
      <c r="DC69" s="876"/>
      <c r="DD69" s="876"/>
      <c r="DE69" s="876"/>
      <c r="DF69" s="876"/>
      <c r="DG69" s="876"/>
      <c r="DH69" s="876"/>
      <c r="DI69" s="876"/>
      <c r="DJ69" s="876"/>
      <c r="DK69" s="876"/>
      <c r="DL69" s="876"/>
      <c r="DM69" s="876"/>
      <c r="DN69" s="876"/>
      <c r="DO69" s="876"/>
      <c r="DP69" s="876"/>
      <c r="DQ69" s="876"/>
      <c r="DR69" s="876"/>
      <c r="DS69" s="876"/>
      <c r="DT69" s="876"/>
      <c r="DU69" s="876"/>
      <c r="DV69" s="876"/>
      <c r="DW69" s="876"/>
      <c r="DX69" s="876"/>
      <c r="DY69" s="876"/>
      <c r="DZ69" s="876"/>
      <c r="EA69" s="876"/>
      <c r="EB69" s="876"/>
      <c r="EC69" s="876"/>
      <c r="ED69" s="876"/>
      <c r="EE69" s="876"/>
      <c r="EF69" s="876"/>
      <c r="EG69" s="876"/>
      <c r="EH69" s="876"/>
      <c r="EI69" s="876"/>
      <c r="EJ69" s="876"/>
      <c r="EK69" s="876"/>
      <c r="EL69" s="876"/>
      <c r="EM69" s="876"/>
      <c r="EN69" s="876"/>
      <c r="EO69" s="876"/>
      <c r="EP69" s="876"/>
      <c r="EQ69" s="876"/>
      <c r="ER69" s="876"/>
      <c r="ES69" s="876"/>
      <c r="ET69" s="876"/>
      <c r="EU69" s="876"/>
      <c r="EV69" s="876"/>
      <c r="EW69" s="876"/>
      <c r="EX69" s="876"/>
      <c r="EY69" s="876"/>
      <c r="EZ69" s="876"/>
      <c r="FA69" s="876"/>
      <c r="FB69" s="876"/>
      <c r="FC69" s="876"/>
      <c r="FD69" s="876"/>
      <c r="FE69" s="876"/>
      <c r="FF69" s="876"/>
      <c r="FG69" s="876"/>
      <c r="FH69" s="876"/>
      <c r="FI69" s="876"/>
      <c r="FJ69" s="876"/>
      <c r="FK69" s="876"/>
      <c r="FL69" s="876"/>
      <c r="FM69" s="876"/>
      <c r="FN69" s="876"/>
      <c r="FO69" s="876"/>
      <c r="FP69" s="876"/>
      <c r="FQ69" s="876"/>
      <c r="FR69" s="876"/>
      <c r="FS69" s="876"/>
      <c r="FT69" s="876"/>
      <c r="FU69" s="876"/>
      <c r="FV69" s="876"/>
      <c r="FW69" s="876"/>
      <c r="FX69" s="876"/>
      <c r="FY69" s="876"/>
      <c r="FZ69" s="876"/>
      <c r="GA69" s="876"/>
      <c r="GB69" s="876"/>
      <c r="GC69" s="876"/>
      <c r="GD69" s="876"/>
      <c r="GE69" s="876"/>
      <c r="GF69" s="876"/>
      <c r="GG69" s="876"/>
      <c r="GH69" s="876"/>
      <c r="GI69" s="876"/>
      <c r="GJ69" s="876"/>
      <c r="GK69" s="876"/>
      <c r="GL69" s="876"/>
      <c r="GM69" s="876"/>
      <c r="GN69" s="876"/>
      <c r="GO69" s="876"/>
      <c r="GP69" s="876"/>
      <c r="GQ69" s="876"/>
      <c r="GR69" s="876"/>
      <c r="GS69" s="876"/>
      <c r="GT69" s="876"/>
      <c r="GU69" s="876"/>
      <c r="GV69" s="876"/>
      <c r="GW69" s="876"/>
      <c r="GX69" s="876"/>
      <c r="GY69" s="876"/>
      <c r="GZ69" s="876"/>
      <c r="HA69" s="876"/>
      <c r="HB69" s="876"/>
      <c r="HC69" s="876"/>
      <c r="HD69" s="876"/>
      <c r="HE69" s="876"/>
      <c r="HF69" s="876"/>
      <c r="HG69" s="876"/>
      <c r="HH69" s="876"/>
      <c r="HI69" s="876"/>
      <c r="HJ69" s="876"/>
      <c r="HK69" s="876"/>
      <c r="HL69" s="876"/>
      <c r="HM69" s="876"/>
      <c r="HN69" s="876"/>
      <c r="HO69" s="876"/>
      <c r="HP69" s="876"/>
      <c r="HQ69" s="876"/>
      <c r="HR69" s="876"/>
      <c r="HS69" s="876"/>
      <c r="HT69" s="876"/>
      <c r="HU69" s="876"/>
      <c r="HV69" s="876"/>
      <c r="HW69" s="876"/>
      <c r="HX69" s="876"/>
      <c r="HY69" s="876"/>
      <c r="HZ69" s="876"/>
      <c r="IA69" s="876"/>
      <c r="IB69" s="876"/>
      <c r="IC69" s="876"/>
      <c r="ID69" s="876"/>
      <c r="IE69" s="876"/>
      <c r="IF69" s="876"/>
      <c r="IG69" s="876"/>
      <c r="IH69" s="876"/>
      <c r="II69" s="876"/>
      <c r="IJ69" s="876"/>
      <c r="IK69" s="876"/>
      <c r="IL69" s="876"/>
      <c r="IM69" s="876"/>
      <c r="IN69" s="876"/>
      <c r="IO69" s="876"/>
      <c r="IP69" s="876"/>
      <c r="IQ69" s="876"/>
      <c r="IR69" s="876"/>
      <c r="IS69" s="876"/>
      <c r="IT69" s="876"/>
      <c r="IU69" s="876"/>
      <c r="IV69" s="876"/>
    </row>
    <row r="70" spans="1:256" ht="20.100000000000001" customHeight="1">
      <c r="A70" s="876"/>
      <c r="B70" s="876"/>
      <c r="C70" s="876"/>
      <c r="D70" s="895"/>
      <c r="E70" s="876"/>
      <c r="F70" s="876"/>
      <c r="G70" s="876"/>
      <c r="H70" s="897"/>
      <c r="I70" s="876"/>
      <c r="J70" s="898"/>
      <c r="K70" s="876"/>
      <c r="L70" s="895"/>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6"/>
      <c r="AY70" s="876"/>
      <c r="AZ70" s="876"/>
      <c r="BA70" s="876"/>
      <c r="BB70" s="876"/>
      <c r="BC70" s="876"/>
      <c r="BD70" s="876"/>
      <c r="BE70" s="876"/>
      <c r="BF70" s="876"/>
      <c r="BG70" s="876"/>
      <c r="BH70" s="876"/>
      <c r="BI70" s="876"/>
      <c r="BJ70" s="876"/>
      <c r="BK70" s="876"/>
      <c r="BL70" s="876"/>
      <c r="BM70" s="876"/>
      <c r="BN70" s="876"/>
      <c r="BO70" s="876"/>
      <c r="BP70" s="876"/>
      <c r="BQ70" s="876"/>
      <c r="BR70" s="876"/>
      <c r="BS70" s="876"/>
      <c r="BT70" s="876"/>
      <c r="BU70" s="876"/>
      <c r="BV70" s="876"/>
      <c r="BW70" s="876"/>
      <c r="BX70" s="876"/>
      <c r="BY70" s="876"/>
      <c r="BZ70" s="876"/>
      <c r="CA70" s="876"/>
      <c r="CB70" s="876"/>
      <c r="CC70" s="876"/>
      <c r="CD70" s="876"/>
      <c r="CE70" s="876"/>
      <c r="CF70" s="876"/>
      <c r="CG70" s="876"/>
      <c r="CH70" s="876"/>
      <c r="CI70" s="876"/>
      <c r="CJ70" s="876"/>
      <c r="CK70" s="876"/>
      <c r="CL70" s="876"/>
      <c r="CM70" s="876"/>
      <c r="CN70" s="876"/>
      <c r="CO70" s="876"/>
      <c r="CP70" s="876"/>
      <c r="CQ70" s="876"/>
      <c r="CR70" s="876"/>
      <c r="CS70" s="876"/>
      <c r="CT70" s="876"/>
      <c r="CU70" s="876"/>
      <c r="CV70" s="876"/>
      <c r="CW70" s="876"/>
      <c r="CX70" s="876"/>
      <c r="CY70" s="876"/>
      <c r="CZ70" s="876"/>
      <c r="DA70" s="876"/>
      <c r="DB70" s="876"/>
      <c r="DC70" s="876"/>
      <c r="DD70" s="876"/>
      <c r="DE70" s="876"/>
      <c r="DF70" s="876"/>
      <c r="DG70" s="876"/>
      <c r="DH70" s="876"/>
      <c r="DI70" s="876"/>
      <c r="DJ70" s="876"/>
      <c r="DK70" s="876"/>
      <c r="DL70" s="876"/>
      <c r="DM70" s="876"/>
      <c r="DN70" s="876"/>
      <c r="DO70" s="876"/>
      <c r="DP70" s="876"/>
      <c r="DQ70" s="876"/>
      <c r="DR70" s="876"/>
      <c r="DS70" s="876"/>
      <c r="DT70" s="876"/>
      <c r="DU70" s="876"/>
      <c r="DV70" s="876"/>
      <c r="DW70" s="876"/>
      <c r="DX70" s="876"/>
      <c r="DY70" s="876"/>
      <c r="DZ70" s="876"/>
      <c r="EA70" s="876"/>
      <c r="EB70" s="876"/>
      <c r="EC70" s="876"/>
      <c r="ED70" s="876"/>
      <c r="EE70" s="876"/>
      <c r="EF70" s="876"/>
      <c r="EG70" s="876"/>
      <c r="EH70" s="876"/>
      <c r="EI70" s="876"/>
      <c r="EJ70" s="876"/>
      <c r="EK70" s="876"/>
      <c r="EL70" s="876"/>
      <c r="EM70" s="876"/>
      <c r="EN70" s="876"/>
      <c r="EO70" s="876"/>
      <c r="EP70" s="876"/>
      <c r="EQ70" s="876"/>
      <c r="ER70" s="876"/>
      <c r="ES70" s="876"/>
      <c r="ET70" s="876"/>
      <c r="EU70" s="876"/>
      <c r="EV70" s="876"/>
      <c r="EW70" s="876"/>
      <c r="EX70" s="876"/>
      <c r="EY70" s="876"/>
      <c r="EZ70" s="876"/>
      <c r="FA70" s="876"/>
      <c r="FB70" s="876"/>
      <c r="FC70" s="876"/>
      <c r="FD70" s="876"/>
      <c r="FE70" s="876"/>
      <c r="FF70" s="876"/>
      <c r="FG70" s="876"/>
      <c r="FH70" s="876"/>
      <c r="FI70" s="876"/>
      <c r="FJ70" s="876"/>
      <c r="FK70" s="876"/>
      <c r="FL70" s="876"/>
      <c r="FM70" s="876"/>
      <c r="FN70" s="876"/>
      <c r="FO70" s="876"/>
      <c r="FP70" s="876"/>
      <c r="FQ70" s="876"/>
      <c r="FR70" s="876"/>
      <c r="FS70" s="876"/>
      <c r="FT70" s="876"/>
      <c r="FU70" s="876"/>
      <c r="FV70" s="876"/>
      <c r="FW70" s="876"/>
      <c r="FX70" s="876"/>
      <c r="FY70" s="876"/>
      <c r="FZ70" s="876"/>
      <c r="GA70" s="876"/>
      <c r="GB70" s="876"/>
      <c r="GC70" s="876"/>
      <c r="GD70" s="876"/>
      <c r="GE70" s="876"/>
      <c r="GF70" s="876"/>
      <c r="GG70" s="876"/>
      <c r="GH70" s="876"/>
      <c r="GI70" s="876"/>
      <c r="GJ70" s="876"/>
      <c r="GK70" s="876"/>
      <c r="GL70" s="876"/>
      <c r="GM70" s="876"/>
      <c r="GN70" s="876"/>
      <c r="GO70" s="876"/>
      <c r="GP70" s="876"/>
      <c r="GQ70" s="876"/>
      <c r="GR70" s="876"/>
      <c r="GS70" s="876"/>
      <c r="GT70" s="876"/>
      <c r="GU70" s="876"/>
      <c r="GV70" s="876"/>
      <c r="GW70" s="876"/>
      <c r="GX70" s="876"/>
      <c r="GY70" s="876"/>
      <c r="GZ70" s="876"/>
      <c r="HA70" s="876"/>
      <c r="HB70" s="876"/>
      <c r="HC70" s="876"/>
      <c r="HD70" s="876"/>
      <c r="HE70" s="876"/>
      <c r="HF70" s="876"/>
      <c r="HG70" s="876"/>
      <c r="HH70" s="876"/>
      <c r="HI70" s="876"/>
      <c r="HJ70" s="876"/>
      <c r="HK70" s="876"/>
      <c r="HL70" s="876"/>
      <c r="HM70" s="876"/>
      <c r="HN70" s="876"/>
      <c r="HO70" s="876"/>
      <c r="HP70" s="876"/>
      <c r="HQ70" s="876"/>
      <c r="HR70" s="876"/>
      <c r="HS70" s="876"/>
      <c r="HT70" s="876"/>
      <c r="HU70" s="876"/>
      <c r="HV70" s="876"/>
      <c r="HW70" s="876"/>
      <c r="HX70" s="876"/>
      <c r="HY70" s="876"/>
      <c r="HZ70" s="876"/>
      <c r="IA70" s="876"/>
      <c r="IB70" s="876"/>
      <c r="IC70" s="876"/>
      <c r="ID70" s="876"/>
      <c r="IE70" s="876"/>
      <c r="IF70" s="876"/>
      <c r="IG70" s="876"/>
      <c r="IH70" s="876"/>
      <c r="II70" s="876"/>
      <c r="IJ70" s="876"/>
      <c r="IK70" s="876"/>
      <c r="IL70" s="876"/>
      <c r="IM70" s="876"/>
      <c r="IN70" s="876"/>
      <c r="IO70" s="876"/>
      <c r="IP70" s="876"/>
      <c r="IQ70" s="876"/>
      <c r="IR70" s="876"/>
      <c r="IS70" s="876"/>
      <c r="IT70" s="876"/>
      <c r="IU70" s="876"/>
      <c r="IV70" s="876"/>
    </row>
    <row r="71" spans="1:256" ht="20.100000000000001" customHeight="1">
      <c r="A71" s="876"/>
      <c r="B71" s="876"/>
      <c r="C71" s="876"/>
      <c r="D71" s="895"/>
      <c r="E71" s="876"/>
      <c r="F71" s="876"/>
      <c r="G71" s="876"/>
      <c r="H71" s="900"/>
      <c r="I71" s="876"/>
      <c r="J71" s="898"/>
      <c r="K71" s="876"/>
      <c r="L71" s="895"/>
      <c r="M71" s="876"/>
      <c r="N71" s="876"/>
      <c r="O71" s="889"/>
      <c r="P71" s="889"/>
      <c r="Q71" s="876"/>
      <c r="R71" s="876"/>
      <c r="S71" s="876"/>
      <c r="T71" s="876"/>
      <c r="U71" s="876"/>
      <c r="V71" s="876"/>
      <c r="W71" s="876"/>
      <c r="X71" s="876"/>
      <c r="Y71" s="876"/>
      <c r="Z71" s="876"/>
      <c r="AA71" s="876"/>
      <c r="AB71" s="876"/>
      <c r="AC71" s="876"/>
      <c r="AD71" s="876"/>
      <c r="AE71" s="876"/>
      <c r="AF71" s="876"/>
      <c r="AG71" s="876"/>
      <c r="AH71" s="876"/>
      <c r="AI71" s="876"/>
      <c r="AJ71" s="876"/>
      <c r="AK71" s="876"/>
      <c r="AL71" s="876"/>
      <c r="AM71" s="876"/>
      <c r="AN71" s="876"/>
      <c r="AO71" s="876"/>
      <c r="AP71" s="876"/>
      <c r="AQ71" s="876"/>
      <c r="AR71" s="876"/>
      <c r="AS71" s="876"/>
      <c r="AT71" s="876"/>
      <c r="AU71" s="876"/>
      <c r="AV71" s="876"/>
      <c r="AW71" s="876"/>
      <c r="AX71" s="876"/>
      <c r="AY71" s="876"/>
      <c r="AZ71" s="876"/>
      <c r="BA71" s="876"/>
      <c r="BB71" s="876"/>
      <c r="BC71" s="876"/>
      <c r="BD71" s="876"/>
      <c r="BE71" s="876"/>
      <c r="BF71" s="876"/>
      <c r="BG71" s="876"/>
      <c r="BH71" s="876"/>
      <c r="BI71" s="876"/>
      <c r="BJ71" s="876"/>
      <c r="BK71" s="876"/>
      <c r="BL71" s="876"/>
      <c r="BM71" s="876"/>
      <c r="BN71" s="876"/>
      <c r="BO71" s="876"/>
      <c r="BP71" s="876"/>
      <c r="BQ71" s="876"/>
      <c r="BR71" s="876"/>
      <c r="BS71" s="876"/>
      <c r="BT71" s="876"/>
      <c r="BU71" s="876"/>
      <c r="BV71" s="876"/>
      <c r="BW71" s="876"/>
      <c r="BX71" s="876"/>
      <c r="BY71" s="876"/>
      <c r="BZ71" s="876"/>
      <c r="CA71" s="876"/>
      <c r="CB71" s="876"/>
      <c r="CC71" s="876"/>
      <c r="CD71" s="876"/>
      <c r="CE71" s="876"/>
      <c r="CF71" s="876"/>
      <c r="CG71" s="876"/>
      <c r="CH71" s="876"/>
      <c r="CI71" s="876"/>
      <c r="CJ71" s="876"/>
      <c r="CK71" s="876"/>
      <c r="CL71" s="876"/>
      <c r="CM71" s="876"/>
      <c r="CN71" s="876"/>
      <c r="CO71" s="876"/>
      <c r="CP71" s="876"/>
      <c r="CQ71" s="876"/>
      <c r="CR71" s="876"/>
      <c r="CS71" s="876"/>
      <c r="CT71" s="876"/>
      <c r="CU71" s="876"/>
      <c r="CV71" s="876"/>
      <c r="CW71" s="876"/>
      <c r="CX71" s="876"/>
      <c r="CY71" s="876"/>
      <c r="CZ71" s="876"/>
      <c r="DA71" s="876"/>
      <c r="DB71" s="876"/>
      <c r="DC71" s="876"/>
      <c r="DD71" s="876"/>
      <c r="DE71" s="876"/>
      <c r="DF71" s="876"/>
      <c r="DG71" s="876"/>
      <c r="DH71" s="876"/>
      <c r="DI71" s="876"/>
      <c r="DJ71" s="876"/>
      <c r="DK71" s="876"/>
      <c r="DL71" s="876"/>
      <c r="DM71" s="876"/>
      <c r="DN71" s="876"/>
      <c r="DO71" s="876"/>
      <c r="DP71" s="876"/>
      <c r="DQ71" s="876"/>
      <c r="DR71" s="876"/>
      <c r="DS71" s="876"/>
      <c r="DT71" s="876"/>
      <c r="DU71" s="876"/>
      <c r="DV71" s="876"/>
      <c r="DW71" s="876"/>
      <c r="DX71" s="876"/>
      <c r="DY71" s="876"/>
      <c r="DZ71" s="876"/>
      <c r="EA71" s="876"/>
      <c r="EB71" s="876"/>
      <c r="EC71" s="876"/>
      <c r="ED71" s="876"/>
      <c r="EE71" s="876"/>
      <c r="EF71" s="876"/>
      <c r="EG71" s="876"/>
      <c r="EH71" s="876"/>
      <c r="EI71" s="876"/>
      <c r="EJ71" s="876"/>
      <c r="EK71" s="876"/>
      <c r="EL71" s="876"/>
      <c r="EM71" s="876"/>
      <c r="EN71" s="876"/>
      <c r="EO71" s="876"/>
      <c r="EP71" s="876"/>
      <c r="EQ71" s="876"/>
      <c r="ER71" s="876"/>
      <c r="ES71" s="876"/>
      <c r="ET71" s="876"/>
      <c r="EU71" s="876"/>
      <c r="EV71" s="876"/>
      <c r="EW71" s="876"/>
      <c r="EX71" s="876"/>
      <c r="EY71" s="876"/>
      <c r="EZ71" s="876"/>
      <c r="FA71" s="876"/>
      <c r="FB71" s="876"/>
      <c r="FC71" s="876"/>
      <c r="FD71" s="876"/>
      <c r="FE71" s="876"/>
      <c r="FF71" s="876"/>
      <c r="FG71" s="876"/>
      <c r="FH71" s="876"/>
      <c r="FI71" s="876"/>
      <c r="FJ71" s="876"/>
      <c r="FK71" s="876"/>
      <c r="FL71" s="876"/>
      <c r="FM71" s="876"/>
      <c r="FN71" s="876"/>
      <c r="FO71" s="876"/>
      <c r="FP71" s="876"/>
      <c r="FQ71" s="876"/>
      <c r="FR71" s="876"/>
      <c r="FS71" s="876"/>
      <c r="FT71" s="876"/>
      <c r="FU71" s="876"/>
      <c r="FV71" s="876"/>
      <c r="FW71" s="876"/>
      <c r="FX71" s="876"/>
      <c r="FY71" s="876"/>
      <c r="FZ71" s="876"/>
      <c r="GA71" s="876"/>
      <c r="GB71" s="876"/>
      <c r="GC71" s="876"/>
      <c r="GD71" s="876"/>
      <c r="GE71" s="876"/>
      <c r="GF71" s="876"/>
      <c r="GG71" s="876"/>
      <c r="GH71" s="876"/>
      <c r="GI71" s="876"/>
      <c r="GJ71" s="876"/>
      <c r="GK71" s="876"/>
      <c r="GL71" s="876"/>
      <c r="GM71" s="876"/>
      <c r="GN71" s="876"/>
      <c r="GO71" s="876"/>
      <c r="GP71" s="876"/>
      <c r="GQ71" s="876"/>
      <c r="GR71" s="876"/>
      <c r="GS71" s="876"/>
      <c r="GT71" s="876"/>
      <c r="GU71" s="876"/>
      <c r="GV71" s="876"/>
      <c r="GW71" s="876"/>
      <c r="GX71" s="876"/>
      <c r="GY71" s="876"/>
      <c r="GZ71" s="876"/>
      <c r="HA71" s="876"/>
      <c r="HB71" s="876"/>
      <c r="HC71" s="876"/>
      <c r="HD71" s="876"/>
      <c r="HE71" s="876"/>
      <c r="HF71" s="876"/>
      <c r="HG71" s="876"/>
      <c r="HH71" s="876"/>
      <c r="HI71" s="876"/>
      <c r="HJ71" s="876"/>
      <c r="HK71" s="876"/>
      <c r="HL71" s="876"/>
      <c r="HM71" s="876"/>
      <c r="HN71" s="876"/>
      <c r="HO71" s="876"/>
      <c r="HP71" s="876"/>
      <c r="HQ71" s="876"/>
      <c r="HR71" s="876"/>
      <c r="HS71" s="876"/>
      <c r="HT71" s="876"/>
      <c r="HU71" s="876"/>
      <c r="HV71" s="876"/>
      <c r="HW71" s="876"/>
      <c r="HX71" s="876"/>
      <c r="HY71" s="876"/>
      <c r="HZ71" s="876"/>
      <c r="IA71" s="876"/>
      <c r="IB71" s="876"/>
      <c r="IC71" s="876"/>
      <c r="ID71" s="876"/>
      <c r="IE71" s="876"/>
      <c r="IF71" s="876"/>
      <c r="IG71" s="876"/>
      <c r="IH71" s="876"/>
      <c r="II71" s="876"/>
      <c r="IJ71" s="876"/>
      <c r="IK71" s="876"/>
      <c r="IL71" s="876"/>
      <c r="IM71" s="876"/>
      <c r="IN71" s="876"/>
      <c r="IO71" s="876"/>
      <c r="IP71" s="876"/>
      <c r="IQ71" s="876"/>
      <c r="IR71" s="876"/>
      <c r="IS71" s="876"/>
      <c r="IT71" s="876"/>
      <c r="IU71" s="876"/>
      <c r="IV71" s="876"/>
    </row>
    <row r="72" spans="1:256" ht="17.399999999999999">
      <c r="A72" s="1382"/>
      <c r="B72" s="876"/>
      <c r="C72" s="876"/>
      <c r="D72" s="876"/>
      <c r="E72" s="876"/>
      <c r="F72" s="876"/>
      <c r="G72" s="876"/>
      <c r="H72" s="876"/>
      <c r="I72" s="876"/>
      <c r="J72" s="876"/>
      <c r="K72" s="876"/>
      <c r="L72" s="876"/>
      <c r="M72" s="876"/>
      <c r="N72" s="876"/>
      <c r="O72" s="876"/>
      <c r="P72" s="876"/>
      <c r="Q72" s="876"/>
      <c r="R72" s="876"/>
      <c r="S72" s="876"/>
      <c r="T72" s="876"/>
      <c r="U72" s="876"/>
      <c r="V72" s="876"/>
      <c r="W72" s="876"/>
      <c r="X72" s="876"/>
      <c r="Y72" s="876"/>
      <c r="Z72" s="876"/>
      <c r="AA72" s="876"/>
      <c r="AB72" s="876"/>
      <c r="AC72" s="876"/>
      <c r="AD72" s="876"/>
      <c r="AE72" s="876"/>
      <c r="AF72" s="876"/>
      <c r="AG72" s="876"/>
      <c r="AH72" s="876"/>
      <c r="AI72" s="876"/>
      <c r="AJ72" s="876"/>
      <c r="AK72" s="876"/>
      <c r="AL72" s="876"/>
      <c r="AM72" s="876"/>
      <c r="AN72" s="876"/>
      <c r="AO72" s="876"/>
      <c r="AP72" s="876"/>
      <c r="AQ72" s="876"/>
      <c r="AR72" s="876"/>
      <c r="AS72" s="876"/>
      <c r="AT72" s="876"/>
      <c r="AU72" s="876"/>
      <c r="AV72" s="876"/>
      <c r="AW72" s="876"/>
      <c r="AX72" s="876"/>
      <c r="AY72" s="876"/>
      <c r="AZ72" s="876"/>
      <c r="BA72" s="876"/>
      <c r="BB72" s="876"/>
      <c r="BC72" s="876"/>
      <c r="BD72" s="876"/>
      <c r="BE72" s="876"/>
      <c r="BF72" s="876"/>
      <c r="BG72" s="876"/>
      <c r="BH72" s="876"/>
      <c r="BI72" s="876"/>
      <c r="BJ72" s="876"/>
      <c r="BK72" s="876"/>
      <c r="BL72" s="876"/>
      <c r="BM72" s="876"/>
      <c r="BN72" s="876"/>
      <c r="BO72" s="876"/>
      <c r="BP72" s="876"/>
      <c r="BQ72" s="876"/>
      <c r="BR72" s="876"/>
      <c r="BS72" s="876"/>
      <c r="BT72" s="876"/>
      <c r="BU72" s="876"/>
      <c r="BV72" s="876"/>
      <c r="BW72" s="876"/>
      <c r="BX72" s="876"/>
      <c r="BY72" s="876"/>
      <c r="BZ72" s="876"/>
      <c r="CA72" s="876"/>
      <c r="CB72" s="876"/>
      <c r="CC72" s="876"/>
      <c r="CD72" s="876"/>
      <c r="CE72" s="876"/>
      <c r="CF72" s="876"/>
      <c r="CG72" s="876"/>
      <c r="CH72" s="876"/>
      <c r="CI72" s="876"/>
      <c r="CJ72" s="876"/>
      <c r="CK72" s="876"/>
      <c r="CL72" s="876"/>
      <c r="CM72" s="876"/>
      <c r="CN72" s="876"/>
      <c r="CO72" s="876"/>
      <c r="CP72" s="876"/>
      <c r="CQ72" s="876"/>
      <c r="CR72" s="876"/>
      <c r="CS72" s="876"/>
      <c r="CT72" s="876"/>
      <c r="CU72" s="876"/>
      <c r="CV72" s="876"/>
      <c r="CW72" s="876"/>
      <c r="CX72" s="876"/>
      <c r="CY72" s="876"/>
      <c r="CZ72" s="876"/>
      <c r="DA72" s="876"/>
      <c r="DB72" s="876"/>
      <c r="DC72" s="876"/>
      <c r="DD72" s="876"/>
      <c r="DE72" s="876"/>
      <c r="DF72" s="876"/>
      <c r="DG72" s="876"/>
      <c r="DH72" s="876"/>
      <c r="DI72" s="876"/>
      <c r="DJ72" s="876"/>
      <c r="DK72" s="876"/>
      <c r="DL72" s="876"/>
      <c r="DM72" s="876"/>
      <c r="DN72" s="876"/>
      <c r="DO72" s="876"/>
      <c r="DP72" s="876"/>
      <c r="DQ72" s="876"/>
      <c r="DR72" s="876"/>
      <c r="DS72" s="876"/>
      <c r="DT72" s="876"/>
      <c r="DU72" s="876"/>
      <c r="DV72" s="876"/>
      <c r="DW72" s="876"/>
      <c r="DX72" s="876"/>
      <c r="DY72" s="876"/>
      <c r="DZ72" s="876"/>
      <c r="EA72" s="876"/>
      <c r="EB72" s="876"/>
      <c r="EC72" s="876"/>
      <c r="ED72" s="876"/>
      <c r="EE72" s="876"/>
      <c r="EF72" s="876"/>
      <c r="EG72" s="876"/>
      <c r="EH72" s="876"/>
      <c r="EI72" s="876"/>
      <c r="EJ72" s="876"/>
      <c r="EK72" s="876"/>
      <c r="EL72" s="876"/>
      <c r="EM72" s="876"/>
      <c r="EN72" s="876"/>
      <c r="EO72" s="876"/>
      <c r="EP72" s="876"/>
      <c r="EQ72" s="876"/>
      <c r="ER72" s="876"/>
      <c r="ES72" s="876"/>
      <c r="ET72" s="876"/>
      <c r="EU72" s="876"/>
      <c r="EV72" s="876"/>
      <c r="EW72" s="876"/>
      <c r="EX72" s="876"/>
      <c r="EY72" s="876"/>
      <c r="EZ72" s="876"/>
      <c r="FA72" s="876"/>
      <c r="FB72" s="876"/>
      <c r="FC72" s="876"/>
      <c r="FD72" s="876"/>
      <c r="FE72" s="876"/>
      <c r="FF72" s="876"/>
      <c r="FG72" s="876"/>
      <c r="FH72" s="876"/>
      <c r="FI72" s="876"/>
      <c r="FJ72" s="876"/>
      <c r="FK72" s="876"/>
      <c r="FL72" s="876"/>
      <c r="FM72" s="876"/>
      <c r="FN72" s="876"/>
      <c r="FO72" s="876"/>
      <c r="FP72" s="876"/>
      <c r="FQ72" s="876"/>
      <c r="FR72" s="876"/>
      <c r="FS72" s="876"/>
      <c r="FT72" s="876"/>
      <c r="FU72" s="876"/>
      <c r="FV72" s="876"/>
      <c r="FW72" s="876"/>
      <c r="FX72" s="876"/>
      <c r="FY72" s="876"/>
      <c r="FZ72" s="876"/>
      <c r="GA72" s="876"/>
      <c r="GB72" s="876"/>
      <c r="GC72" s="876"/>
      <c r="GD72" s="876"/>
      <c r="GE72" s="876"/>
      <c r="GF72" s="876"/>
      <c r="GG72" s="876"/>
      <c r="GH72" s="876"/>
      <c r="GI72" s="876"/>
      <c r="GJ72" s="876"/>
      <c r="GK72" s="876"/>
      <c r="GL72" s="876"/>
      <c r="GM72" s="876"/>
      <c r="GN72" s="876"/>
      <c r="GO72" s="876"/>
      <c r="GP72" s="876"/>
      <c r="GQ72" s="876"/>
      <c r="GR72" s="876"/>
      <c r="GS72" s="876"/>
      <c r="GT72" s="876"/>
      <c r="GU72" s="876"/>
      <c r="GV72" s="876"/>
      <c r="GW72" s="876"/>
      <c r="GX72" s="876"/>
      <c r="GY72" s="876"/>
      <c r="GZ72" s="876"/>
      <c r="HA72" s="876"/>
      <c r="HB72" s="876"/>
      <c r="HC72" s="876"/>
      <c r="HD72" s="876"/>
      <c r="HE72" s="876"/>
      <c r="HF72" s="876"/>
      <c r="HG72" s="876"/>
      <c r="HH72" s="876"/>
      <c r="HI72" s="876"/>
      <c r="HJ72" s="876"/>
      <c r="HK72" s="876"/>
      <c r="HL72" s="876"/>
      <c r="HM72" s="876"/>
      <c r="HN72" s="876"/>
      <c r="HO72" s="876"/>
      <c r="HP72" s="876"/>
      <c r="HQ72" s="876"/>
      <c r="HR72" s="876"/>
      <c r="HS72" s="876"/>
      <c r="HT72" s="876"/>
      <c r="HU72" s="876"/>
      <c r="HV72" s="876"/>
      <c r="HW72" s="876"/>
      <c r="HX72" s="876"/>
      <c r="HY72" s="876"/>
      <c r="HZ72" s="876"/>
      <c r="IA72" s="876"/>
      <c r="IB72" s="876"/>
      <c r="IC72" s="876"/>
      <c r="ID72" s="876"/>
      <c r="IE72" s="876"/>
      <c r="IF72" s="876"/>
      <c r="IG72" s="876"/>
      <c r="IH72" s="876"/>
      <c r="II72" s="876"/>
      <c r="IJ72" s="876"/>
      <c r="IK72" s="876"/>
      <c r="IL72" s="876"/>
      <c r="IM72" s="876"/>
      <c r="IN72" s="876"/>
      <c r="IO72" s="876"/>
      <c r="IP72" s="876"/>
      <c r="IQ72" s="876"/>
      <c r="IR72" s="876"/>
      <c r="IS72" s="876"/>
      <c r="IT72" s="876"/>
      <c r="IU72" s="876"/>
      <c r="IV72" s="876"/>
    </row>
    <row r="73" spans="1:256" ht="17.399999999999999">
      <c r="A73" s="901"/>
      <c r="B73" s="876"/>
      <c r="C73" s="876"/>
      <c r="D73" s="876"/>
      <c r="E73" s="876"/>
      <c r="F73" s="876"/>
      <c r="G73" s="876"/>
      <c r="H73" s="876"/>
      <c r="I73" s="876"/>
      <c r="J73" s="876"/>
      <c r="K73" s="876"/>
      <c r="L73" s="876"/>
      <c r="M73" s="876"/>
      <c r="N73" s="876"/>
      <c r="O73" s="876"/>
      <c r="P73" s="876"/>
      <c r="Q73" s="876"/>
      <c r="R73" s="876"/>
      <c r="S73" s="876"/>
      <c r="T73" s="876"/>
      <c r="U73" s="876"/>
      <c r="V73" s="876"/>
      <c r="W73" s="876"/>
      <c r="X73" s="876"/>
      <c r="Y73" s="876"/>
      <c r="Z73" s="876"/>
      <c r="AA73" s="876"/>
      <c r="AB73" s="876"/>
      <c r="AC73" s="876"/>
      <c r="AD73" s="876"/>
      <c r="AE73" s="876"/>
      <c r="AF73" s="876"/>
      <c r="AG73" s="876"/>
      <c r="AH73" s="876"/>
      <c r="AI73" s="876"/>
      <c r="AJ73" s="876"/>
      <c r="AK73" s="876"/>
      <c r="AL73" s="876"/>
      <c r="AM73" s="876"/>
      <c r="AN73" s="876"/>
      <c r="AO73" s="876"/>
      <c r="AP73" s="876"/>
      <c r="AQ73" s="876"/>
      <c r="AR73" s="876"/>
      <c r="AS73" s="876"/>
      <c r="AT73" s="876"/>
      <c r="AU73" s="876"/>
      <c r="AV73" s="876"/>
      <c r="AW73" s="876"/>
      <c r="AX73" s="876"/>
      <c r="AY73" s="876"/>
      <c r="AZ73" s="876"/>
      <c r="BA73" s="876"/>
      <c r="BB73" s="876"/>
      <c r="BC73" s="876"/>
      <c r="BD73" s="876"/>
      <c r="BE73" s="876"/>
      <c r="BF73" s="876"/>
      <c r="BG73" s="876"/>
      <c r="BH73" s="876"/>
      <c r="BI73" s="876"/>
      <c r="BJ73" s="876"/>
      <c r="BK73" s="876"/>
      <c r="BL73" s="876"/>
      <c r="BM73" s="876"/>
      <c r="BN73" s="876"/>
      <c r="BO73" s="876"/>
      <c r="BP73" s="876"/>
      <c r="BQ73" s="876"/>
      <c r="BR73" s="876"/>
      <c r="BS73" s="876"/>
      <c r="BT73" s="876"/>
      <c r="BU73" s="876"/>
      <c r="BV73" s="876"/>
      <c r="BW73" s="876"/>
      <c r="BX73" s="876"/>
      <c r="BY73" s="876"/>
      <c r="BZ73" s="876"/>
      <c r="CA73" s="876"/>
      <c r="CB73" s="876"/>
      <c r="CC73" s="876"/>
      <c r="CD73" s="876"/>
      <c r="CE73" s="876"/>
      <c r="CF73" s="876"/>
      <c r="CG73" s="876"/>
      <c r="CH73" s="876"/>
      <c r="CI73" s="876"/>
      <c r="CJ73" s="876"/>
      <c r="CK73" s="876"/>
      <c r="CL73" s="876"/>
      <c r="CM73" s="876"/>
      <c r="CN73" s="876"/>
      <c r="CO73" s="876"/>
      <c r="CP73" s="876"/>
      <c r="CQ73" s="876"/>
      <c r="CR73" s="876"/>
      <c r="CS73" s="876"/>
      <c r="CT73" s="876"/>
      <c r="CU73" s="876"/>
      <c r="CV73" s="876"/>
      <c r="CW73" s="876"/>
      <c r="CX73" s="876"/>
      <c r="CY73" s="876"/>
      <c r="CZ73" s="876"/>
      <c r="DA73" s="876"/>
      <c r="DB73" s="876"/>
      <c r="DC73" s="876"/>
      <c r="DD73" s="876"/>
      <c r="DE73" s="876"/>
      <c r="DF73" s="876"/>
      <c r="DG73" s="876"/>
      <c r="DH73" s="876"/>
      <c r="DI73" s="876"/>
      <c r="DJ73" s="876"/>
      <c r="DK73" s="876"/>
      <c r="DL73" s="876"/>
      <c r="DM73" s="876"/>
      <c r="DN73" s="876"/>
      <c r="DO73" s="876"/>
      <c r="DP73" s="876"/>
      <c r="DQ73" s="876"/>
      <c r="DR73" s="876"/>
      <c r="DS73" s="876"/>
      <c r="DT73" s="876"/>
      <c r="DU73" s="876"/>
      <c r="DV73" s="876"/>
      <c r="DW73" s="876"/>
      <c r="DX73" s="876"/>
      <c r="DY73" s="876"/>
      <c r="DZ73" s="876"/>
      <c r="EA73" s="876"/>
      <c r="EB73" s="876"/>
      <c r="EC73" s="876"/>
      <c r="ED73" s="876"/>
      <c r="EE73" s="876"/>
      <c r="EF73" s="876"/>
      <c r="EG73" s="876"/>
      <c r="EH73" s="876"/>
      <c r="EI73" s="876"/>
      <c r="EJ73" s="876"/>
      <c r="EK73" s="876"/>
      <c r="EL73" s="876"/>
      <c r="EM73" s="876"/>
      <c r="EN73" s="876"/>
      <c r="EO73" s="876"/>
      <c r="EP73" s="876"/>
      <c r="EQ73" s="876"/>
      <c r="ER73" s="876"/>
      <c r="ES73" s="876"/>
      <c r="ET73" s="876"/>
      <c r="EU73" s="876"/>
      <c r="EV73" s="876"/>
      <c r="EW73" s="876"/>
      <c r="EX73" s="876"/>
      <c r="EY73" s="876"/>
      <c r="EZ73" s="876"/>
      <c r="FA73" s="876"/>
      <c r="FB73" s="876"/>
      <c r="FC73" s="876"/>
      <c r="FD73" s="876"/>
      <c r="FE73" s="876"/>
      <c r="FF73" s="876"/>
      <c r="FG73" s="876"/>
      <c r="FH73" s="876"/>
      <c r="FI73" s="876"/>
      <c r="FJ73" s="876"/>
      <c r="FK73" s="876"/>
      <c r="FL73" s="876"/>
      <c r="FM73" s="876"/>
      <c r="FN73" s="876"/>
      <c r="FO73" s="876"/>
      <c r="FP73" s="876"/>
      <c r="FQ73" s="876"/>
      <c r="FR73" s="876"/>
      <c r="FS73" s="876"/>
      <c r="FT73" s="876"/>
      <c r="FU73" s="876"/>
      <c r="FV73" s="876"/>
      <c r="FW73" s="876"/>
      <c r="FX73" s="876"/>
      <c r="FY73" s="876"/>
      <c r="FZ73" s="876"/>
      <c r="GA73" s="876"/>
      <c r="GB73" s="876"/>
      <c r="GC73" s="876"/>
      <c r="GD73" s="876"/>
      <c r="GE73" s="876"/>
      <c r="GF73" s="876"/>
      <c r="GG73" s="876"/>
      <c r="GH73" s="876"/>
      <c r="GI73" s="876"/>
      <c r="GJ73" s="876"/>
      <c r="GK73" s="876"/>
      <c r="GL73" s="876"/>
      <c r="GM73" s="876"/>
      <c r="GN73" s="876"/>
      <c r="GO73" s="876"/>
      <c r="GP73" s="876"/>
      <c r="GQ73" s="876"/>
      <c r="GR73" s="876"/>
      <c r="GS73" s="876"/>
      <c r="GT73" s="876"/>
      <c r="GU73" s="876"/>
      <c r="GV73" s="876"/>
      <c r="GW73" s="876"/>
      <c r="GX73" s="876"/>
      <c r="GY73" s="876"/>
      <c r="GZ73" s="876"/>
      <c r="HA73" s="876"/>
      <c r="HB73" s="876"/>
      <c r="HC73" s="876"/>
      <c r="HD73" s="876"/>
      <c r="HE73" s="876"/>
      <c r="HF73" s="876"/>
      <c r="HG73" s="876"/>
      <c r="HH73" s="876"/>
      <c r="HI73" s="876"/>
      <c r="HJ73" s="876"/>
      <c r="HK73" s="876"/>
      <c r="HL73" s="876"/>
      <c r="HM73" s="876"/>
      <c r="HN73" s="876"/>
      <c r="HO73" s="876"/>
      <c r="HP73" s="876"/>
      <c r="HQ73" s="876"/>
      <c r="HR73" s="876"/>
      <c r="HS73" s="876"/>
      <c r="HT73" s="876"/>
      <c r="HU73" s="876"/>
      <c r="HV73" s="876"/>
      <c r="HW73" s="876"/>
      <c r="HX73" s="876"/>
      <c r="HY73" s="876"/>
      <c r="HZ73" s="876"/>
      <c r="IA73" s="876"/>
      <c r="IB73" s="876"/>
      <c r="IC73" s="876"/>
      <c r="ID73" s="876"/>
      <c r="IE73" s="876"/>
      <c r="IF73" s="876"/>
      <c r="IG73" s="876"/>
      <c r="IH73" s="876"/>
      <c r="II73" s="876"/>
      <c r="IJ73" s="876"/>
      <c r="IK73" s="876"/>
      <c r="IL73" s="876"/>
      <c r="IM73" s="876"/>
      <c r="IN73" s="876"/>
      <c r="IO73" s="876"/>
      <c r="IP73" s="876"/>
      <c r="IQ73" s="876"/>
      <c r="IR73" s="876"/>
      <c r="IS73" s="876"/>
      <c r="IT73" s="876"/>
      <c r="IU73" s="876"/>
      <c r="IV73" s="876"/>
    </row>
    <row r="74" spans="1:256" ht="17.399999999999999">
      <c r="A74" s="876"/>
      <c r="B74" s="876"/>
      <c r="C74" s="876"/>
      <c r="D74" s="876"/>
      <c r="E74" s="876"/>
      <c r="F74" s="876"/>
      <c r="G74" s="876"/>
      <c r="H74" s="876"/>
      <c r="I74" s="876"/>
      <c r="J74" s="876"/>
      <c r="K74" s="876"/>
      <c r="L74" s="876"/>
      <c r="M74" s="876"/>
      <c r="N74" s="876"/>
      <c r="O74" s="876"/>
      <c r="P74" s="876"/>
      <c r="Q74" s="876"/>
      <c r="R74" s="876"/>
      <c r="S74" s="876"/>
      <c r="T74" s="876"/>
      <c r="U74" s="876"/>
      <c r="V74" s="876"/>
      <c r="W74" s="876"/>
      <c r="X74" s="876"/>
      <c r="Y74" s="876"/>
      <c r="Z74" s="876"/>
      <c r="AA74" s="876"/>
      <c r="AB74" s="876"/>
      <c r="AC74" s="876"/>
      <c r="AD74" s="876"/>
      <c r="AE74" s="876"/>
      <c r="AF74" s="876"/>
      <c r="AG74" s="876"/>
      <c r="AH74" s="876"/>
      <c r="AI74" s="876"/>
      <c r="AJ74" s="876"/>
      <c r="AK74" s="876"/>
      <c r="AL74" s="876"/>
      <c r="AM74" s="876"/>
      <c r="AN74" s="876"/>
      <c r="AO74" s="876"/>
      <c r="AP74" s="876"/>
      <c r="AQ74" s="876"/>
      <c r="AR74" s="876"/>
      <c r="AS74" s="876"/>
      <c r="AT74" s="876"/>
      <c r="AU74" s="876"/>
      <c r="AV74" s="876"/>
      <c r="AW74" s="876"/>
      <c r="AX74" s="876"/>
      <c r="AY74" s="876"/>
      <c r="AZ74" s="876"/>
      <c r="BA74" s="876"/>
      <c r="BB74" s="876"/>
      <c r="BC74" s="876"/>
      <c r="BD74" s="876"/>
      <c r="BE74" s="876"/>
      <c r="BF74" s="876"/>
      <c r="BG74" s="876"/>
      <c r="BH74" s="876"/>
      <c r="BI74" s="876"/>
      <c r="BJ74" s="876"/>
      <c r="BK74" s="876"/>
      <c r="BL74" s="876"/>
      <c r="BM74" s="876"/>
      <c r="BN74" s="876"/>
      <c r="BO74" s="876"/>
      <c r="BP74" s="876"/>
      <c r="BQ74" s="876"/>
      <c r="BR74" s="876"/>
      <c r="BS74" s="876"/>
      <c r="BT74" s="876"/>
      <c r="BU74" s="876"/>
      <c r="BV74" s="876"/>
      <c r="BW74" s="876"/>
      <c r="BX74" s="876"/>
      <c r="BY74" s="876"/>
      <c r="BZ74" s="876"/>
      <c r="CA74" s="876"/>
      <c r="CB74" s="876"/>
      <c r="CC74" s="876"/>
      <c r="CD74" s="876"/>
      <c r="CE74" s="876"/>
      <c r="CF74" s="876"/>
      <c r="CG74" s="876"/>
      <c r="CH74" s="876"/>
      <c r="CI74" s="876"/>
      <c r="CJ74" s="876"/>
      <c r="CK74" s="876"/>
      <c r="CL74" s="876"/>
      <c r="CM74" s="876"/>
      <c r="CN74" s="876"/>
      <c r="CO74" s="876"/>
      <c r="CP74" s="876"/>
      <c r="CQ74" s="876"/>
      <c r="CR74" s="876"/>
      <c r="CS74" s="876"/>
      <c r="CT74" s="876"/>
      <c r="CU74" s="876"/>
      <c r="CV74" s="876"/>
      <c r="CW74" s="876"/>
      <c r="CX74" s="876"/>
      <c r="CY74" s="876"/>
      <c r="CZ74" s="876"/>
      <c r="DA74" s="876"/>
      <c r="DB74" s="876"/>
      <c r="DC74" s="876"/>
      <c r="DD74" s="876"/>
      <c r="DE74" s="876"/>
      <c r="DF74" s="876"/>
      <c r="DG74" s="876"/>
      <c r="DH74" s="876"/>
      <c r="DI74" s="876"/>
      <c r="DJ74" s="876"/>
      <c r="DK74" s="876"/>
      <c r="DL74" s="876"/>
      <c r="DM74" s="876"/>
      <c r="DN74" s="876"/>
      <c r="DO74" s="876"/>
      <c r="DP74" s="876"/>
      <c r="DQ74" s="876"/>
      <c r="DR74" s="876"/>
      <c r="DS74" s="876"/>
      <c r="DT74" s="876"/>
      <c r="DU74" s="876"/>
      <c r="DV74" s="876"/>
      <c r="DW74" s="876"/>
      <c r="DX74" s="876"/>
      <c r="DY74" s="876"/>
      <c r="DZ74" s="876"/>
      <c r="EA74" s="876"/>
      <c r="EB74" s="876"/>
      <c r="EC74" s="876"/>
      <c r="ED74" s="876"/>
      <c r="EE74" s="876"/>
      <c r="EF74" s="876"/>
      <c r="EG74" s="876"/>
      <c r="EH74" s="876"/>
      <c r="EI74" s="876"/>
      <c r="EJ74" s="876"/>
      <c r="EK74" s="876"/>
      <c r="EL74" s="876"/>
      <c r="EM74" s="876"/>
      <c r="EN74" s="876"/>
      <c r="EO74" s="876"/>
      <c r="EP74" s="876"/>
      <c r="EQ74" s="876"/>
      <c r="ER74" s="876"/>
      <c r="ES74" s="876"/>
      <c r="ET74" s="876"/>
      <c r="EU74" s="876"/>
      <c r="EV74" s="876"/>
      <c r="EW74" s="876"/>
      <c r="EX74" s="876"/>
      <c r="EY74" s="876"/>
      <c r="EZ74" s="876"/>
      <c r="FA74" s="876"/>
      <c r="FB74" s="876"/>
      <c r="FC74" s="876"/>
      <c r="FD74" s="876"/>
      <c r="FE74" s="876"/>
      <c r="FF74" s="876"/>
      <c r="FG74" s="876"/>
      <c r="FH74" s="876"/>
      <c r="FI74" s="876"/>
      <c r="FJ74" s="876"/>
      <c r="FK74" s="876"/>
      <c r="FL74" s="876"/>
      <c r="FM74" s="876"/>
      <c r="FN74" s="876"/>
      <c r="FO74" s="876"/>
      <c r="FP74" s="876"/>
      <c r="FQ74" s="876"/>
      <c r="FR74" s="876"/>
      <c r="FS74" s="876"/>
      <c r="FT74" s="876"/>
      <c r="FU74" s="876"/>
      <c r="FV74" s="876"/>
      <c r="FW74" s="876"/>
      <c r="FX74" s="876"/>
      <c r="FY74" s="876"/>
      <c r="FZ74" s="876"/>
      <c r="GA74" s="876"/>
      <c r="GB74" s="876"/>
      <c r="GC74" s="876"/>
      <c r="GD74" s="876"/>
      <c r="GE74" s="876"/>
      <c r="GF74" s="876"/>
      <c r="GG74" s="876"/>
      <c r="GH74" s="876"/>
      <c r="GI74" s="876"/>
      <c r="GJ74" s="876"/>
      <c r="GK74" s="876"/>
      <c r="GL74" s="876"/>
      <c r="GM74" s="876"/>
      <c r="GN74" s="876"/>
      <c r="GO74" s="876"/>
      <c r="GP74" s="876"/>
      <c r="GQ74" s="876"/>
      <c r="GR74" s="876"/>
      <c r="GS74" s="876"/>
      <c r="GT74" s="876"/>
      <c r="GU74" s="876"/>
      <c r="GV74" s="876"/>
      <c r="GW74" s="876"/>
      <c r="GX74" s="876"/>
      <c r="GY74" s="876"/>
      <c r="GZ74" s="876"/>
      <c r="HA74" s="876"/>
      <c r="HB74" s="876"/>
      <c r="HC74" s="876"/>
      <c r="HD74" s="876"/>
      <c r="HE74" s="876"/>
      <c r="HF74" s="876"/>
      <c r="HG74" s="876"/>
      <c r="HH74" s="876"/>
      <c r="HI74" s="876"/>
      <c r="HJ74" s="876"/>
      <c r="HK74" s="876"/>
      <c r="HL74" s="876"/>
      <c r="HM74" s="876"/>
      <c r="HN74" s="876"/>
      <c r="HO74" s="876"/>
      <c r="HP74" s="876"/>
      <c r="HQ74" s="876"/>
      <c r="HR74" s="876"/>
      <c r="HS74" s="876"/>
      <c r="HT74" s="876"/>
      <c r="HU74" s="876"/>
      <c r="HV74" s="876"/>
      <c r="HW74" s="876"/>
      <c r="HX74" s="876"/>
      <c r="HY74" s="876"/>
      <c r="HZ74" s="876"/>
      <c r="IA74" s="876"/>
      <c r="IB74" s="876"/>
      <c r="IC74" s="876"/>
      <c r="ID74" s="876"/>
      <c r="IE74" s="876"/>
      <c r="IF74" s="876"/>
      <c r="IG74" s="876"/>
      <c r="IH74" s="876"/>
      <c r="II74" s="876"/>
      <c r="IJ74" s="876"/>
      <c r="IK74" s="876"/>
      <c r="IL74" s="876"/>
      <c r="IM74" s="876"/>
      <c r="IN74" s="876"/>
      <c r="IO74" s="876"/>
      <c r="IP74" s="876"/>
      <c r="IQ74" s="876"/>
      <c r="IR74" s="876"/>
      <c r="IS74" s="876"/>
      <c r="IT74" s="876"/>
      <c r="IU74" s="876"/>
      <c r="IV74" s="876"/>
    </row>
    <row r="75" spans="1:256" ht="17.399999999999999">
      <c r="A75" s="876"/>
      <c r="B75" s="876"/>
      <c r="C75" s="876"/>
      <c r="D75" s="876"/>
      <c r="E75" s="876"/>
      <c r="F75" s="876"/>
      <c r="G75" s="876"/>
      <c r="H75" s="876"/>
      <c r="I75" s="876"/>
      <c r="J75" s="876"/>
      <c r="K75" s="876"/>
      <c r="L75" s="876"/>
      <c r="M75" s="876"/>
      <c r="N75" s="876"/>
      <c r="O75" s="876"/>
      <c r="P75" s="876"/>
      <c r="Q75" s="876"/>
      <c r="R75" s="876"/>
      <c r="S75" s="876"/>
      <c r="T75" s="876"/>
      <c r="U75" s="876"/>
      <c r="V75" s="876"/>
      <c r="W75" s="876"/>
      <c r="X75" s="876"/>
      <c r="Y75" s="876"/>
      <c r="Z75" s="876"/>
      <c r="AA75" s="876"/>
      <c r="AB75" s="876"/>
      <c r="AC75" s="876"/>
      <c r="AD75" s="876"/>
      <c r="AE75" s="876"/>
      <c r="AF75" s="876"/>
      <c r="AG75" s="876"/>
      <c r="AH75" s="876"/>
      <c r="AI75" s="876"/>
      <c r="AJ75" s="876"/>
      <c r="AK75" s="876"/>
      <c r="AL75" s="876"/>
      <c r="AM75" s="876"/>
      <c r="AN75" s="876"/>
      <c r="AO75" s="876"/>
      <c r="AP75" s="876"/>
      <c r="AQ75" s="876"/>
      <c r="AR75" s="876"/>
      <c r="AS75" s="876"/>
      <c r="AT75" s="876"/>
      <c r="AU75" s="876"/>
      <c r="AV75" s="876"/>
      <c r="AW75" s="876"/>
      <c r="AX75" s="876"/>
      <c r="AY75" s="876"/>
      <c r="AZ75" s="876"/>
      <c r="BA75" s="876"/>
      <c r="BB75" s="876"/>
      <c r="BC75" s="876"/>
      <c r="BD75" s="876"/>
      <c r="BE75" s="876"/>
      <c r="BF75" s="876"/>
      <c r="BG75" s="876"/>
      <c r="BH75" s="876"/>
      <c r="BI75" s="876"/>
      <c r="BJ75" s="876"/>
      <c r="BK75" s="876"/>
      <c r="BL75" s="876"/>
      <c r="BM75" s="876"/>
      <c r="BN75" s="876"/>
      <c r="BO75" s="876"/>
      <c r="BP75" s="876"/>
      <c r="BQ75" s="876"/>
      <c r="BR75" s="876"/>
      <c r="BS75" s="876"/>
      <c r="BT75" s="876"/>
      <c r="BU75" s="876"/>
      <c r="BV75" s="876"/>
      <c r="BW75" s="876"/>
      <c r="BX75" s="876"/>
      <c r="BY75" s="876"/>
      <c r="BZ75" s="876"/>
      <c r="CA75" s="876"/>
      <c r="CB75" s="876"/>
      <c r="CC75" s="876"/>
      <c r="CD75" s="876"/>
      <c r="CE75" s="876"/>
      <c r="CF75" s="876"/>
      <c r="CG75" s="876"/>
      <c r="CH75" s="876"/>
      <c r="CI75" s="876"/>
      <c r="CJ75" s="876"/>
      <c r="CK75" s="876"/>
      <c r="CL75" s="876"/>
      <c r="CM75" s="876"/>
      <c r="CN75" s="876"/>
      <c r="CO75" s="876"/>
      <c r="CP75" s="876"/>
      <c r="CQ75" s="876"/>
      <c r="CR75" s="876"/>
      <c r="CS75" s="876"/>
      <c r="CT75" s="876"/>
      <c r="CU75" s="876"/>
      <c r="CV75" s="876"/>
      <c r="CW75" s="876"/>
      <c r="CX75" s="876"/>
      <c r="CY75" s="876"/>
      <c r="CZ75" s="876"/>
      <c r="DA75" s="876"/>
      <c r="DB75" s="876"/>
      <c r="DC75" s="876"/>
      <c r="DD75" s="876"/>
      <c r="DE75" s="876"/>
      <c r="DF75" s="876"/>
      <c r="DG75" s="876"/>
      <c r="DH75" s="876"/>
      <c r="DI75" s="876"/>
      <c r="DJ75" s="876"/>
      <c r="DK75" s="876"/>
      <c r="DL75" s="876"/>
      <c r="DM75" s="876"/>
      <c r="DN75" s="876"/>
      <c r="DO75" s="876"/>
      <c r="DP75" s="876"/>
      <c r="DQ75" s="876"/>
      <c r="DR75" s="876"/>
      <c r="DS75" s="876"/>
      <c r="DT75" s="876"/>
      <c r="DU75" s="876"/>
      <c r="DV75" s="876"/>
      <c r="DW75" s="876"/>
      <c r="DX75" s="876"/>
      <c r="DY75" s="876"/>
      <c r="DZ75" s="876"/>
      <c r="EA75" s="876"/>
      <c r="EB75" s="876"/>
      <c r="EC75" s="876"/>
      <c r="ED75" s="876"/>
      <c r="EE75" s="876"/>
      <c r="EF75" s="876"/>
      <c r="EG75" s="876"/>
      <c r="EH75" s="876"/>
      <c r="EI75" s="876"/>
      <c r="EJ75" s="876"/>
      <c r="EK75" s="876"/>
      <c r="EL75" s="876"/>
      <c r="EM75" s="876"/>
      <c r="EN75" s="876"/>
      <c r="EO75" s="876"/>
      <c r="EP75" s="876"/>
      <c r="EQ75" s="876"/>
      <c r="ER75" s="876"/>
      <c r="ES75" s="876"/>
      <c r="ET75" s="876"/>
      <c r="EU75" s="876"/>
      <c r="EV75" s="876"/>
      <c r="EW75" s="876"/>
      <c r="EX75" s="876"/>
      <c r="EY75" s="876"/>
      <c r="EZ75" s="876"/>
      <c r="FA75" s="876"/>
      <c r="FB75" s="876"/>
      <c r="FC75" s="876"/>
      <c r="FD75" s="876"/>
      <c r="FE75" s="876"/>
      <c r="FF75" s="876"/>
      <c r="FG75" s="876"/>
      <c r="FH75" s="876"/>
      <c r="FI75" s="876"/>
      <c r="FJ75" s="876"/>
      <c r="FK75" s="876"/>
      <c r="FL75" s="876"/>
      <c r="FM75" s="876"/>
      <c r="FN75" s="876"/>
      <c r="FO75" s="876"/>
      <c r="FP75" s="876"/>
      <c r="FQ75" s="876"/>
      <c r="FR75" s="876"/>
      <c r="FS75" s="876"/>
      <c r="FT75" s="876"/>
      <c r="FU75" s="876"/>
      <c r="FV75" s="876"/>
      <c r="FW75" s="876"/>
      <c r="FX75" s="876"/>
      <c r="FY75" s="876"/>
      <c r="FZ75" s="876"/>
      <c r="GA75" s="876"/>
      <c r="GB75" s="876"/>
      <c r="GC75" s="876"/>
      <c r="GD75" s="876"/>
      <c r="GE75" s="876"/>
      <c r="GF75" s="876"/>
      <c r="GG75" s="876"/>
      <c r="GH75" s="876"/>
      <c r="GI75" s="876"/>
      <c r="GJ75" s="876"/>
      <c r="GK75" s="876"/>
      <c r="GL75" s="876"/>
      <c r="GM75" s="876"/>
      <c r="GN75" s="876"/>
      <c r="GO75" s="876"/>
      <c r="GP75" s="876"/>
      <c r="GQ75" s="876"/>
      <c r="GR75" s="876"/>
      <c r="GS75" s="876"/>
      <c r="GT75" s="876"/>
      <c r="GU75" s="876"/>
      <c r="GV75" s="876"/>
      <c r="GW75" s="876"/>
      <c r="GX75" s="876"/>
      <c r="GY75" s="876"/>
      <c r="GZ75" s="876"/>
      <c r="HA75" s="876"/>
      <c r="HB75" s="876"/>
      <c r="HC75" s="876"/>
      <c r="HD75" s="876"/>
      <c r="HE75" s="876"/>
      <c r="HF75" s="876"/>
      <c r="HG75" s="876"/>
      <c r="HH75" s="876"/>
      <c r="HI75" s="876"/>
      <c r="HJ75" s="876"/>
      <c r="HK75" s="876"/>
      <c r="HL75" s="876"/>
      <c r="HM75" s="876"/>
      <c r="HN75" s="876"/>
      <c r="HO75" s="876"/>
      <c r="HP75" s="876"/>
      <c r="HQ75" s="876"/>
      <c r="HR75" s="876"/>
      <c r="HS75" s="876"/>
      <c r="HT75" s="876"/>
      <c r="HU75" s="876"/>
      <c r="HV75" s="876"/>
      <c r="HW75" s="876"/>
      <c r="HX75" s="876"/>
      <c r="HY75" s="876"/>
      <c r="HZ75" s="876"/>
      <c r="IA75" s="876"/>
      <c r="IB75" s="876"/>
      <c r="IC75" s="876"/>
      <c r="ID75" s="876"/>
      <c r="IE75" s="876"/>
      <c r="IF75" s="876"/>
      <c r="IG75" s="876"/>
      <c r="IH75" s="876"/>
      <c r="II75" s="876"/>
      <c r="IJ75" s="876"/>
      <c r="IK75" s="876"/>
      <c r="IL75" s="876"/>
      <c r="IM75" s="876"/>
      <c r="IN75" s="876"/>
      <c r="IO75" s="876"/>
      <c r="IP75" s="876"/>
      <c r="IQ75" s="876"/>
      <c r="IR75" s="876"/>
      <c r="IS75" s="876"/>
      <c r="IT75" s="876"/>
      <c r="IU75" s="876"/>
      <c r="IV75" s="876"/>
    </row>
    <row r="76" spans="1:256" ht="17.399999999999999">
      <c r="A76" s="876"/>
      <c r="B76" s="876"/>
      <c r="C76" s="876"/>
      <c r="D76" s="876"/>
      <c r="E76" s="876"/>
      <c r="F76" s="876"/>
      <c r="G76" s="876"/>
      <c r="H76" s="876"/>
      <c r="I76" s="876"/>
      <c r="J76" s="876"/>
      <c r="K76" s="876"/>
      <c r="L76" s="876"/>
      <c r="M76" s="876"/>
      <c r="N76" s="876"/>
      <c r="O76" s="876"/>
      <c r="P76" s="876"/>
      <c r="Q76" s="876"/>
      <c r="R76" s="876"/>
      <c r="S76" s="876"/>
      <c r="T76" s="876"/>
      <c r="U76" s="876"/>
      <c r="V76" s="876"/>
      <c r="W76" s="876"/>
      <c r="X76" s="876"/>
      <c r="Y76" s="876"/>
      <c r="Z76" s="876"/>
      <c r="AA76" s="876"/>
      <c r="AB76" s="876"/>
      <c r="AC76" s="876"/>
      <c r="AD76" s="876"/>
      <c r="AE76" s="876"/>
      <c r="AF76" s="876"/>
      <c r="AG76" s="876"/>
      <c r="AH76" s="876"/>
      <c r="AI76" s="876"/>
      <c r="AJ76" s="876"/>
      <c r="AK76" s="876"/>
      <c r="AL76" s="876"/>
      <c r="AM76" s="876"/>
      <c r="AN76" s="876"/>
      <c r="AO76" s="876"/>
      <c r="AP76" s="876"/>
      <c r="AQ76" s="876"/>
      <c r="AR76" s="876"/>
      <c r="AS76" s="876"/>
      <c r="AT76" s="876"/>
      <c r="AU76" s="876"/>
      <c r="AV76" s="876"/>
      <c r="AW76" s="876"/>
      <c r="AX76" s="876"/>
      <c r="AY76" s="876"/>
      <c r="AZ76" s="876"/>
      <c r="BA76" s="876"/>
      <c r="BB76" s="876"/>
      <c r="BC76" s="876"/>
      <c r="BD76" s="876"/>
      <c r="BE76" s="876"/>
      <c r="BF76" s="876"/>
      <c r="BG76" s="876"/>
      <c r="BH76" s="876"/>
      <c r="BI76" s="876"/>
      <c r="BJ76" s="876"/>
      <c r="BK76" s="876"/>
      <c r="BL76" s="876"/>
      <c r="BM76" s="876"/>
      <c r="BN76" s="876"/>
      <c r="BO76" s="876"/>
      <c r="BP76" s="876"/>
      <c r="BQ76" s="876"/>
      <c r="BR76" s="876"/>
      <c r="BS76" s="876"/>
      <c r="BT76" s="876"/>
      <c r="BU76" s="876"/>
      <c r="BV76" s="876"/>
      <c r="BW76" s="876"/>
      <c r="BX76" s="876"/>
      <c r="BY76" s="876"/>
      <c r="BZ76" s="876"/>
      <c r="CA76" s="876"/>
      <c r="CB76" s="876"/>
      <c r="CC76" s="876"/>
      <c r="CD76" s="876"/>
      <c r="CE76" s="876"/>
      <c r="CF76" s="876"/>
      <c r="CG76" s="876"/>
      <c r="CH76" s="876"/>
      <c r="CI76" s="876"/>
      <c r="CJ76" s="876"/>
      <c r="CK76" s="876"/>
      <c r="CL76" s="876"/>
      <c r="CM76" s="876"/>
      <c r="CN76" s="876"/>
      <c r="CO76" s="876"/>
      <c r="CP76" s="876"/>
      <c r="CQ76" s="876"/>
      <c r="CR76" s="876"/>
      <c r="CS76" s="876"/>
      <c r="CT76" s="876"/>
      <c r="CU76" s="876"/>
      <c r="CV76" s="876"/>
      <c r="CW76" s="876"/>
      <c r="CX76" s="876"/>
      <c r="CY76" s="876"/>
      <c r="CZ76" s="876"/>
      <c r="DA76" s="876"/>
      <c r="DB76" s="876"/>
      <c r="DC76" s="876"/>
      <c r="DD76" s="876"/>
      <c r="DE76" s="876"/>
      <c r="DF76" s="876"/>
      <c r="DG76" s="876"/>
      <c r="DH76" s="876"/>
      <c r="DI76" s="876"/>
      <c r="DJ76" s="876"/>
      <c r="DK76" s="876"/>
      <c r="DL76" s="876"/>
      <c r="DM76" s="876"/>
      <c r="DN76" s="876"/>
      <c r="DO76" s="876"/>
      <c r="DP76" s="876"/>
      <c r="DQ76" s="876"/>
      <c r="DR76" s="876"/>
      <c r="DS76" s="876"/>
      <c r="DT76" s="876"/>
      <c r="DU76" s="876"/>
      <c r="DV76" s="876"/>
      <c r="DW76" s="876"/>
      <c r="DX76" s="876"/>
      <c r="DY76" s="876"/>
      <c r="DZ76" s="876"/>
      <c r="EA76" s="876"/>
      <c r="EB76" s="876"/>
      <c r="EC76" s="876"/>
      <c r="ED76" s="876"/>
      <c r="EE76" s="876"/>
      <c r="EF76" s="876"/>
      <c r="EG76" s="876"/>
      <c r="EH76" s="876"/>
      <c r="EI76" s="876"/>
      <c r="EJ76" s="876"/>
      <c r="EK76" s="876"/>
      <c r="EL76" s="876"/>
      <c r="EM76" s="876"/>
      <c r="EN76" s="876"/>
      <c r="EO76" s="876"/>
      <c r="EP76" s="876"/>
      <c r="EQ76" s="876"/>
      <c r="ER76" s="876"/>
      <c r="ES76" s="876"/>
      <c r="ET76" s="876"/>
      <c r="EU76" s="876"/>
      <c r="EV76" s="876"/>
      <c r="EW76" s="876"/>
      <c r="EX76" s="876"/>
      <c r="EY76" s="876"/>
      <c r="EZ76" s="876"/>
      <c r="FA76" s="876"/>
      <c r="FB76" s="876"/>
      <c r="FC76" s="876"/>
      <c r="FD76" s="876"/>
      <c r="FE76" s="876"/>
      <c r="FF76" s="876"/>
      <c r="FG76" s="876"/>
      <c r="FH76" s="876"/>
      <c r="FI76" s="876"/>
      <c r="FJ76" s="876"/>
      <c r="FK76" s="876"/>
      <c r="FL76" s="876"/>
      <c r="FM76" s="876"/>
      <c r="FN76" s="876"/>
      <c r="FO76" s="876"/>
      <c r="FP76" s="876"/>
      <c r="FQ76" s="876"/>
      <c r="FR76" s="876"/>
      <c r="FS76" s="876"/>
      <c r="FT76" s="876"/>
      <c r="FU76" s="876"/>
      <c r="FV76" s="876"/>
      <c r="FW76" s="876"/>
      <c r="FX76" s="876"/>
      <c r="FY76" s="876"/>
      <c r="FZ76" s="876"/>
      <c r="GA76" s="876"/>
      <c r="GB76" s="876"/>
      <c r="GC76" s="876"/>
      <c r="GD76" s="876"/>
      <c r="GE76" s="876"/>
      <c r="GF76" s="876"/>
      <c r="GG76" s="876"/>
      <c r="GH76" s="876"/>
      <c r="GI76" s="876"/>
      <c r="GJ76" s="876"/>
      <c r="GK76" s="876"/>
      <c r="GL76" s="876"/>
      <c r="GM76" s="876"/>
      <c r="GN76" s="876"/>
      <c r="GO76" s="876"/>
      <c r="GP76" s="876"/>
      <c r="GQ76" s="876"/>
      <c r="GR76" s="876"/>
      <c r="GS76" s="876"/>
      <c r="GT76" s="876"/>
      <c r="GU76" s="876"/>
      <c r="GV76" s="876"/>
      <c r="GW76" s="876"/>
      <c r="GX76" s="876"/>
      <c r="GY76" s="876"/>
      <c r="GZ76" s="876"/>
      <c r="HA76" s="876"/>
      <c r="HB76" s="876"/>
      <c r="HC76" s="876"/>
      <c r="HD76" s="876"/>
      <c r="HE76" s="876"/>
      <c r="HF76" s="876"/>
      <c r="HG76" s="876"/>
      <c r="HH76" s="876"/>
      <c r="HI76" s="876"/>
      <c r="HJ76" s="876"/>
      <c r="HK76" s="876"/>
      <c r="HL76" s="876"/>
      <c r="HM76" s="876"/>
      <c r="HN76" s="876"/>
      <c r="HO76" s="876"/>
      <c r="HP76" s="876"/>
      <c r="HQ76" s="876"/>
      <c r="HR76" s="876"/>
      <c r="HS76" s="876"/>
      <c r="HT76" s="876"/>
      <c r="HU76" s="876"/>
      <c r="HV76" s="876"/>
      <c r="HW76" s="876"/>
      <c r="HX76" s="876"/>
      <c r="HY76" s="876"/>
      <c r="HZ76" s="876"/>
      <c r="IA76" s="876"/>
      <c r="IB76" s="876"/>
      <c r="IC76" s="876"/>
      <c r="ID76" s="876"/>
      <c r="IE76" s="876"/>
      <c r="IF76" s="876"/>
      <c r="IG76" s="876"/>
      <c r="IH76" s="876"/>
      <c r="II76" s="876"/>
      <c r="IJ76" s="876"/>
      <c r="IK76" s="876"/>
      <c r="IL76" s="876"/>
      <c r="IM76" s="876"/>
      <c r="IN76" s="876"/>
      <c r="IO76" s="876"/>
      <c r="IP76" s="876"/>
      <c r="IQ76" s="876"/>
      <c r="IR76" s="876"/>
      <c r="IS76" s="876"/>
      <c r="IT76" s="876"/>
      <c r="IU76" s="876"/>
      <c r="IV76" s="876"/>
    </row>
    <row r="77" spans="1:256" ht="17.399999999999999">
      <c r="A77" s="876"/>
      <c r="B77" s="876"/>
      <c r="C77" s="876"/>
      <c r="D77" s="876"/>
      <c r="E77" s="876"/>
      <c r="F77" s="876"/>
      <c r="G77" s="876"/>
      <c r="H77" s="876"/>
      <c r="I77" s="876"/>
      <c r="J77" s="876"/>
      <c r="K77" s="876"/>
      <c r="L77" s="876"/>
      <c r="M77" s="876"/>
      <c r="N77" s="876"/>
      <c r="O77" s="876"/>
      <c r="P77" s="876"/>
      <c r="Q77" s="876"/>
      <c r="R77" s="876"/>
      <c r="S77" s="876"/>
      <c r="T77" s="876"/>
      <c r="U77" s="876"/>
      <c r="V77" s="876"/>
      <c r="W77" s="876"/>
      <c r="X77" s="876"/>
      <c r="Y77" s="876"/>
      <c r="Z77" s="876"/>
      <c r="AA77" s="876"/>
      <c r="AB77" s="876"/>
      <c r="AC77" s="876"/>
      <c r="AD77" s="876"/>
      <c r="AE77" s="876"/>
      <c r="AF77" s="876"/>
      <c r="AG77" s="876"/>
      <c r="AH77" s="876"/>
      <c r="AI77" s="876"/>
      <c r="AJ77" s="876"/>
      <c r="AK77" s="876"/>
      <c r="AL77" s="876"/>
      <c r="AM77" s="876"/>
      <c r="AN77" s="876"/>
      <c r="AO77" s="876"/>
      <c r="AP77" s="876"/>
      <c r="AQ77" s="876"/>
      <c r="AR77" s="876"/>
      <c r="AS77" s="876"/>
      <c r="AT77" s="876"/>
      <c r="AU77" s="876"/>
      <c r="AV77" s="876"/>
      <c r="AW77" s="876"/>
      <c r="AX77" s="876"/>
      <c r="AY77" s="876"/>
      <c r="AZ77" s="876"/>
      <c r="BA77" s="876"/>
      <c r="BB77" s="876"/>
      <c r="BC77" s="876"/>
      <c r="BD77" s="876"/>
      <c r="BE77" s="876"/>
      <c r="BF77" s="876"/>
      <c r="BG77" s="876"/>
      <c r="BH77" s="876"/>
      <c r="BI77" s="876"/>
      <c r="BJ77" s="876"/>
      <c r="BK77" s="876"/>
      <c r="BL77" s="876"/>
      <c r="BM77" s="876"/>
      <c r="BN77" s="876"/>
      <c r="BO77" s="876"/>
      <c r="BP77" s="876"/>
      <c r="BQ77" s="876"/>
      <c r="BR77" s="876"/>
      <c r="BS77" s="876"/>
      <c r="BT77" s="876"/>
      <c r="BU77" s="876"/>
      <c r="BV77" s="876"/>
      <c r="BW77" s="876"/>
      <c r="BX77" s="876"/>
      <c r="BY77" s="876"/>
      <c r="BZ77" s="876"/>
      <c r="CA77" s="876"/>
      <c r="CB77" s="876"/>
      <c r="CC77" s="876"/>
      <c r="CD77" s="876"/>
      <c r="CE77" s="876"/>
      <c r="CF77" s="876"/>
      <c r="CG77" s="876"/>
      <c r="CH77" s="876"/>
      <c r="CI77" s="876"/>
      <c r="CJ77" s="876"/>
      <c r="CK77" s="876"/>
      <c r="CL77" s="876"/>
      <c r="CM77" s="876"/>
      <c r="CN77" s="876"/>
      <c r="CO77" s="876"/>
      <c r="CP77" s="876"/>
      <c r="CQ77" s="876"/>
      <c r="CR77" s="876"/>
      <c r="CS77" s="876"/>
      <c r="CT77" s="876"/>
      <c r="CU77" s="876"/>
      <c r="CV77" s="876"/>
      <c r="CW77" s="876"/>
      <c r="CX77" s="876"/>
      <c r="CY77" s="876"/>
      <c r="CZ77" s="876"/>
      <c r="DA77" s="876"/>
      <c r="DB77" s="876"/>
      <c r="DC77" s="876"/>
      <c r="DD77" s="876"/>
      <c r="DE77" s="876"/>
      <c r="DF77" s="876"/>
      <c r="DG77" s="876"/>
      <c r="DH77" s="876"/>
      <c r="DI77" s="876"/>
      <c r="DJ77" s="876"/>
      <c r="DK77" s="876"/>
      <c r="DL77" s="876"/>
      <c r="DM77" s="876"/>
      <c r="DN77" s="876"/>
      <c r="DO77" s="876"/>
      <c r="DP77" s="876"/>
      <c r="DQ77" s="876"/>
      <c r="DR77" s="876"/>
      <c r="DS77" s="876"/>
      <c r="DT77" s="876"/>
      <c r="DU77" s="876"/>
      <c r="DV77" s="876"/>
      <c r="DW77" s="876"/>
      <c r="DX77" s="876"/>
      <c r="DY77" s="876"/>
      <c r="DZ77" s="876"/>
      <c r="EA77" s="876"/>
      <c r="EB77" s="876"/>
      <c r="EC77" s="876"/>
      <c r="ED77" s="876"/>
      <c r="EE77" s="876"/>
      <c r="EF77" s="876"/>
      <c r="EG77" s="876"/>
      <c r="EH77" s="876"/>
      <c r="EI77" s="876"/>
      <c r="EJ77" s="876"/>
      <c r="EK77" s="876"/>
      <c r="EL77" s="876"/>
      <c r="EM77" s="876"/>
      <c r="EN77" s="876"/>
      <c r="EO77" s="876"/>
      <c r="EP77" s="876"/>
      <c r="EQ77" s="876"/>
      <c r="ER77" s="876"/>
      <c r="ES77" s="876"/>
      <c r="ET77" s="876"/>
      <c r="EU77" s="876"/>
      <c r="EV77" s="876"/>
      <c r="EW77" s="876"/>
      <c r="EX77" s="876"/>
      <c r="EY77" s="876"/>
      <c r="EZ77" s="876"/>
      <c r="FA77" s="876"/>
      <c r="FB77" s="876"/>
      <c r="FC77" s="876"/>
      <c r="FD77" s="876"/>
      <c r="FE77" s="876"/>
      <c r="FF77" s="876"/>
      <c r="FG77" s="876"/>
      <c r="FH77" s="876"/>
      <c r="FI77" s="876"/>
      <c r="FJ77" s="876"/>
      <c r="FK77" s="876"/>
      <c r="FL77" s="876"/>
      <c r="FM77" s="876"/>
      <c r="FN77" s="876"/>
      <c r="FO77" s="876"/>
      <c r="FP77" s="876"/>
      <c r="FQ77" s="876"/>
      <c r="FR77" s="876"/>
      <c r="FS77" s="876"/>
      <c r="FT77" s="876"/>
      <c r="FU77" s="876"/>
      <c r="FV77" s="876"/>
      <c r="FW77" s="876"/>
      <c r="FX77" s="876"/>
      <c r="FY77" s="876"/>
      <c r="FZ77" s="876"/>
      <c r="GA77" s="876"/>
      <c r="GB77" s="876"/>
      <c r="GC77" s="876"/>
      <c r="GD77" s="876"/>
      <c r="GE77" s="876"/>
      <c r="GF77" s="876"/>
      <c r="GG77" s="876"/>
      <c r="GH77" s="876"/>
      <c r="GI77" s="876"/>
      <c r="GJ77" s="876"/>
      <c r="GK77" s="876"/>
      <c r="GL77" s="876"/>
      <c r="GM77" s="876"/>
      <c r="GN77" s="876"/>
      <c r="GO77" s="876"/>
      <c r="GP77" s="876"/>
      <c r="GQ77" s="876"/>
      <c r="GR77" s="876"/>
      <c r="GS77" s="876"/>
      <c r="GT77" s="876"/>
      <c r="GU77" s="876"/>
      <c r="GV77" s="876"/>
      <c r="GW77" s="876"/>
      <c r="GX77" s="876"/>
      <c r="GY77" s="876"/>
      <c r="GZ77" s="876"/>
      <c r="HA77" s="876"/>
      <c r="HB77" s="876"/>
      <c r="HC77" s="876"/>
      <c r="HD77" s="876"/>
      <c r="HE77" s="876"/>
      <c r="HF77" s="876"/>
      <c r="HG77" s="876"/>
      <c r="HH77" s="876"/>
      <c r="HI77" s="876"/>
      <c r="HJ77" s="876"/>
      <c r="HK77" s="876"/>
      <c r="HL77" s="876"/>
      <c r="HM77" s="876"/>
      <c r="HN77" s="876"/>
      <c r="HO77" s="876"/>
      <c r="HP77" s="876"/>
      <c r="HQ77" s="876"/>
      <c r="HR77" s="876"/>
      <c r="HS77" s="876"/>
      <c r="HT77" s="876"/>
      <c r="HU77" s="876"/>
      <c r="HV77" s="876"/>
      <c r="HW77" s="876"/>
      <c r="HX77" s="876"/>
      <c r="HY77" s="876"/>
      <c r="HZ77" s="876"/>
      <c r="IA77" s="876"/>
      <c r="IB77" s="876"/>
      <c r="IC77" s="876"/>
      <c r="ID77" s="876"/>
      <c r="IE77" s="876"/>
      <c r="IF77" s="876"/>
      <c r="IG77" s="876"/>
      <c r="IH77" s="876"/>
      <c r="II77" s="876"/>
      <c r="IJ77" s="876"/>
      <c r="IK77" s="876"/>
      <c r="IL77" s="876"/>
      <c r="IM77" s="876"/>
      <c r="IN77" s="876"/>
      <c r="IO77" s="876"/>
      <c r="IP77" s="876"/>
      <c r="IQ77" s="876"/>
      <c r="IR77" s="876"/>
      <c r="IS77" s="876"/>
      <c r="IT77" s="876"/>
      <c r="IU77" s="876"/>
      <c r="IV77" s="876"/>
    </row>
    <row r="78" spans="1:256" ht="17.399999999999999">
      <c r="A78" s="876"/>
      <c r="B78" s="876"/>
      <c r="C78" s="876"/>
      <c r="D78" s="876"/>
      <c r="E78" s="876"/>
      <c r="F78" s="876"/>
      <c r="G78" s="876"/>
      <c r="H78" s="876"/>
      <c r="I78" s="876"/>
      <c r="J78" s="876"/>
      <c r="K78" s="876"/>
      <c r="L78" s="876"/>
      <c r="M78" s="876"/>
      <c r="N78" s="876"/>
      <c r="O78" s="876"/>
      <c r="P78" s="876"/>
      <c r="Q78" s="876"/>
      <c r="R78" s="876"/>
      <c r="S78" s="876"/>
      <c r="T78" s="876"/>
      <c r="U78" s="876"/>
      <c r="V78" s="876"/>
      <c r="W78" s="876"/>
      <c r="X78" s="87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6"/>
      <c r="AY78" s="876"/>
      <c r="AZ78" s="876"/>
      <c r="BA78" s="876"/>
      <c r="BB78" s="876"/>
      <c r="BC78" s="876"/>
      <c r="BD78" s="876"/>
      <c r="BE78" s="876"/>
      <c r="BF78" s="876"/>
      <c r="BG78" s="876"/>
      <c r="BH78" s="876"/>
      <c r="BI78" s="876"/>
      <c r="BJ78" s="876"/>
      <c r="BK78" s="876"/>
      <c r="BL78" s="876"/>
      <c r="BM78" s="876"/>
      <c r="BN78" s="876"/>
      <c r="BO78" s="876"/>
      <c r="BP78" s="876"/>
      <c r="BQ78" s="876"/>
      <c r="BR78" s="876"/>
      <c r="BS78" s="876"/>
      <c r="BT78" s="876"/>
      <c r="BU78" s="876"/>
      <c r="BV78" s="876"/>
      <c r="BW78" s="876"/>
      <c r="BX78" s="876"/>
      <c r="BY78" s="876"/>
      <c r="BZ78" s="876"/>
      <c r="CA78" s="876"/>
      <c r="CB78" s="876"/>
      <c r="CC78" s="876"/>
      <c r="CD78" s="876"/>
      <c r="CE78" s="876"/>
      <c r="CF78" s="876"/>
      <c r="CG78" s="876"/>
      <c r="CH78" s="876"/>
      <c r="CI78" s="876"/>
      <c r="CJ78" s="876"/>
      <c r="CK78" s="876"/>
      <c r="CL78" s="876"/>
      <c r="CM78" s="876"/>
      <c r="CN78" s="876"/>
      <c r="CO78" s="876"/>
      <c r="CP78" s="876"/>
      <c r="CQ78" s="876"/>
      <c r="CR78" s="876"/>
      <c r="CS78" s="876"/>
      <c r="CT78" s="876"/>
      <c r="CU78" s="876"/>
      <c r="CV78" s="876"/>
      <c r="CW78" s="876"/>
      <c r="CX78" s="876"/>
      <c r="CY78" s="876"/>
      <c r="CZ78" s="876"/>
      <c r="DA78" s="876"/>
      <c r="DB78" s="876"/>
      <c r="DC78" s="876"/>
      <c r="DD78" s="876"/>
      <c r="DE78" s="876"/>
      <c r="DF78" s="876"/>
      <c r="DG78" s="876"/>
      <c r="DH78" s="876"/>
      <c r="DI78" s="876"/>
      <c r="DJ78" s="876"/>
      <c r="DK78" s="876"/>
      <c r="DL78" s="876"/>
      <c r="DM78" s="876"/>
      <c r="DN78" s="876"/>
      <c r="DO78" s="876"/>
      <c r="DP78" s="876"/>
      <c r="DQ78" s="876"/>
      <c r="DR78" s="876"/>
      <c r="DS78" s="876"/>
      <c r="DT78" s="876"/>
      <c r="DU78" s="876"/>
      <c r="DV78" s="876"/>
      <c r="DW78" s="876"/>
      <c r="DX78" s="876"/>
      <c r="DY78" s="876"/>
      <c r="DZ78" s="876"/>
      <c r="EA78" s="876"/>
      <c r="EB78" s="876"/>
      <c r="EC78" s="876"/>
      <c r="ED78" s="876"/>
      <c r="EE78" s="876"/>
      <c r="EF78" s="876"/>
      <c r="EG78" s="876"/>
      <c r="EH78" s="876"/>
      <c r="EI78" s="876"/>
      <c r="EJ78" s="876"/>
      <c r="EK78" s="876"/>
      <c r="EL78" s="876"/>
      <c r="EM78" s="876"/>
      <c r="EN78" s="876"/>
      <c r="EO78" s="876"/>
      <c r="EP78" s="876"/>
      <c r="EQ78" s="876"/>
      <c r="ER78" s="876"/>
      <c r="ES78" s="876"/>
      <c r="ET78" s="876"/>
      <c r="EU78" s="876"/>
      <c r="EV78" s="876"/>
      <c r="EW78" s="876"/>
      <c r="EX78" s="876"/>
      <c r="EY78" s="876"/>
      <c r="EZ78" s="876"/>
      <c r="FA78" s="876"/>
      <c r="FB78" s="876"/>
      <c r="FC78" s="876"/>
      <c r="FD78" s="876"/>
      <c r="FE78" s="876"/>
      <c r="FF78" s="876"/>
      <c r="FG78" s="876"/>
      <c r="FH78" s="876"/>
      <c r="FI78" s="876"/>
      <c r="FJ78" s="876"/>
      <c r="FK78" s="876"/>
      <c r="FL78" s="876"/>
      <c r="FM78" s="876"/>
      <c r="FN78" s="876"/>
      <c r="FO78" s="876"/>
      <c r="FP78" s="876"/>
      <c r="FQ78" s="876"/>
      <c r="FR78" s="876"/>
      <c r="FS78" s="876"/>
      <c r="FT78" s="876"/>
      <c r="FU78" s="876"/>
      <c r="FV78" s="876"/>
      <c r="FW78" s="876"/>
      <c r="FX78" s="876"/>
      <c r="FY78" s="876"/>
      <c r="FZ78" s="876"/>
      <c r="GA78" s="876"/>
      <c r="GB78" s="876"/>
      <c r="GC78" s="876"/>
      <c r="GD78" s="876"/>
      <c r="GE78" s="876"/>
      <c r="GF78" s="876"/>
      <c r="GG78" s="876"/>
      <c r="GH78" s="876"/>
      <c r="GI78" s="876"/>
      <c r="GJ78" s="876"/>
      <c r="GK78" s="876"/>
      <c r="GL78" s="876"/>
      <c r="GM78" s="876"/>
      <c r="GN78" s="876"/>
      <c r="GO78" s="876"/>
      <c r="GP78" s="876"/>
      <c r="GQ78" s="876"/>
      <c r="GR78" s="876"/>
      <c r="GS78" s="876"/>
      <c r="GT78" s="876"/>
      <c r="GU78" s="876"/>
      <c r="GV78" s="876"/>
      <c r="GW78" s="876"/>
      <c r="GX78" s="876"/>
      <c r="GY78" s="876"/>
      <c r="GZ78" s="876"/>
      <c r="HA78" s="876"/>
      <c r="HB78" s="876"/>
      <c r="HC78" s="876"/>
      <c r="HD78" s="876"/>
      <c r="HE78" s="876"/>
      <c r="HF78" s="876"/>
      <c r="HG78" s="876"/>
      <c r="HH78" s="876"/>
      <c r="HI78" s="876"/>
      <c r="HJ78" s="876"/>
      <c r="HK78" s="876"/>
      <c r="HL78" s="876"/>
      <c r="HM78" s="876"/>
      <c r="HN78" s="876"/>
      <c r="HO78" s="876"/>
      <c r="HP78" s="876"/>
      <c r="HQ78" s="876"/>
      <c r="HR78" s="876"/>
      <c r="HS78" s="876"/>
      <c r="HT78" s="876"/>
      <c r="HU78" s="876"/>
      <c r="HV78" s="876"/>
      <c r="HW78" s="876"/>
      <c r="HX78" s="876"/>
      <c r="HY78" s="876"/>
      <c r="HZ78" s="876"/>
      <c r="IA78" s="876"/>
      <c r="IB78" s="876"/>
      <c r="IC78" s="876"/>
      <c r="ID78" s="876"/>
      <c r="IE78" s="876"/>
      <c r="IF78" s="876"/>
      <c r="IG78" s="876"/>
      <c r="IH78" s="876"/>
      <c r="II78" s="876"/>
      <c r="IJ78" s="876"/>
      <c r="IK78" s="876"/>
      <c r="IL78" s="876"/>
      <c r="IM78" s="876"/>
      <c r="IN78" s="876"/>
      <c r="IO78" s="876"/>
      <c r="IP78" s="876"/>
      <c r="IQ78" s="876"/>
      <c r="IR78" s="876"/>
      <c r="IS78" s="876"/>
      <c r="IT78" s="876"/>
      <c r="IU78" s="876"/>
      <c r="IV78" s="876"/>
    </row>
    <row r="79" spans="1:256" ht="17.399999999999999">
      <c r="A79" s="1382"/>
      <c r="B79" s="876"/>
      <c r="C79" s="876"/>
      <c r="D79" s="876"/>
      <c r="E79" s="876"/>
      <c r="F79" s="876"/>
      <c r="G79" s="876"/>
      <c r="H79" s="876"/>
      <c r="I79" s="876"/>
      <c r="J79" s="876"/>
      <c r="K79" s="876"/>
      <c r="L79" s="876"/>
      <c r="M79" s="876"/>
      <c r="N79" s="876"/>
      <c r="O79" s="876"/>
      <c r="P79" s="876"/>
      <c r="Q79" s="876"/>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876"/>
      <c r="BA79" s="876"/>
      <c r="BB79" s="876"/>
      <c r="BC79" s="876"/>
      <c r="BD79" s="876"/>
      <c r="BE79" s="876"/>
      <c r="BF79" s="876"/>
      <c r="BG79" s="876"/>
      <c r="BH79" s="876"/>
      <c r="BI79" s="876"/>
      <c r="BJ79" s="876"/>
      <c r="BK79" s="876"/>
      <c r="BL79" s="876"/>
      <c r="BM79" s="876"/>
      <c r="BN79" s="876"/>
      <c r="BO79" s="876"/>
      <c r="BP79" s="876"/>
      <c r="BQ79" s="876"/>
      <c r="BR79" s="876"/>
      <c r="BS79" s="876"/>
      <c r="BT79" s="876"/>
      <c r="BU79" s="876"/>
      <c r="BV79" s="876"/>
      <c r="BW79" s="876"/>
      <c r="BX79" s="876"/>
      <c r="BY79" s="876"/>
      <c r="BZ79" s="876"/>
      <c r="CA79" s="876"/>
      <c r="CB79" s="876"/>
      <c r="CC79" s="876"/>
      <c r="CD79" s="876"/>
      <c r="CE79" s="876"/>
      <c r="CF79" s="876"/>
      <c r="CG79" s="876"/>
      <c r="CH79" s="876"/>
      <c r="CI79" s="876"/>
      <c r="CJ79" s="876"/>
      <c r="CK79" s="876"/>
      <c r="CL79" s="876"/>
      <c r="CM79" s="876"/>
      <c r="CN79" s="876"/>
      <c r="CO79" s="876"/>
      <c r="CP79" s="876"/>
      <c r="CQ79" s="876"/>
      <c r="CR79" s="876"/>
      <c r="CS79" s="876"/>
      <c r="CT79" s="876"/>
      <c r="CU79" s="876"/>
      <c r="CV79" s="876"/>
      <c r="CW79" s="876"/>
      <c r="CX79" s="876"/>
      <c r="CY79" s="876"/>
      <c r="CZ79" s="876"/>
      <c r="DA79" s="876"/>
      <c r="DB79" s="876"/>
      <c r="DC79" s="876"/>
      <c r="DD79" s="876"/>
      <c r="DE79" s="876"/>
      <c r="DF79" s="876"/>
      <c r="DG79" s="876"/>
      <c r="DH79" s="876"/>
      <c r="DI79" s="876"/>
      <c r="DJ79" s="876"/>
      <c r="DK79" s="876"/>
      <c r="DL79" s="876"/>
      <c r="DM79" s="876"/>
      <c r="DN79" s="876"/>
      <c r="DO79" s="876"/>
      <c r="DP79" s="876"/>
      <c r="DQ79" s="876"/>
      <c r="DR79" s="876"/>
      <c r="DS79" s="876"/>
      <c r="DT79" s="876"/>
      <c r="DU79" s="876"/>
      <c r="DV79" s="876"/>
      <c r="DW79" s="876"/>
      <c r="DX79" s="876"/>
      <c r="DY79" s="876"/>
      <c r="DZ79" s="876"/>
      <c r="EA79" s="876"/>
      <c r="EB79" s="876"/>
      <c r="EC79" s="876"/>
      <c r="ED79" s="876"/>
      <c r="EE79" s="876"/>
      <c r="EF79" s="876"/>
      <c r="EG79" s="876"/>
      <c r="EH79" s="876"/>
      <c r="EI79" s="876"/>
      <c r="EJ79" s="876"/>
      <c r="EK79" s="876"/>
      <c r="EL79" s="876"/>
      <c r="EM79" s="876"/>
      <c r="EN79" s="876"/>
      <c r="EO79" s="876"/>
      <c r="EP79" s="876"/>
      <c r="EQ79" s="876"/>
      <c r="ER79" s="876"/>
      <c r="ES79" s="876"/>
      <c r="ET79" s="876"/>
      <c r="EU79" s="876"/>
      <c r="EV79" s="876"/>
      <c r="EW79" s="876"/>
      <c r="EX79" s="876"/>
      <c r="EY79" s="876"/>
      <c r="EZ79" s="876"/>
      <c r="FA79" s="876"/>
      <c r="FB79" s="876"/>
      <c r="FC79" s="876"/>
      <c r="FD79" s="876"/>
      <c r="FE79" s="876"/>
      <c r="FF79" s="876"/>
      <c r="FG79" s="876"/>
      <c r="FH79" s="876"/>
      <c r="FI79" s="876"/>
      <c r="FJ79" s="876"/>
      <c r="FK79" s="876"/>
      <c r="FL79" s="876"/>
      <c r="FM79" s="876"/>
      <c r="FN79" s="876"/>
      <c r="FO79" s="876"/>
      <c r="FP79" s="876"/>
      <c r="FQ79" s="876"/>
      <c r="FR79" s="876"/>
      <c r="FS79" s="876"/>
      <c r="FT79" s="876"/>
      <c r="FU79" s="876"/>
      <c r="FV79" s="876"/>
      <c r="FW79" s="876"/>
      <c r="FX79" s="876"/>
      <c r="FY79" s="876"/>
      <c r="FZ79" s="876"/>
      <c r="GA79" s="876"/>
      <c r="GB79" s="876"/>
      <c r="GC79" s="876"/>
      <c r="GD79" s="876"/>
      <c r="GE79" s="876"/>
      <c r="GF79" s="876"/>
      <c r="GG79" s="876"/>
      <c r="GH79" s="876"/>
      <c r="GI79" s="876"/>
      <c r="GJ79" s="876"/>
      <c r="GK79" s="876"/>
      <c r="GL79" s="876"/>
      <c r="GM79" s="876"/>
      <c r="GN79" s="876"/>
      <c r="GO79" s="876"/>
      <c r="GP79" s="876"/>
      <c r="GQ79" s="876"/>
      <c r="GR79" s="876"/>
      <c r="GS79" s="876"/>
      <c r="GT79" s="876"/>
      <c r="GU79" s="876"/>
      <c r="GV79" s="876"/>
      <c r="GW79" s="876"/>
      <c r="GX79" s="876"/>
      <c r="GY79" s="876"/>
      <c r="GZ79" s="876"/>
      <c r="HA79" s="876"/>
      <c r="HB79" s="876"/>
      <c r="HC79" s="876"/>
      <c r="HD79" s="876"/>
      <c r="HE79" s="876"/>
      <c r="HF79" s="876"/>
      <c r="HG79" s="876"/>
      <c r="HH79" s="876"/>
      <c r="HI79" s="876"/>
      <c r="HJ79" s="876"/>
      <c r="HK79" s="876"/>
      <c r="HL79" s="876"/>
      <c r="HM79" s="876"/>
      <c r="HN79" s="876"/>
      <c r="HO79" s="876"/>
      <c r="HP79" s="876"/>
      <c r="HQ79" s="876"/>
      <c r="HR79" s="876"/>
      <c r="HS79" s="876"/>
      <c r="HT79" s="876"/>
      <c r="HU79" s="876"/>
      <c r="HV79" s="876"/>
      <c r="HW79" s="876"/>
      <c r="HX79" s="876"/>
      <c r="HY79" s="876"/>
      <c r="HZ79" s="876"/>
      <c r="IA79" s="876"/>
      <c r="IB79" s="876"/>
      <c r="IC79" s="876"/>
      <c r="ID79" s="876"/>
      <c r="IE79" s="876"/>
      <c r="IF79" s="876"/>
      <c r="IG79" s="876"/>
      <c r="IH79" s="876"/>
      <c r="II79" s="876"/>
      <c r="IJ79" s="876"/>
      <c r="IK79" s="876"/>
      <c r="IL79" s="876"/>
      <c r="IM79" s="876"/>
      <c r="IN79" s="876"/>
      <c r="IO79" s="876"/>
      <c r="IP79" s="876"/>
      <c r="IQ79" s="876"/>
      <c r="IR79" s="876"/>
      <c r="IS79" s="876"/>
      <c r="IT79" s="876"/>
      <c r="IU79" s="876"/>
      <c r="IV79" s="876"/>
    </row>
    <row r="80" spans="1:256" s="876" customFormat="1" ht="17.399999999999999"/>
    <row r="81" spans="1:256" ht="17.399999999999999">
      <c r="A81" s="876"/>
      <c r="B81" s="876"/>
      <c r="C81" s="876"/>
      <c r="D81" s="876"/>
      <c r="E81" s="876"/>
      <c r="F81" s="876"/>
      <c r="G81" s="876"/>
      <c r="H81" s="876"/>
      <c r="I81" s="876"/>
      <c r="J81" s="876"/>
      <c r="K81" s="876"/>
      <c r="L81" s="876"/>
      <c r="M81" s="876"/>
      <c r="N81" s="876"/>
      <c r="O81" s="876"/>
      <c r="P81" s="876"/>
      <c r="Q81" s="876"/>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876"/>
      <c r="AP81" s="876"/>
      <c r="AQ81" s="876"/>
      <c r="AR81" s="876"/>
      <c r="AS81" s="876"/>
      <c r="AT81" s="876"/>
      <c r="AU81" s="876"/>
      <c r="AV81" s="876"/>
      <c r="AW81" s="876"/>
      <c r="AX81" s="876"/>
      <c r="AY81" s="876"/>
      <c r="AZ81" s="876"/>
      <c r="BA81" s="876"/>
      <c r="BB81" s="876"/>
      <c r="BC81" s="876"/>
      <c r="BD81" s="876"/>
      <c r="BE81" s="876"/>
      <c r="BF81" s="876"/>
      <c r="BG81" s="876"/>
      <c r="BH81" s="876"/>
      <c r="BI81" s="876"/>
      <c r="BJ81" s="876"/>
      <c r="BK81" s="876"/>
      <c r="BL81" s="876"/>
      <c r="BM81" s="876"/>
      <c r="BN81" s="876"/>
      <c r="BO81" s="876"/>
      <c r="BP81" s="876"/>
      <c r="BQ81" s="876"/>
      <c r="BR81" s="876"/>
      <c r="BS81" s="876"/>
      <c r="BT81" s="876"/>
      <c r="BU81" s="876"/>
      <c r="BV81" s="876"/>
      <c r="BW81" s="876"/>
      <c r="BX81" s="876"/>
      <c r="BY81" s="876"/>
      <c r="BZ81" s="876"/>
      <c r="CA81" s="876"/>
      <c r="CB81" s="876"/>
      <c r="CC81" s="876"/>
      <c r="CD81" s="876"/>
      <c r="CE81" s="876"/>
      <c r="CF81" s="876"/>
      <c r="CG81" s="876"/>
      <c r="CH81" s="876"/>
      <c r="CI81" s="876"/>
      <c r="CJ81" s="876"/>
      <c r="CK81" s="876"/>
      <c r="CL81" s="876"/>
      <c r="CM81" s="876"/>
      <c r="CN81" s="876"/>
      <c r="CO81" s="876"/>
      <c r="CP81" s="876"/>
      <c r="CQ81" s="876"/>
      <c r="CR81" s="876"/>
      <c r="CS81" s="876"/>
      <c r="CT81" s="876"/>
      <c r="CU81" s="876"/>
      <c r="CV81" s="876"/>
      <c r="CW81" s="876"/>
      <c r="CX81" s="876"/>
      <c r="CY81" s="876"/>
      <c r="CZ81" s="876"/>
      <c r="DA81" s="876"/>
      <c r="DB81" s="876"/>
      <c r="DC81" s="876"/>
      <c r="DD81" s="876"/>
      <c r="DE81" s="876"/>
      <c r="DF81" s="876"/>
      <c r="DG81" s="876"/>
      <c r="DH81" s="876"/>
      <c r="DI81" s="876"/>
      <c r="DJ81" s="876"/>
      <c r="DK81" s="876"/>
      <c r="DL81" s="876"/>
      <c r="DM81" s="876"/>
      <c r="DN81" s="876"/>
      <c r="DO81" s="876"/>
      <c r="DP81" s="876"/>
      <c r="DQ81" s="876"/>
      <c r="DR81" s="876"/>
      <c r="DS81" s="876"/>
      <c r="DT81" s="876"/>
      <c r="DU81" s="876"/>
      <c r="DV81" s="876"/>
      <c r="DW81" s="876"/>
      <c r="DX81" s="876"/>
      <c r="DY81" s="876"/>
      <c r="DZ81" s="876"/>
      <c r="EA81" s="876"/>
      <c r="EB81" s="876"/>
      <c r="EC81" s="876"/>
      <c r="ED81" s="876"/>
      <c r="EE81" s="876"/>
      <c r="EF81" s="876"/>
      <c r="EG81" s="876"/>
      <c r="EH81" s="876"/>
      <c r="EI81" s="876"/>
      <c r="EJ81" s="876"/>
      <c r="EK81" s="876"/>
      <c r="EL81" s="876"/>
      <c r="EM81" s="876"/>
      <c r="EN81" s="876"/>
      <c r="EO81" s="876"/>
      <c r="EP81" s="876"/>
      <c r="EQ81" s="876"/>
      <c r="ER81" s="876"/>
      <c r="ES81" s="876"/>
      <c r="ET81" s="876"/>
      <c r="EU81" s="876"/>
      <c r="EV81" s="876"/>
      <c r="EW81" s="876"/>
      <c r="EX81" s="876"/>
      <c r="EY81" s="876"/>
      <c r="EZ81" s="876"/>
      <c r="FA81" s="876"/>
      <c r="FB81" s="876"/>
      <c r="FC81" s="876"/>
      <c r="FD81" s="876"/>
      <c r="FE81" s="876"/>
      <c r="FF81" s="876"/>
      <c r="FG81" s="876"/>
      <c r="FH81" s="876"/>
      <c r="FI81" s="876"/>
      <c r="FJ81" s="876"/>
      <c r="FK81" s="876"/>
      <c r="FL81" s="876"/>
      <c r="FM81" s="876"/>
      <c r="FN81" s="876"/>
      <c r="FO81" s="876"/>
      <c r="FP81" s="876"/>
      <c r="FQ81" s="876"/>
      <c r="FR81" s="876"/>
      <c r="FS81" s="876"/>
      <c r="FT81" s="876"/>
      <c r="FU81" s="876"/>
      <c r="FV81" s="876"/>
      <c r="FW81" s="876"/>
      <c r="FX81" s="876"/>
      <c r="FY81" s="876"/>
      <c r="FZ81" s="876"/>
      <c r="GA81" s="876"/>
      <c r="GB81" s="876"/>
      <c r="GC81" s="876"/>
      <c r="GD81" s="876"/>
      <c r="GE81" s="876"/>
      <c r="GF81" s="876"/>
      <c r="GG81" s="876"/>
      <c r="GH81" s="876"/>
      <c r="GI81" s="876"/>
      <c r="GJ81" s="876"/>
      <c r="GK81" s="876"/>
      <c r="GL81" s="876"/>
      <c r="GM81" s="876"/>
      <c r="GN81" s="876"/>
      <c r="GO81" s="876"/>
      <c r="GP81" s="876"/>
      <c r="GQ81" s="876"/>
      <c r="GR81" s="876"/>
      <c r="GS81" s="876"/>
      <c r="GT81" s="876"/>
      <c r="GU81" s="876"/>
      <c r="GV81" s="876"/>
      <c r="GW81" s="876"/>
      <c r="GX81" s="876"/>
      <c r="GY81" s="876"/>
      <c r="GZ81" s="876"/>
      <c r="HA81" s="876"/>
      <c r="HB81" s="876"/>
      <c r="HC81" s="876"/>
      <c r="HD81" s="876"/>
      <c r="HE81" s="876"/>
      <c r="HF81" s="876"/>
      <c r="HG81" s="876"/>
      <c r="HH81" s="876"/>
      <c r="HI81" s="876"/>
      <c r="HJ81" s="876"/>
      <c r="HK81" s="876"/>
      <c r="HL81" s="876"/>
      <c r="HM81" s="876"/>
      <c r="HN81" s="876"/>
      <c r="HO81" s="876"/>
      <c r="HP81" s="876"/>
      <c r="HQ81" s="876"/>
      <c r="HR81" s="876"/>
      <c r="HS81" s="876"/>
      <c r="HT81" s="876"/>
      <c r="HU81" s="876"/>
      <c r="HV81" s="876"/>
      <c r="HW81" s="876"/>
      <c r="HX81" s="876"/>
      <c r="HY81" s="876"/>
      <c r="HZ81" s="876"/>
      <c r="IA81" s="876"/>
      <c r="IB81" s="876"/>
      <c r="IC81" s="876"/>
      <c r="ID81" s="876"/>
      <c r="IE81" s="876"/>
      <c r="IF81" s="876"/>
      <c r="IG81" s="876"/>
      <c r="IH81" s="876"/>
      <c r="II81" s="876"/>
      <c r="IJ81" s="876"/>
      <c r="IK81" s="876"/>
      <c r="IL81" s="876"/>
      <c r="IM81" s="876"/>
      <c r="IN81" s="876"/>
      <c r="IO81" s="876"/>
      <c r="IP81" s="876"/>
      <c r="IQ81" s="876"/>
      <c r="IR81" s="876"/>
      <c r="IS81" s="876"/>
      <c r="IT81" s="876"/>
      <c r="IU81" s="876"/>
      <c r="IV81" s="876"/>
    </row>
    <row r="82" spans="1:256" s="876" customFormat="1" ht="17.399999999999999"/>
    <row r="83" spans="1:256" s="876" customFormat="1" ht="17.399999999999999"/>
    <row r="84" spans="1:256" s="876" customFormat="1" ht="17.399999999999999"/>
    <row r="85" spans="1:256" ht="17.399999999999999">
      <c r="A85" s="876"/>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6"/>
      <c r="AX85" s="876"/>
      <c r="AY85" s="876"/>
      <c r="AZ85" s="876"/>
      <c r="BA85" s="876"/>
      <c r="BB85" s="876"/>
      <c r="BC85" s="876"/>
      <c r="BD85" s="876"/>
      <c r="BE85" s="876"/>
      <c r="BF85" s="876"/>
      <c r="BG85" s="876"/>
      <c r="BH85" s="876"/>
      <c r="BI85" s="876"/>
      <c r="BJ85" s="876"/>
      <c r="BK85" s="876"/>
      <c r="BL85" s="876"/>
      <c r="BM85" s="876"/>
      <c r="BN85" s="876"/>
      <c r="BO85" s="876"/>
      <c r="BP85" s="876"/>
      <c r="BQ85" s="876"/>
      <c r="BR85" s="876"/>
      <c r="BS85" s="876"/>
      <c r="BT85" s="876"/>
      <c r="BU85" s="876"/>
      <c r="BV85" s="876"/>
      <c r="BW85" s="876"/>
      <c r="BX85" s="876"/>
      <c r="BY85" s="876"/>
      <c r="BZ85" s="876"/>
      <c r="CA85" s="876"/>
      <c r="CB85" s="876"/>
      <c r="CC85" s="876"/>
      <c r="CD85" s="876"/>
      <c r="CE85" s="876"/>
      <c r="CF85" s="876"/>
      <c r="CG85" s="876"/>
      <c r="CH85" s="876"/>
      <c r="CI85" s="876"/>
      <c r="CJ85" s="876"/>
      <c r="CK85" s="876"/>
      <c r="CL85" s="876"/>
      <c r="CM85" s="876"/>
      <c r="CN85" s="876"/>
      <c r="CO85" s="876"/>
      <c r="CP85" s="876"/>
      <c r="CQ85" s="876"/>
      <c r="CR85" s="876"/>
      <c r="CS85" s="876"/>
      <c r="CT85" s="876"/>
      <c r="CU85" s="876"/>
      <c r="CV85" s="876"/>
      <c r="CW85" s="876"/>
      <c r="CX85" s="876"/>
      <c r="CY85" s="876"/>
      <c r="CZ85" s="876"/>
      <c r="DA85" s="876"/>
      <c r="DB85" s="876"/>
      <c r="DC85" s="876"/>
      <c r="DD85" s="876"/>
      <c r="DE85" s="876"/>
      <c r="DF85" s="876"/>
      <c r="DG85" s="876"/>
      <c r="DH85" s="876"/>
      <c r="DI85" s="876"/>
      <c r="DJ85" s="876"/>
      <c r="DK85" s="876"/>
      <c r="DL85" s="876"/>
      <c r="DM85" s="876"/>
      <c r="DN85" s="876"/>
      <c r="DO85" s="876"/>
      <c r="DP85" s="876"/>
      <c r="DQ85" s="876"/>
      <c r="DR85" s="876"/>
      <c r="DS85" s="876"/>
      <c r="DT85" s="876"/>
      <c r="DU85" s="876"/>
      <c r="DV85" s="876"/>
      <c r="DW85" s="876"/>
      <c r="DX85" s="876"/>
      <c r="DY85" s="876"/>
      <c r="DZ85" s="876"/>
      <c r="EA85" s="876"/>
      <c r="EB85" s="876"/>
      <c r="EC85" s="876"/>
      <c r="ED85" s="876"/>
      <c r="EE85" s="876"/>
      <c r="EF85" s="876"/>
      <c r="EG85" s="876"/>
      <c r="EH85" s="876"/>
      <c r="EI85" s="876"/>
      <c r="EJ85" s="876"/>
      <c r="EK85" s="876"/>
      <c r="EL85" s="876"/>
      <c r="EM85" s="876"/>
      <c r="EN85" s="876"/>
      <c r="EO85" s="876"/>
      <c r="EP85" s="876"/>
      <c r="EQ85" s="876"/>
      <c r="ER85" s="876"/>
      <c r="ES85" s="876"/>
      <c r="ET85" s="876"/>
      <c r="EU85" s="876"/>
      <c r="EV85" s="876"/>
      <c r="EW85" s="876"/>
      <c r="EX85" s="876"/>
      <c r="EY85" s="876"/>
      <c r="EZ85" s="876"/>
      <c r="FA85" s="876"/>
      <c r="FB85" s="876"/>
      <c r="FC85" s="876"/>
      <c r="FD85" s="876"/>
      <c r="FE85" s="876"/>
      <c r="FF85" s="876"/>
      <c r="FG85" s="876"/>
      <c r="FH85" s="876"/>
      <c r="FI85" s="876"/>
      <c r="FJ85" s="876"/>
      <c r="FK85" s="876"/>
      <c r="FL85" s="876"/>
      <c r="FM85" s="876"/>
      <c r="FN85" s="876"/>
      <c r="FO85" s="876"/>
      <c r="FP85" s="876"/>
      <c r="FQ85" s="876"/>
      <c r="FR85" s="876"/>
      <c r="FS85" s="876"/>
      <c r="FT85" s="876"/>
      <c r="FU85" s="876"/>
      <c r="FV85" s="876"/>
      <c r="FW85" s="876"/>
      <c r="FX85" s="876"/>
      <c r="FY85" s="876"/>
      <c r="FZ85" s="876"/>
      <c r="GA85" s="876"/>
      <c r="GB85" s="876"/>
      <c r="GC85" s="876"/>
      <c r="GD85" s="876"/>
      <c r="GE85" s="876"/>
      <c r="GF85" s="876"/>
      <c r="GG85" s="876"/>
      <c r="GH85" s="876"/>
      <c r="GI85" s="876"/>
      <c r="GJ85" s="876"/>
      <c r="GK85" s="876"/>
      <c r="GL85" s="876"/>
      <c r="GM85" s="876"/>
      <c r="GN85" s="876"/>
      <c r="GO85" s="876"/>
      <c r="GP85" s="876"/>
      <c r="GQ85" s="876"/>
      <c r="GR85" s="876"/>
      <c r="GS85" s="876"/>
      <c r="GT85" s="876"/>
      <c r="GU85" s="876"/>
      <c r="GV85" s="876"/>
      <c r="GW85" s="876"/>
      <c r="GX85" s="876"/>
      <c r="GY85" s="876"/>
      <c r="GZ85" s="876"/>
      <c r="HA85" s="876"/>
      <c r="HB85" s="876"/>
      <c r="HC85" s="876"/>
      <c r="HD85" s="876"/>
      <c r="HE85" s="876"/>
      <c r="HF85" s="876"/>
      <c r="HG85" s="876"/>
      <c r="HH85" s="876"/>
      <c r="HI85" s="876"/>
      <c r="HJ85" s="876"/>
      <c r="HK85" s="876"/>
      <c r="HL85" s="876"/>
      <c r="HM85" s="876"/>
      <c r="HN85" s="876"/>
      <c r="HO85" s="876"/>
      <c r="HP85" s="876"/>
      <c r="HQ85" s="876"/>
      <c r="HR85" s="876"/>
      <c r="HS85" s="876"/>
      <c r="HT85" s="876"/>
      <c r="HU85" s="876"/>
      <c r="HV85" s="876"/>
      <c r="HW85" s="876"/>
      <c r="HX85" s="876"/>
      <c r="HY85" s="876"/>
      <c r="HZ85" s="876"/>
      <c r="IA85" s="876"/>
      <c r="IB85" s="876"/>
      <c r="IC85" s="876"/>
      <c r="ID85" s="876"/>
      <c r="IE85" s="876"/>
      <c r="IF85" s="876"/>
      <c r="IG85" s="876"/>
      <c r="IH85" s="876"/>
      <c r="II85" s="876"/>
      <c r="IJ85" s="876"/>
      <c r="IK85" s="876"/>
      <c r="IL85" s="876"/>
      <c r="IM85" s="876"/>
      <c r="IN85" s="876"/>
      <c r="IO85" s="876"/>
      <c r="IP85" s="876"/>
      <c r="IQ85" s="876"/>
      <c r="IR85" s="876"/>
      <c r="IS85" s="876"/>
      <c r="IT85" s="876"/>
      <c r="IU85" s="876"/>
      <c r="IV85" s="876"/>
    </row>
    <row r="86" spans="1:256" s="876" customFormat="1" ht="17.399999999999999"/>
    <row r="87" spans="1:256" s="876" customFormat="1" ht="17.399999999999999"/>
    <row r="88" spans="1:256" s="876" customFormat="1" ht="17.399999999999999"/>
    <row r="89" spans="1:256" s="876" customFormat="1" ht="17.399999999999999"/>
    <row r="90" spans="1:256" s="876" customFormat="1" ht="17.399999999999999"/>
    <row r="91" spans="1:256" s="876" customFormat="1" ht="17.399999999999999"/>
    <row r="92" spans="1:256" s="876" customFormat="1" ht="17.399999999999999"/>
    <row r="93" spans="1:256" s="876" customFormat="1" ht="17.399999999999999"/>
    <row r="94" spans="1:256" s="876" customFormat="1" ht="17.399999999999999"/>
    <row r="95" spans="1:256" s="876" customFormat="1" ht="17.399999999999999"/>
    <row r="96" spans="1:256" s="876" customFormat="1" ht="17.399999999999999"/>
    <row r="97" s="876" customFormat="1" ht="17.399999999999999"/>
    <row r="98" s="876" customFormat="1" ht="17.399999999999999"/>
    <row r="99" s="876" customFormat="1" ht="17.399999999999999"/>
    <row r="100" s="876" customFormat="1" ht="17.399999999999999"/>
    <row r="101" s="876" customFormat="1" ht="17.399999999999999"/>
    <row r="102" s="876" customFormat="1" ht="17.399999999999999"/>
    <row r="103" s="876" customFormat="1" ht="17.399999999999999"/>
    <row r="104" s="876" customFormat="1" ht="17.399999999999999"/>
    <row r="105" s="876" customFormat="1" ht="17.399999999999999"/>
    <row r="106" s="876" customFormat="1" ht="17.399999999999999"/>
    <row r="107" s="876" customFormat="1" ht="17.399999999999999"/>
    <row r="108" s="876" customFormat="1" ht="17.399999999999999"/>
    <row r="109" s="876" customFormat="1" ht="17.399999999999999"/>
    <row r="110" s="876" customFormat="1" ht="17.399999999999999"/>
    <row r="111" s="876" customFormat="1" ht="17.399999999999999"/>
    <row r="112" s="876" customFormat="1" ht="17.399999999999999"/>
    <row r="113" s="876" customFormat="1" ht="17.399999999999999"/>
    <row r="114" s="876" customFormat="1" ht="17.399999999999999"/>
    <row r="115" s="876" customFormat="1" ht="17.399999999999999"/>
    <row r="116" s="876" customFormat="1" ht="17.399999999999999"/>
    <row r="117" s="876" customFormat="1" ht="17.399999999999999"/>
    <row r="118" s="876" customFormat="1" ht="17.399999999999999"/>
    <row r="119" s="876" customFormat="1" ht="17.399999999999999"/>
    <row r="120" s="876" customFormat="1" ht="17.399999999999999"/>
    <row r="121" s="876" customFormat="1" ht="17.399999999999999"/>
    <row r="122" s="876" customFormat="1" ht="17.399999999999999"/>
    <row r="123" s="876" customFormat="1" ht="17.399999999999999"/>
    <row r="124" s="876" customFormat="1" ht="17.399999999999999"/>
    <row r="125" s="876" customFormat="1" ht="17.399999999999999"/>
    <row r="126" s="876" customFormat="1" ht="17.399999999999999"/>
    <row r="127" s="876" customFormat="1" ht="17.399999999999999"/>
    <row r="128" s="876" customFormat="1" ht="17.399999999999999"/>
    <row r="129" s="876" customFormat="1" ht="17.399999999999999"/>
    <row r="130" s="876" customFormat="1" ht="17.399999999999999"/>
    <row r="131" s="876" customFormat="1" ht="17.399999999999999"/>
    <row r="132" s="876" customFormat="1" ht="17.399999999999999"/>
    <row r="133" s="876" customFormat="1" ht="17.399999999999999"/>
    <row r="134" s="876" customFormat="1" ht="17.399999999999999"/>
    <row r="135" s="876" customFormat="1" ht="17.399999999999999"/>
  </sheetData>
  <customSheetViews>
    <customSheetView guid="{8EE6466D-211E-4E05-9F84-CC0A1C6F79F4}" scale="59" showGridLines="0" fitToPage="1">
      <selection activeCell="L41" sqref="L41"/>
      <pageMargins left="0.5" right="0.5" top="0.5" bottom="0.5" header="0" footer="0.25"/>
      <pageSetup scale="62" orientation="landscape" r:id="rId1"/>
      <headerFooter scaleWithDoc="0" alignWithMargins="0">
        <oddFooter>&amp;C&amp;8 42</oddFooter>
      </headerFooter>
    </customSheetView>
  </customSheetViews>
  <pageMargins left="0.5" right="0.5" top="0.5" bottom="0.5" header="0" footer="0.25"/>
  <pageSetup scale="58" firstPageNumber="42" orientation="landscape" useFirstPageNumber="1" r:id="rId2"/>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2"/>
  <sheetViews>
    <sheetView zoomScale="70" zoomScaleNormal="70" workbookViewId="0"/>
  </sheetViews>
  <sheetFormatPr defaultColWidth="8.90625" defaultRowHeight="13.2"/>
  <cols>
    <col min="1" max="1" width="53.54296875" style="903" customWidth="1"/>
    <col min="2" max="2" width="1.90625" style="903" customWidth="1"/>
    <col min="3" max="3" width="2.6328125" style="903" customWidth="1"/>
    <col min="4" max="4" width="20.1796875" style="903" customWidth="1"/>
    <col min="5" max="5" width="7.90625" style="903" customWidth="1"/>
    <col min="6" max="6" width="18.6328125" style="903" customWidth="1"/>
    <col min="7" max="7" width="7.81640625" style="903" customWidth="1"/>
    <col min="8" max="8" width="18.6328125" style="903" customWidth="1"/>
    <col min="9" max="9" width="7.6328125" style="903" customWidth="1"/>
    <col min="10" max="10" width="21.90625" style="903" customWidth="1"/>
    <col min="11" max="11" width="10.6328125" style="903" customWidth="1"/>
    <col min="12" max="16384" width="8.90625" style="903"/>
  </cols>
  <sheetData>
    <row r="1" spans="1:10" ht="15">
      <c r="A1" s="1172" t="s">
        <v>1103</v>
      </c>
    </row>
    <row r="2" spans="1:10" ht="15">
      <c r="A2" s="1688"/>
    </row>
    <row r="3" spans="1:10" ht="17.399999999999999">
      <c r="A3" s="859" t="s">
        <v>0</v>
      </c>
      <c r="B3" s="864"/>
      <c r="C3" s="864"/>
      <c r="D3" s="864"/>
      <c r="E3" s="864"/>
      <c r="F3" s="864"/>
      <c r="G3" s="859"/>
      <c r="H3" s="859"/>
      <c r="I3" s="859"/>
      <c r="J3" s="902" t="s">
        <v>399</v>
      </c>
    </row>
    <row r="4" spans="1:10" ht="17.399999999999999">
      <c r="A4" s="859" t="s">
        <v>400</v>
      </c>
      <c r="B4" s="864"/>
      <c r="C4" s="859"/>
      <c r="D4" s="864"/>
      <c r="E4" s="864"/>
      <c r="F4" s="864"/>
      <c r="G4" s="859"/>
      <c r="H4" s="859"/>
      <c r="I4" s="859"/>
      <c r="J4" s="859"/>
    </row>
    <row r="5" spans="1:10" ht="17.399999999999999">
      <c r="A5" s="859" t="s">
        <v>401</v>
      </c>
      <c r="B5" s="864"/>
      <c r="C5" s="859"/>
      <c r="D5" s="864"/>
      <c r="E5" s="864"/>
      <c r="F5" s="864"/>
      <c r="G5" s="859"/>
      <c r="H5" s="859"/>
      <c r="I5" s="859"/>
      <c r="J5" s="859"/>
    </row>
    <row r="6" spans="1:10" ht="17.399999999999999">
      <c r="A6" s="904" t="s">
        <v>1487</v>
      </c>
      <c r="B6" s="864"/>
      <c r="C6" s="859"/>
      <c r="D6" s="864"/>
      <c r="E6" s="864"/>
      <c r="F6" s="864"/>
      <c r="G6" s="859"/>
      <c r="H6" s="859"/>
      <c r="I6" s="859"/>
      <c r="J6" s="859"/>
    </row>
    <row r="7" spans="1:10" ht="17.399999999999999">
      <c r="A7" s="859" t="s">
        <v>991</v>
      </c>
      <c r="B7" s="864"/>
      <c r="C7" s="859"/>
      <c r="D7" s="864"/>
      <c r="E7" s="864"/>
      <c r="F7" s="864"/>
      <c r="G7" s="859"/>
      <c r="H7" s="859"/>
      <c r="I7" s="859"/>
      <c r="J7" s="859"/>
    </row>
    <row r="8" spans="1:10" ht="17.399999999999999">
      <c r="A8" s="859"/>
      <c r="B8" s="864"/>
      <c r="C8" s="859"/>
      <c r="D8" s="864"/>
      <c r="E8" s="864"/>
      <c r="F8" s="864"/>
      <c r="G8" s="859"/>
      <c r="H8" s="859"/>
      <c r="I8" s="859"/>
      <c r="J8" s="859"/>
    </row>
    <row r="9" spans="1:10" ht="17.399999999999999">
      <c r="A9" s="859"/>
      <c r="B9" s="859"/>
      <c r="C9" s="859"/>
      <c r="D9" s="859"/>
      <c r="E9" s="859"/>
      <c r="F9" s="859"/>
      <c r="G9" s="859"/>
      <c r="H9" s="859"/>
      <c r="I9" s="859"/>
      <c r="J9" s="859"/>
    </row>
    <row r="10" spans="1:10" ht="17.399999999999999">
      <c r="A10" s="859"/>
      <c r="B10" s="859"/>
      <c r="C10" s="859"/>
      <c r="D10" s="905"/>
      <c r="E10" s="859"/>
      <c r="F10" s="859"/>
      <c r="G10" s="859"/>
      <c r="H10" s="859"/>
      <c r="I10" s="859"/>
      <c r="J10" s="905"/>
    </row>
    <row r="11" spans="1:10" ht="17.399999999999999">
      <c r="A11" s="859"/>
      <c r="B11" s="859"/>
      <c r="C11" s="859"/>
      <c r="D11" s="905" t="s">
        <v>242</v>
      </c>
      <c r="E11" s="859"/>
      <c r="F11" s="859"/>
      <c r="G11" s="859"/>
      <c r="H11" s="859"/>
      <c r="I11" s="859"/>
      <c r="J11" s="905" t="s">
        <v>242</v>
      </c>
    </row>
    <row r="12" spans="1:10" ht="17.399999999999999">
      <c r="A12" s="906" t="s">
        <v>368</v>
      </c>
      <c r="B12" s="859"/>
      <c r="C12" s="859"/>
      <c r="D12" s="1807" t="s">
        <v>1483</v>
      </c>
      <c r="E12" s="859"/>
      <c r="F12" s="905" t="s">
        <v>244</v>
      </c>
      <c r="G12" s="859"/>
      <c r="H12" s="905" t="s">
        <v>245</v>
      </c>
      <c r="I12" s="859"/>
      <c r="J12" s="1805" t="s">
        <v>1462</v>
      </c>
    </row>
    <row r="13" spans="1:10" ht="17.399999999999999">
      <c r="A13" s="906"/>
      <c r="B13" s="859"/>
      <c r="C13" s="859"/>
      <c r="D13" s="907"/>
      <c r="E13" s="859"/>
      <c r="F13" s="907"/>
      <c r="G13" s="859"/>
      <c r="H13" s="908" t="s">
        <v>241</v>
      </c>
      <c r="I13" s="859"/>
      <c r="J13" s="907"/>
    </row>
    <row r="14" spans="1:10" ht="17.399999999999999">
      <c r="A14" s="909" t="s">
        <v>402</v>
      </c>
      <c r="B14" s="859"/>
      <c r="C14" s="859"/>
      <c r="D14" s="859"/>
      <c r="E14" s="859"/>
      <c r="F14" s="910"/>
      <c r="G14" s="859"/>
      <c r="H14" s="859"/>
      <c r="I14" s="859"/>
      <c r="J14" s="859"/>
    </row>
    <row r="15" spans="1:10" ht="24.9" customHeight="1">
      <c r="A15" s="864" t="s">
        <v>403</v>
      </c>
      <c r="B15" s="859"/>
      <c r="C15" s="864"/>
      <c r="D15" s="911">
        <v>2.7160000000000002</v>
      </c>
      <c r="E15" s="911"/>
      <c r="F15" s="845">
        <v>1E-3</v>
      </c>
      <c r="G15" s="845"/>
      <c r="H15" s="845">
        <v>0</v>
      </c>
      <c r="I15" s="911"/>
      <c r="J15" s="911">
        <f>ROUND(D15+F15-H15,3)</f>
        <v>2.7170000000000001</v>
      </c>
    </row>
    <row r="16" spans="1:10" ht="24.9" customHeight="1">
      <c r="A16" s="912" t="s">
        <v>404</v>
      </c>
      <c r="B16" s="864"/>
      <c r="C16" s="864"/>
      <c r="D16" s="1323">
        <v>2116.7379999999998</v>
      </c>
      <c r="E16" s="913"/>
      <c r="F16" s="852">
        <v>9049.2180000000008</v>
      </c>
      <c r="G16" s="848"/>
      <c r="H16" s="852">
        <v>9017.1759999999995</v>
      </c>
      <c r="I16" s="913"/>
      <c r="J16" s="1323">
        <f>ROUND(D16+F16-H16,3)</f>
        <v>2148.7800000000002</v>
      </c>
    </row>
    <row r="17" spans="1:14" ht="24.9" customHeight="1">
      <c r="A17" s="864" t="s">
        <v>405</v>
      </c>
      <c r="B17" s="864"/>
      <c r="C17" s="864"/>
      <c r="D17" s="849">
        <v>0</v>
      </c>
      <c r="E17" s="913"/>
      <c r="F17" s="3302">
        <v>203.78299999999999</v>
      </c>
      <c r="G17" s="848"/>
      <c r="H17" s="3302">
        <v>203.78299999999999</v>
      </c>
      <c r="I17" s="913"/>
      <c r="J17" s="1323">
        <f>ROUND(D17+F17-H17,3)</f>
        <v>0</v>
      </c>
    </row>
    <row r="18" spans="1:14" ht="24.9" customHeight="1" thickBot="1">
      <c r="A18" s="914" t="s">
        <v>406</v>
      </c>
      <c r="B18" s="864"/>
      <c r="C18" s="864"/>
      <c r="D18" s="915">
        <f>ROUND(SUM(D15:D17),3)</f>
        <v>2119.4540000000002</v>
      </c>
      <c r="E18" s="916"/>
      <c r="F18" s="3132">
        <f>ROUND(SUM(F15:F17),3)</f>
        <v>9253.0020000000004</v>
      </c>
      <c r="G18" s="916"/>
      <c r="H18" s="3132">
        <f>ROUND(SUM(H15:H17),3)</f>
        <v>9220.9590000000007</v>
      </c>
      <c r="I18" s="916"/>
      <c r="J18" s="915">
        <f>ROUND(SUM(J15:J17),3)</f>
        <v>2151.4969999999998</v>
      </c>
      <c r="K18" s="917"/>
      <c r="L18" s="917"/>
      <c r="M18" s="917"/>
      <c r="N18" s="917"/>
    </row>
    <row r="19" spans="1:14" ht="18" thickTop="1">
      <c r="A19" s="864"/>
      <c r="B19" s="864"/>
      <c r="C19" s="864"/>
      <c r="D19" s="918"/>
      <c r="E19" s="864"/>
      <c r="F19" s="918"/>
      <c r="G19" s="864"/>
      <c r="H19" s="918"/>
      <c r="I19" s="864"/>
      <c r="J19" s="918"/>
    </row>
    <row r="20" spans="1:14" ht="17.399999999999999">
      <c r="A20" s="864"/>
      <c r="B20" s="864"/>
      <c r="C20" s="864"/>
      <c r="D20" s="918"/>
      <c r="E20" s="864"/>
      <c r="F20" s="918"/>
      <c r="G20" s="864"/>
      <c r="H20" s="918"/>
      <c r="I20" s="864"/>
      <c r="J20" s="918"/>
    </row>
    <row r="21" spans="1:14" ht="17.399999999999999">
      <c r="A21" s="864"/>
      <c r="B21" s="864"/>
      <c r="C21" s="864"/>
      <c r="D21" s="918"/>
      <c r="E21" s="864"/>
      <c r="F21" s="918"/>
      <c r="G21" s="864"/>
      <c r="H21" s="918"/>
      <c r="I21" s="864"/>
      <c r="J21" s="918"/>
    </row>
    <row r="22" spans="1:14" ht="18.75" customHeight="1">
      <c r="A22" s="919" t="s">
        <v>407</v>
      </c>
      <c r="B22" s="864"/>
      <c r="C22" s="864"/>
      <c r="D22" s="864"/>
      <c r="E22" s="864"/>
      <c r="F22" s="864" t="s">
        <v>16</v>
      </c>
      <c r="G22" s="864"/>
      <c r="H22" s="864"/>
      <c r="I22" s="864"/>
      <c r="J22" s="864"/>
    </row>
    <row r="23" spans="1:14" ht="12.75" customHeight="1"/>
    <row r="24" spans="1:14" ht="56.25" customHeight="1">
      <c r="A24" s="3421" t="s">
        <v>1116</v>
      </c>
      <c r="B24" s="3422"/>
      <c r="C24" s="3422"/>
      <c r="D24" s="3422"/>
      <c r="E24" s="3422"/>
      <c r="F24" s="3422"/>
      <c r="G24" s="3422"/>
      <c r="H24" s="3422"/>
      <c r="I24" s="3422"/>
      <c r="J24" s="3422"/>
    </row>
    <row r="25" spans="1:14" ht="32.25" customHeight="1">
      <c r="A25" s="3423" t="s">
        <v>1486</v>
      </c>
      <c r="B25" s="3424"/>
      <c r="C25" s="3424"/>
      <c r="D25" s="3424"/>
      <c r="E25" s="3424"/>
      <c r="F25" s="3424"/>
      <c r="G25" s="3424"/>
      <c r="H25" s="3424"/>
      <c r="I25" s="3424"/>
      <c r="J25" s="3424"/>
    </row>
    <row r="26" spans="1:14" ht="18.75" customHeight="1">
      <c r="A26" s="3425"/>
      <c r="B26" s="3426"/>
      <c r="C26" s="3426"/>
      <c r="D26" s="3426"/>
      <c r="E26" s="3426"/>
      <c r="F26" s="3426"/>
      <c r="G26" s="3426"/>
      <c r="H26" s="3426"/>
      <c r="I26" s="3426"/>
      <c r="J26" s="3426"/>
    </row>
    <row r="27" spans="1:14" ht="18" customHeight="1">
      <c r="A27" s="920"/>
      <c r="B27" s="921"/>
      <c r="C27" s="921"/>
      <c r="D27" s="921"/>
      <c r="E27" s="921"/>
      <c r="F27" s="921"/>
      <c r="G27" s="921"/>
      <c r="H27" s="921"/>
      <c r="I27" s="921"/>
      <c r="J27" s="921"/>
    </row>
    <row r="28" spans="1:14" ht="20.25" customHeight="1">
      <c r="A28" s="3427"/>
      <c r="B28" s="3426"/>
      <c r="C28" s="3426"/>
      <c r="D28" s="3426"/>
      <c r="E28" s="3426"/>
      <c r="F28" s="3426"/>
      <c r="G28" s="3426"/>
      <c r="H28" s="3426"/>
      <c r="I28" s="3426"/>
      <c r="J28" s="3426"/>
    </row>
    <row r="29" spans="1:14" ht="20.25" customHeight="1">
      <c r="A29" s="922"/>
      <c r="B29" s="921"/>
      <c r="C29" s="921"/>
      <c r="D29" s="921"/>
      <c r="E29" s="921"/>
      <c r="F29" s="921"/>
      <c r="G29" s="921"/>
      <c r="H29" s="921"/>
      <c r="I29" s="921"/>
      <c r="J29" s="921"/>
    </row>
    <row r="30" spans="1:14" ht="20.25" customHeight="1">
      <c r="A30" s="922"/>
      <c r="B30" s="921"/>
      <c r="C30" s="921"/>
      <c r="D30" s="921"/>
      <c r="E30" s="921"/>
      <c r="F30" s="921"/>
      <c r="G30" s="921"/>
      <c r="H30" s="921"/>
      <c r="I30" s="921"/>
      <c r="J30" s="921"/>
    </row>
    <row r="31" spans="1:14" ht="20.25" customHeight="1">
      <c r="A31" s="922"/>
      <c r="B31" s="921"/>
      <c r="C31" s="921"/>
      <c r="D31" s="921"/>
      <c r="E31" s="921"/>
      <c r="F31" s="921"/>
      <c r="G31" s="921"/>
      <c r="H31" s="921"/>
      <c r="I31" s="921"/>
      <c r="J31" s="921"/>
    </row>
    <row r="32" spans="1:14" ht="20.25" customHeight="1">
      <c r="A32" s="922"/>
      <c r="B32" s="921"/>
      <c r="C32" s="921"/>
      <c r="D32" s="921"/>
      <c r="E32" s="921"/>
      <c r="F32" s="921"/>
      <c r="G32" s="921"/>
      <c r="H32" s="921"/>
      <c r="I32" s="921"/>
      <c r="J32" s="921"/>
    </row>
    <row r="33" spans="1:10" ht="20.25" customHeight="1">
      <c r="A33" s="922"/>
      <c r="B33" s="921"/>
      <c r="C33" s="921"/>
      <c r="D33" s="921"/>
      <c r="E33" s="921"/>
      <c r="F33" s="921"/>
      <c r="G33" s="921"/>
      <c r="H33" s="921"/>
      <c r="I33" s="921"/>
      <c r="J33" s="921"/>
    </row>
    <row r="34" spans="1:10" ht="20.25" customHeight="1">
      <c r="A34" s="922"/>
      <c r="B34" s="921"/>
      <c r="C34" s="921"/>
      <c r="D34" s="921"/>
      <c r="E34" s="921"/>
      <c r="F34" s="921"/>
      <c r="G34" s="921"/>
      <c r="H34" s="921"/>
      <c r="I34" s="921"/>
      <c r="J34" s="921"/>
    </row>
    <row r="35" spans="1:10" ht="20.25" customHeight="1">
      <c r="A35" s="922"/>
      <c r="B35" s="921"/>
      <c r="C35" s="921"/>
      <c r="D35" s="921"/>
      <c r="E35" s="921"/>
      <c r="F35" s="921"/>
      <c r="G35" s="921"/>
      <c r="H35" s="921"/>
      <c r="I35" s="921"/>
      <c r="J35" s="921"/>
    </row>
    <row r="36" spans="1:10" ht="20.25" customHeight="1">
      <c r="A36" s="922"/>
      <c r="B36" s="921"/>
      <c r="C36" s="921"/>
      <c r="D36" s="921"/>
      <c r="E36" s="921"/>
      <c r="F36" s="921"/>
      <c r="G36" s="921"/>
      <c r="H36" s="921"/>
      <c r="I36" s="921"/>
      <c r="J36" s="921"/>
    </row>
    <row r="37" spans="1:10" ht="20.25" customHeight="1">
      <c r="A37" s="922"/>
      <c r="B37" s="921"/>
      <c r="C37" s="921"/>
      <c r="D37" s="921"/>
      <c r="E37" s="921"/>
      <c r="F37" s="921"/>
      <c r="G37" s="921"/>
      <c r="H37" s="921"/>
      <c r="I37" s="921"/>
      <c r="J37" s="921"/>
    </row>
    <row r="38" spans="1:10" ht="20.25" customHeight="1">
      <c r="A38" s="922"/>
      <c r="B38" s="921"/>
      <c r="C38" s="921"/>
      <c r="D38" s="921"/>
      <c r="E38" s="921"/>
      <c r="F38" s="921"/>
      <c r="G38" s="921"/>
      <c r="H38" s="921"/>
      <c r="I38" s="921"/>
      <c r="J38" s="921"/>
    </row>
    <row r="39" spans="1:10" ht="20.25" customHeight="1">
      <c r="A39" s="922"/>
      <c r="B39" s="921"/>
      <c r="C39" s="921"/>
      <c r="D39" s="921"/>
      <c r="E39" s="921"/>
      <c r="F39" s="921"/>
      <c r="G39" s="921"/>
      <c r="H39" s="921"/>
      <c r="I39" s="921"/>
      <c r="J39" s="921"/>
    </row>
    <row r="40" spans="1:10" ht="20.25" customHeight="1">
      <c r="A40" s="922"/>
      <c r="B40" s="921"/>
      <c r="C40" s="921"/>
      <c r="D40" s="921"/>
      <c r="E40" s="921"/>
      <c r="F40" s="921"/>
      <c r="G40" s="921"/>
      <c r="H40" s="921"/>
      <c r="I40" s="921"/>
      <c r="J40" s="921"/>
    </row>
    <row r="41" spans="1:10" ht="21" customHeight="1"/>
    <row r="42" spans="1:10" ht="21" customHeight="1">
      <c r="A42" s="922"/>
      <c r="B42" s="921"/>
      <c r="C42" s="921"/>
      <c r="D42" s="921"/>
      <c r="E42" s="921"/>
      <c r="F42" s="921"/>
      <c r="G42" s="921"/>
      <c r="H42" s="921"/>
      <c r="I42" s="921"/>
      <c r="J42" s="921"/>
    </row>
    <row r="43" spans="1:10" ht="18" customHeight="1">
      <c r="A43" s="923"/>
      <c r="B43" s="924"/>
      <c r="C43" s="925"/>
      <c r="D43" s="926"/>
      <c r="E43" s="925"/>
      <c r="F43" s="926"/>
      <c r="G43" s="925"/>
      <c r="H43" s="926"/>
      <c r="I43" s="927"/>
    </row>
    <row r="44" spans="1:10" ht="18" customHeight="1">
      <c r="A44" s="928"/>
      <c r="B44" s="924"/>
      <c r="C44" s="924"/>
      <c r="D44" s="926"/>
      <c r="E44" s="924"/>
      <c r="F44" s="929"/>
      <c r="G44" s="926"/>
      <c r="H44" s="926"/>
      <c r="I44" s="927"/>
    </row>
    <row r="45" spans="1:10" ht="18" customHeight="1">
      <c r="A45" s="928"/>
      <c r="B45" s="924"/>
      <c r="C45" s="924"/>
      <c r="D45" s="926"/>
      <c r="E45" s="924"/>
      <c r="F45" s="929"/>
      <c r="G45" s="926"/>
      <c r="H45" s="926"/>
      <c r="I45" s="927"/>
    </row>
    <row r="46" spans="1:10" ht="18" customHeight="1">
      <c r="A46" s="928"/>
      <c r="B46" s="924"/>
      <c r="C46" s="924"/>
      <c r="D46" s="926"/>
      <c r="E46" s="924"/>
      <c r="F46" s="929"/>
      <c r="G46" s="926"/>
      <c r="H46" s="926"/>
      <c r="I46" s="927"/>
    </row>
    <row r="47" spans="1:10" ht="18" customHeight="1">
      <c r="A47" s="928"/>
      <c r="B47" s="924"/>
      <c r="C47" s="924"/>
      <c r="D47" s="926"/>
      <c r="E47" s="924"/>
      <c r="F47" s="926"/>
      <c r="G47" s="926"/>
      <c r="H47" s="930"/>
      <c r="I47" s="927"/>
    </row>
    <row r="48" spans="1:10" ht="18" customHeight="1">
      <c r="A48" s="931"/>
      <c r="B48" s="924"/>
      <c r="C48" s="924"/>
      <c r="D48" s="926"/>
      <c r="E48" s="924"/>
      <c r="F48" s="926"/>
      <c r="G48" s="926"/>
      <c r="H48" s="926"/>
      <c r="I48" s="927"/>
    </row>
    <row r="49" spans="1:9" ht="18" customHeight="1">
      <c r="A49" s="932"/>
      <c r="B49" s="924"/>
      <c r="C49" s="924"/>
      <c r="D49" s="926"/>
      <c r="E49" s="924"/>
      <c r="F49" s="930"/>
      <c r="G49" s="926"/>
      <c r="H49" s="926"/>
      <c r="I49" s="927"/>
    </row>
    <row r="50" spans="1:9" ht="18" customHeight="1">
      <c r="A50" s="928"/>
      <c r="B50" s="924"/>
      <c r="C50" s="924"/>
      <c r="D50" s="926"/>
      <c r="E50" s="924"/>
      <c r="F50" s="929"/>
      <c r="G50" s="926"/>
      <c r="H50" s="926"/>
      <c r="I50" s="927"/>
    </row>
    <row r="51" spans="1:9" ht="18" customHeight="1">
      <c r="A51" s="928"/>
      <c r="B51" s="924"/>
      <c r="C51" s="924"/>
      <c r="D51" s="926"/>
      <c r="E51" s="924"/>
      <c r="F51" s="933"/>
      <c r="G51" s="926"/>
      <c r="H51" s="930"/>
      <c r="I51" s="927"/>
    </row>
    <row r="52" spans="1:9" ht="18" customHeight="1">
      <c r="A52" s="931"/>
      <c r="B52" s="924"/>
      <c r="C52" s="925"/>
      <c r="D52" s="934"/>
      <c r="E52" s="925"/>
      <c r="G52" s="925"/>
      <c r="H52" s="934"/>
      <c r="I52" s="927"/>
    </row>
  </sheetData>
  <customSheetViews>
    <customSheetView guid="{8EE6466D-211E-4E05-9F84-CC0A1C6F79F4}" scale="67" showGridLines="0" outlineSymbols="0" fitToPage="1">
      <selection activeCell="P35" sqref="P35"/>
      <rowBreaks count="1" manualBreakCount="1">
        <brk id="72" max="16383" man="1"/>
      </rowBreaks>
      <pageMargins left="0.5" right="0.5" top="1" bottom="0.5" header="0" footer="0.25"/>
      <pageSetup scale="68" orientation="landscape" verticalDpi="400" r:id="rId1"/>
      <headerFooter scaleWithDoc="0" alignWithMargins="0">
        <oddFooter>&amp;C&amp;8 43</oddFooter>
      </headerFooter>
    </customSheetView>
  </customSheetViews>
  <mergeCells count="4">
    <mergeCell ref="A24:J24"/>
    <mergeCell ref="A25:J25"/>
    <mergeCell ref="A26:J26"/>
    <mergeCell ref="A28:J28"/>
  </mergeCells>
  <pageMargins left="0.5" right="0.5" top="1" bottom="0.5" header="0" footer="0.25"/>
  <pageSetup scale="66" firstPageNumber="43" orientation="landscape" useFirstPageNumber="1" r:id="rId2"/>
  <headerFooter scaleWithDoc="0" alignWithMargins="0">
    <oddFooter>&amp;C&amp;8&amp;P</oddFooter>
  </headerFooter>
  <rowBreaks count="1" manualBreakCount="1">
    <brk id="72" max="16383" man="1"/>
  </rowBreaks>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83"/>
  <sheetViews>
    <sheetView zoomScale="70" zoomScaleNormal="70" workbookViewId="0"/>
  </sheetViews>
  <sheetFormatPr defaultColWidth="8.90625" defaultRowHeight="13.2"/>
  <cols>
    <col min="1" max="1" width="40.1796875" style="1140" customWidth="1"/>
    <col min="2" max="2" width="2.08984375" style="1140" customWidth="1"/>
    <col min="3" max="3" width="18.36328125" style="1140" bestFit="1" customWidth="1"/>
    <col min="4" max="4" width="2.08984375" style="1140" customWidth="1"/>
    <col min="5" max="5" width="16.453125" style="1140" customWidth="1"/>
    <col min="6" max="6" width="2.08984375" style="1140" customWidth="1"/>
    <col min="7" max="7" width="17.08984375" style="1140" bestFit="1" customWidth="1"/>
    <col min="8" max="8" width="2.08984375" style="1140" customWidth="1"/>
    <col min="9" max="9" width="15.54296875" style="1141" customWidth="1"/>
    <col min="10" max="10" width="2.08984375" style="1140" customWidth="1"/>
    <col min="11" max="11" width="16.453125" style="1141" bestFit="1" customWidth="1"/>
    <col min="12" max="12" width="2.08984375" style="1140" customWidth="1"/>
    <col min="13" max="13" width="18.36328125" style="1597" bestFit="1" customWidth="1"/>
    <col min="14" max="14" width="1.90625" style="1140" customWidth="1"/>
    <col min="15" max="15" width="1.36328125" style="1140" customWidth="1"/>
    <col min="16" max="16" width="2" style="1140" customWidth="1"/>
    <col min="17" max="17" width="16" style="1140" bestFit="1" customWidth="1"/>
    <col min="18" max="18" width="2.08984375" style="1140" customWidth="1"/>
    <col min="19" max="19" width="16.453125" style="1140" bestFit="1" customWidth="1"/>
    <col min="20" max="20" width="11.81640625" style="1140" customWidth="1"/>
    <col min="21" max="21" width="12.453125" style="1140" customWidth="1"/>
    <col min="22" max="22" width="8" style="1140" bestFit="1" customWidth="1"/>
    <col min="23" max="16384" width="8.90625" style="1140"/>
  </cols>
  <sheetData>
    <row r="1" spans="1:23" ht="15">
      <c r="A1" s="1172" t="s">
        <v>1103</v>
      </c>
    </row>
    <row r="2" spans="1:23" ht="15">
      <c r="A2" s="3243"/>
    </row>
    <row r="3" spans="1:23" ht="17.399999999999999">
      <c r="A3" s="1139" t="s">
        <v>0</v>
      </c>
      <c r="S3" s="1139" t="s">
        <v>408</v>
      </c>
    </row>
    <row r="4" spans="1:23" ht="17.399999999999999">
      <c r="A4" s="1139" t="s">
        <v>191</v>
      </c>
      <c r="J4" s="1140" t="s">
        <v>16</v>
      </c>
    </row>
    <row r="5" spans="1:23" ht="17.399999999999999">
      <c r="A5" s="1139" t="s">
        <v>409</v>
      </c>
    </row>
    <row r="6" spans="1:23" ht="17.399999999999999">
      <c r="A6" s="3244" t="s">
        <v>1460</v>
      </c>
    </row>
    <row r="9" spans="1:23">
      <c r="C9" s="2975"/>
      <c r="D9" s="2979"/>
      <c r="E9" s="3288"/>
      <c r="F9" s="3242" t="s">
        <v>1390</v>
      </c>
      <c r="G9" s="3242"/>
      <c r="H9" s="2980"/>
      <c r="I9" s="2981" t="s">
        <v>1124</v>
      </c>
      <c r="J9" s="2982"/>
      <c r="K9" s="2982"/>
      <c r="L9" s="2975"/>
      <c r="M9" s="2975"/>
      <c r="N9" s="2975"/>
      <c r="O9" s="2983"/>
      <c r="P9" s="2975"/>
      <c r="Q9" s="2984" t="s">
        <v>1058</v>
      </c>
      <c r="R9" s="2984"/>
      <c r="S9" s="2984"/>
    </row>
    <row r="10" spans="1:23">
      <c r="C10" s="2985" t="s">
        <v>126</v>
      </c>
      <c r="D10" s="2975"/>
      <c r="E10" s="2975"/>
      <c r="F10" s="2977" t="s">
        <v>16</v>
      </c>
      <c r="G10" s="2977" t="s">
        <v>16</v>
      </c>
      <c r="H10" s="2975"/>
      <c r="I10" s="2978" t="s">
        <v>16</v>
      </c>
      <c r="J10" s="2977" t="s">
        <v>16</v>
      </c>
      <c r="K10" s="2978" t="s">
        <v>16</v>
      </c>
      <c r="L10" s="2975"/>
      <c r="M10" s="2986" t="s">
        <v>126</v>
      </c>
      <c r="N10" s="2975"/>
      <c r="O10" s="2987"/>
      <c r="P10" s="2975"/>
      <c r="Q10" s="2977" t="s">
        <v>16</v>
      </c>
      <c r="R10" s="2977" t="s">
        <v>16</v>
      </c>
      <c r="S10" s="2977" t="s">
        <v>16</v>
      </c>
    </row>
    <row r="11" spans="1:23">
      <c r="C11" s="2985" t="s">
        <v>410</v>
      </c>
      <c r="D11" s="2975"/>
      <c r="E11" s="2985" t="s">
        <v>7</v>
      </c>
      <c r="F11" s="2975"/>
      <c r="G11" s="2988" t="s">
        <v>1485</v>
      </c>
      <c r="H11" s="2975"/>
      <c r="I11" s="2985" t="s">
        <v>411</v>
      </c>
      <c r="J11" s="2977" t="s">
        <v>16</v>
      </c>
      <c r="K11" s="2985" t="str">
        <f>G11</f>
        <v>1 MONTH ENDED</v>
      </c>
      <c r="L11" s="2975"/>
      <c r="M11" s="2986" t="s">
        <v>410</v>
      </c>
      <c r="N11" s="2975"/>
      <c r="O11" s="2987"/>
      <c r="P11" s="2975"/>
      <c r="Q11" s="2985" t="s">
        <v>411</v>
      </c>
      <c r="R11" s="2977" t="s">
        <v>16</v>
      </c>
      <c r="S11" s="2985" t="str">
        <f>K11</f>
        <v>1 MONTH ENDED</v>
      </c>
    </row>
    <row r="12" spans="1:23">
      <c r="A12" s="3245" t="s">
        <v>412</v>
      </c>
      <c r="C12" s="2989" t="s">
        <v>1461</v>
      </c>
      <c r="D12" s="2975"/>
      <c r="E12" s="2981" t="s">
        <v>129</v>
      </c>
      <c r="F12" s="2975"/>
      <c r="G12" s="3246" t="s">
        <v>1462</v>
      </c>
      <c r="H12" s="2975"/>
      <c r="I12" s="2981" t="str">
        <f>E12</f>
        <v>APRIL</v>
      </c>
      <c r="J12" s="2975"/>
      <c r="K12" s="2976" t="str">
        <f>G12</f>
        <v>APRIL 30, 2016</v>
      </c>
      <c r="L12" s="2975"/>
      <c r="M12" s="2976" t="str">
        <f>K12</f>
        <v>APRIL 30, 2016</v>
      </c>
      <c r="N12" s="2975"/>
      <c r="O12" s="2987"/>
      <c r="P12" s="2975"/>
      <c r="Q12" s="2981" t="str">
        <f>E12</f>
        <v>APRIL</v>
      </c>
      <c r="R12" s="2975"/>
      <c r="S12" s="2976" t="str">
        <f>M12</f>
        <v>APRIL 30, 2016</v>
      </c>
    </row>
    <row r="13" spans="1:23">
      <c r="K13" s="3119"/>
      <c r="O13" s="3247"/>
    </row>
    <row r="14" spans="1:23">
      <c r="A14" s="1142" t="s">
        <v>413</v>
      </c>
      <c r="K14" s="3119"/>
      <c r="O14" s="3247"/>
      <c r="Q14" s="1141"/>
    </row>
    <row r="15" spans="1:23" ht="12" customHeight="1">
      <c r="A15" s="1142"/>
      <c r="K15" s="3119"/>
      <c r="M15" s="1597" t="s">
        <v>16</v>
      </c>
      <c r="O15" s="3247"/>
      <c r="Q15" s="1141"/>
    </row>
    <row r="16" spans="1:23">
      <c r="A16" s="1140" t="s">
        <v>1125</v>
      </c>
      <c r="B16" s="1141"/>
      <c r="C16" s="3116">
        <v>106955627.05</v>
      </c>
      <c r="D16" s="1141"/>
      <c r="E16" s="3116">
        <v>0</v>
      </c>
      <c r="F16" s="3117"/>
      <c r="G16" s="3116">
        <v>0</v>
      </c>
      <c r="H16" s="1141"/>
      <c r="I16" s="3116">
        <f>39550487.02+0.02</f>
        <v>39550487.040000007</v>
      </c>
      <c r="J16" s="1141"/>
      <c r="K16" s="3116">
        <f>39550487.02+0.02</f>
        <v>39550487.040000007</v>
      </c>
      <c r="L16" s="1141"/>
      <c r="M16" s="3118">
        <f>ROUND(SUM(C16)-SUM(K16)+SUM(G16),2)</f>
        <v>67405140.010000005</v>
      </c>
      <c r="N16" s="1155"/>
      <c r="O16" s="3248"/>
      <c r="P16" s="1141"/>
      <c r="Q16" s="3118">
        <v>2025035.89</v>
      </c>
      <c r="R16" s="3125"/>
      <c r="S16" s="3118">
        <v>2025035.89</v>
      </c>
      <c r="T16" s="1144"/>
      <c r="U16" s="1525"/>
      <c r="V16" s="1526"/>
      <c r="W16" s="1391"/>
    </row>
    <row r="17" spans="1:23">
      <c r="C17" s="1389"/>
      <c r="D17" s="1155"/>
      <c r="E17" s="1145"/>
      <c r="F17" s="3117"/>
      <c r="G17" s="3117"/>
      <c r="H17" s="1155"/>
      <c r="I17" s="3117"/>
      <c r="J17" s="1155"/>
      <c r="K17" s="3119"/>
      <c r="L17" s="1155"/>
      <c r="M17" s="1598"/>
      <c r="N17" s="1155"/>
      <c r="O17" s="3248"/>
      <c r="P17" s="1155"/>
      <c r="Q17" s="1146"/>
      <c r="R17" s="3126"/>
      <c r="S17" s="1146"/>
      <c r="U17" s="1146"/>
      <c r="V17" s="1390"/>
      <c r="W17" s="1391"/>
    </row>
    <row r="18" spans="1:23">
      <c r="A18" s="1140" t="s">
        <v>414</v>
      </c>
      <c r="C18" s="1389"/>
      <c r="D18" s="1155"/>
      <c r="E18" s="3120"/>
      <c r="F18" s="3117"/>
      <c r="G18" s="3117"/>
      <c r="H18" s="1155"/>
      <c r="I18" s="3117"/>
      <c r="J18" s="1141"/>
      <c r="K18" s="3119"/>
      <c r="L18" s="1155"/>
      <c r="M18" s="1598"/>
      <c r="N18" s="1155"/>
      <c r="O18" s="3248"/>
      <c r="P18" s="1155"/>
      <c r="Q18" s="1146"/>
      <c r="R18" s="3126"/>
      <c r="S18" s="1146"/>
      <c r="U18" s="1390"/>
      <c r="V18" s="1390"/>
      <c r="W18" s="1144"/>
    </row>
    <row r="19" spans="1:23" ht="12" customHeight="1">
      <c r="A19" s="1140" t="s">
        <v>1126</v>
      </c>
      <c r="C19" s="3121">
        <v>3010952.09</v>
      </c>
      <c r="D19" s="1155"/>
      <c r="E19" s="2990">
        <v>0</v>
      </c>
      <c r="F19" s="3117"/>
      <c r="G19" s="2990">
        <v>0</v>
      </c>
      <c r="H19" s="1155"/>
      <c r="I19" s="2990">
        <v>142894.15</v>
      </c>
      <c r="J19" s="1141"/>
      <c r="K19" s="1147">
        <v>142894.15</v>
      </c>
      <c r="L19" s="1141" t="s">
        <v>16</v>
      </c>
      <c r="M19" s="3121">
        <f t="shared" ref="M19:M23" si="0">ROUND(SUM(C19)-SUM(K19)+SUM(G19),2)</f>
        <v>2868057.94</v>
      </c>
      <c r="N19" s="1155"/>
      <c r="O19" s="3248"/>
      <c r="P19" s="1155" t="s">
        <v>16</v>
      </c>
      <c r="Q19" s="1598">
        <v>15224.43</v>
      </c>
      <c r="R19" s="3249"/>
      <c r="S19" s="1598">
        <v>15224.43</v>
      </c>
      <c r="T19" s="1144"/>
      <c r="U19" s="1525"/>
      <c r="V19" s="1390"/>
      <c r="W19" s="1391"/>
    </row>
    <row r="20" spans="1:23">
      <c r="A20" s="1140" t="s">
        <v>415</v>
      </c>
      <c r="C20" s="3121">
        <v>0</v>
      </c>
      <c r="D20" s="1155"/>
      <c r="E20" s="2990">
        <v>0</v>
      </c>
      <c r="F20" s="3117"/>
      <c r="G20" s="2990">
        <v>0</v>
      </c>
      <c r="H20" s="1155"/>
      <c r="I20" s="2990">
        <v>0</v>
      </c>
      <c r="J20" s="1151"/>
      <c r="K20" s="1147">
        <v>0</v>
      </c>
      <c r="L20" s="1155"/>
      <c r="M20" s="3121">
        <f t="shared" si="0"/>
        <v>0</v>
      </c>
      <c r="N20" s="1155"/>
      <c r="O20" s="3248"/>
      <c r="P20" s="1155"/>
      <c r="Q20" s="1598">
        <v>0</v>
      </c>
      <c r="R20" s="3121"/>
      <c r="S20" s="1598">
        <v>0</v>
      </c>
      <c r="T20" s="1144"/>
      <c r="U20" s="1525"/>
      <c r="V20" s="1390"/>
      <c r="W20" s="1391"/>
    </row>
    <row r="21" spans="1:23">
      <c r="A21" s="1140" t="s">
        <v>416</v>
      </c>
      <c r="C21" s="3121">
        <v>402544044.61000001</v>
      </c>
      <c r="D21" s="1155"/>
      <c r="E21" s="2990">
        <v>0</v>
      </c>
      <c r="F21" s="3117"/>
      <c r="G21" s="2990">
        <v>0</v>
      </c>
      <c r="H21" s="1155"/>
      <c r="I21" s="2990">
        <v>11662595.73</v>
      </c>
      <c r="J21" s="1141"/>
      <c r="K21" s="1147">
        <v>11662595.73</v>
      </c>
      <c r="L21" s="1155"/>
      <c r="M21" s="3121">
        <f t="shared" si="0"/>
        <v>390881448.88</v>
      </c>
      <c r="N21" s="1155"/>
      <c r="O21" s="3248"/>
      <c r="P21" s="1155"/>
      <c r="Q21" s="1598">
        <v>2345712.9300000002</v>
      </c>
      <c r="R21" s="3121"/>
      <c r="S21" s="1598">
        <v>2345712.9300000002</v>
      </c>
      <c r="T21" s="1144"/>
      <c r="U21" s="1525"/>
      <c r="V21" s="1390"/>
      <c r="W21" s="1391"/>
    </row>
    <row r="22" spans="1:23">
      <c r="A22" s="1140" t="s">
        <v>417</v>
      </c>
      <c r="C22" s="3121">
        <v>37125908.420000002</v>
      </c>
      <c r="D22" s="1155"/>
      <c r="E22" s="2990">
        <v>0</v>
      </c>
      <c r="F22" s="3117"/>
      <c r="G22" s="2990">
        <v>0</v>
      </c>
      <c r="H22" s="1155"/>
      <c r="I22" s="2990">
        <v>1749960.93</v>
      </c>
      <c r="J22" s="1155"/>
      <c r="K22" s="1147">
        <v>1749960.93</v>
      </c>
      <c r="L22" s="1155"/>
      <c r="M22" s="3121">
        <f t="shared" si="0"/>
        <v>35375947.490000002</v>
      </c>
      <c r="N22" s="1155"/>
      <c r="O22" s="3248"/>
      <c r="P22" s="1155"/>
      <c r="Q22" s="1598">
        <v>247776.21</v>
      </c>
      <c r="R22" s="3121"/>
      <c r="S22" s="1598">
        <v>247776.21</v>
      </c>
      <c r="T22" s="1144"/>
      <c r="U22" s="1525"/>
      <c r="V22" s="1390"/>
      <c r="W22" s="1391"/>
    </row>
    <row r="23" spans="1:23">
      <c r="A23" s="1140" t="s">
        <v>1127</v>
      </c>
      <c r="C23" s="3121">
        <v>79264390.549999997</v>
      </c>
      <c r="D23" s="1155"/>
      <c r="E23" s="2990">
        <v>0</v>
      </c>
      <c r="F23" s="3117"/>
      <c r="G23" s="2990">
        <v>0</v>
      </c>
      <c r="H23" s="1155"/>
      <c r="I23" s="2990">
        <v>150000</v>
      </c>
      <c r="J23" s="1151"/>
      <c r="K23" s="1147">
        <v>150000</v>
      </c>
      <c r="L23" s="1155"/>
      <c r="M23" s="3121">
        <f t="shared" si="0"/>
        <v>79114390.549999997</v>
      </c>
      <c r="N23" s="1155"/>
      <c r="O23" s="3248"/>
      <c r="P23" s="1155"/>
      <c r="Q23" s="1598">
        <v>30125.96</v>
      </c>
      <c r="R23" s="3121"/>
      <c r="S23" s="1598">
        <v>30125.96</v>
      </c>
      <c r="T23" s="1144"/>
      <c r="U23" s="1525"/>
      <c r="V23" s="1390"/>
      <c r="W23" s="1391"/>
    </row>
    <row r="24" spans="1:23">
      <c r="C24" s="1598"/>
      <c r="D24" s="1155"/>
      <c r="E24" s="2991"/>
      <c r="F24" s="3117"/>
      <c r="G24" s="3117"/>
      <c r="H24" s="1155"/>
      <c r="I24" s="3117"/>
      <c r="J24" s="1155"/>
      <c r="K24" s="3119"/>
      <c r="L24" s="1155"/>
      <c r="M24" s="1598"/>
      <c r="N24" s="1155"/>
      <c r="O24" s="3248"/>
      <c r="P24" s="1155"/>
      <c r="Q24" s="1598"/>
      <c r="R24" s="1598"/>
      <c r="S24" s="1598"/>
      <c r="U24" s="1146"/>
      <c r="V24" s="1390"/>
      <c r="W24" s="1391"/>
    </row>
    <row r="25" spans="1:23">
      <c r="A25" s="1140" t="s">
        <v>1007</v>
      </c>
      <c r="C25" s="1598"/>
      <c r="D25" s="1155"/>
      <c r="E25" s="2991"/>
      <c r="F25" s="3117"/>
      <c r="G25" s="3117"/>
      <c r="H25" s="1155"/>
      <c r="I25" s="3117"/>
      <c r="J25" s="1155"/>
      <c r="K25" s="3119"/>
      <c r="L25" s="1155"/>
      <c r="M25" s="1598"/>
      <c r="N25" s="1155"/>
      <c r="O25" s="3248"/>
      <c r="P25" s="1155"/>
      <c r="Q25" s="1598"/>
      <c r="R25" s="1598"/>
      <c r="S25" s="1598"/>
      <c r="U25" s="1390"/>
      <c r="V25" s="1390"/>
      <c r="W25" s="1144"/>
    </row>
    <row r="26" spans="1:23">
      <c r="A26" s="1140" t="s">
        <v>1149</v>
      </c>
      <c r="C26" s="3121">
        <v>2574158.7599999998</v>
      </c>
      <c r="D26" s="1155"/>
      <c r="E26" s="2990">
        <v>0</v>
      </c>
      <c r="F26" s="3117"/>
      <c r="G26" s="2990">
        <v>0</v>
      </c>
      <c r="H26" s="1155"/>
      <c r="I26" s="2990">
        <v>466630.73</v>
      </c>
      <c r="J26" s="1141"/>
      <c r="K26" s="1147">
        <v>466630.73</v>
      </c>
      <c r="L26" s="1155"/>
      <c r="M26" s="3121">
        <f>ROUND(SUM(C26)-SUM(K26)+SUM(G26),2)</f>
        <v>2107528.0299999998</v>
      </c>
      <c r="N26" s="1155"/>
      <c r="O26" s="3248"/>
      <c r="P26" s="1155"/>
      <c r="Q26" s="3121">
        <v>46992.959999999999</v>
      </c>
      <c r="R26" s="3121"/>
      <c r="S26" s="3121">
        <v>46992.959999999999</v>
      </c>
      <c r="T26" s="1144"/>
      <c r="U26" s="1146"/>
      <c r="V26" s="1390"/>
      <c r="W26" s="1391"/>
    </row>
    <row r="27" spans="1:23">
      <c r="C27" s="1598"/>
      <c r="D27" s="1155"/>
      <c r="E27" s="2991"/>
      <c r="F27" s="3117"/>
      <c r="G27" s="3117"/>
      <c r="H27" s="1155"/>
      <c r="I27" s="3117"/>
      <c r="J27" s="1155"/>
      <c r="K27" s="3119"/>
      <c r="L27" s="1155"/>
      <c r="M27" s="1598"/>
      <c r="N27" s="1155"/>
      <c r="O27" s="3248"/>
      <c r="P27" s="1155"/>
      <c r="Q27" s="1598"/>
      <c r="R27" s="1598"/>
      <c r="S27" s="1598"/>
      <c r="U27" s="1146"/>
      <c r="V27" s="1390"/>
      <c r="W27" s="1391"/>
    </row>
    <row r="28" spans="1:23">
      <c r="A28" s="1140" t="s">
        <v>1455</v>
      </c>
      <c r="C28" s="1598"/>
      <c r="D28" s="1155"/>
      <c r="E28" s="2991"/>
      <c r="F28" s="3117"/>
      <c r="G28" s="3117"/>
      <c r="H28" s="1155"/>
      <c r="I28" s="3117"/>
      <c r="J28" s="1155"/>
      <c r="K28" s="3119"/>
      <c r="L28" s="1155"/>
      <c r="M28" s="1598"/>
      <c r="N28" s="1155"/>
      <c r="O28" s="3248"/>
      <c r="P28" s="1155"/>
      <c r="Q28" s="1598"/>
      <c r="R28" s="1598"/>
      <c r="S28" s="1598"/>
      <c r="U28" s="1390"/>
      <c r="V28" s="1390"/>
    </row>
    <row r="29" spans="1:23">
      <c r="A29" s="1140" t="s">
        <v>418</v>
      </c>
      <c r="C29" s="3121">
        <v>494853.29</v>
      </c>
      <c r="D29" s="1155"/>
      <c r="E29" s="2990">
        <v>0</v>
      </c>
      <c r="F29" s="3117"/>
      <c r="G29" s="2990">
        <v>0</v>
      </c>
      <c r="H29" s="1155"/>
      <c r="I29" s="2990">
        <v>160000</v>
      </c>
      <c r="J29" s="1141"/>
      <c r="K29" s="3121">
        <v>160000</v>
      </c>
      <c r="L29" s="1155"/>
      <c r="M29" s="3121">
        <f t="shared" ref="M29:M31" si="1">ROUND(SUM(C29)-SUM(K29)+SUM(G29),2)</f>
        <v>334853.28999999998</v>
      </c>
      <c r="N29" s="1155"/>
      <c r="O29" s="3248"/>
      <c r="P29" s="1155"/>
      <c r="Q29" s="3121">
        <v>12000</v>
      </c>
      <c r="R29" s="3121"/>
      <c r="S29" s="3121">
        <v>12000</v>
      </c>
      <c r="T29" s="1144"/>
      <c r="U29" s="1525"/>
      <c r="V29" s="1390"/>
      <c r="W29" s="1391"/>
    </row>
    <row r="30" spans="1:23">
      <c r="A30" s="1140" t="s">
        <v>1128</v>
      </c>
      <c r="C30" s="3121">
        <v>6671868.1799999997</v>
      </c>
      <c r="D30" s="1155"/>
      <c r="E30" s="2990">
        <v>0</v>
      </c>
      <c r="F30" s="3117"/>
      <c r="G30" s="2990">
        <v>0</v>
      </c>
      <c r="H30" s="1155"/>
      <c r="I30" s="2990">
        <v>2303107.56</v>
      </c>
      <c r="J30" s="1141"/>
      <c r="K30" s="3121">
        <v>2303107.56</v>
      </c>
      <c r="L30" s="1155"/>
      <c r="M30" s="3121">
        <f t="shared" si="1"/>
        <v>4368760.62</v>
      </c>
      <c r="N30" s="1155"/>
      <c r="O30" s="3248"/>
      <c r="P30" s="1155"/>
      <c r="Q30" s="3121">
        <v>76427.41</v>
      </c>
      <c r="R30" s="3121"/>
      <c r="S30" s="3121">
        <v>76427.41</v>
      </c>
      <c r="T30" s="1144"/>
      <c r="U30" s="1525"/>
      <c r="V30" s="1390"/>
      <c r="W30" s="1391"/>
    </row>
    <row r="31" spans="1:23">
      <c r="A31" s="1140" t="s">
        <v>419</v>
      </c>
      <c r="C31" s="3121">
        <v>29701680.75</v>
      </c>
      <c r="D31" s="1155"/>
      <c r="E31" s="2990">
        <v>0</v>
      </c>
      <c r="F31" s="3117"/>
      <c r="G31" s="2990">
        <v>0</v>
      </c>
      <c r="H31" s="1155"/>
      <c r="I31" s="3117">
        <v>7157062.7999999998</v>
      </c>
      <c r="J31" s="1141"/>
      <c r="K31" s="3121">
        <v>7157062.7999999998</v>
      </c>
      <c r="L31" s="1155"/>
      <c r="M31" s="3121">
        <f t="shared" si="1"/>
        <v>22544617.949999999</v>
      </c>
      <c r="N31" s="1155"/>
      <c r="O31" s="3248"/>
      <c r="P31" s="1155"/>
      <c r="Q31" s="3121">
        <v>365731.79</v>
      </c>
      <c r="R31" s="3121"/>
      <c r="S31" s="3121">
        <v>365731.79</v>
      </c>
      <c r="T31" s="1144"/>
      <c r="U31" s="1525"/>
      <c r="V31" s="1390"/>
      <c r="W31" s="1391"/>
    </row>
    <row r="32" spans="1:23">
      <c r="C32" s="1598"/>
      <c r="D32" s="1155"/>
      <c r="E32" s="2991"/>
      <c r="F32" s="3117"/>
      <c r="G32" s="3117"/>
      <c r="H32" s="1155"/>
      <c r="I32" s="3117"/>
      <c r="J32" s="1155"/>
      <c r="K32" s="3119"/>
      <c r="L32" s="1155"/>
      <c r="M32" s="1598"/>
      <c r="N32" s="1155"/>
      <c r="O32" s="3248"/>
      <c r="P32" s="1155"/>
      <c r="Q32" s="1598"/>
      <c r="R32" s="1598"/>
      <c r="S32" s="1598"/>
      <c r="U32" s="1146"/>
      <c r="V32" s="1390"/>
      <c r="W32" s="1391"/>
    </row>
    <row r="33" spans="1:24">
      <c r="A33" s="1140" t="s">
        <v>420</v>
      </c>
      <c r="C33" s="1598"/>
      <c r="D33" s="1155"/>
      <c r="E33" s="2991"/>
      <c r="F33" s="3117"/>
      <c r="G33" s="3117"/>
      <c r="H33" s="1155"/>
      <c r="I33" s="3117"/>
      <c r="J33" s="1155"/>
      <c r="K33" s="3119"/>
      <c r="L33" s="1155"/>
      <c r="M33" s="1598"/>
      <c r="N33" s="1155"/>
      <c r="O33" s="3248"/>
      <c r="P33" s="1155"/>
      <c r="Q33" s="1598"/>
      <c r="R33" s="1598"/>
      <c r="S33" s="1598"/>
      <c r="U33" s="1390"/>
      <c r="V33" s="1390"/>
      <c r="W33" s="1144"/>
    </row>
    <row r="34" spans="1:24">
      <c r="A34" s="1140" t="s">
        <v>1456</v>
      </c>
      <c r="C34" s="3121">
        <v>15489192.93</v>
      </c>
      <c r="D34" s="1155"/>
      <c r="E34" s="2990">
        <v>0</v>
      </c>
      <c r="F34" s="3117"/>
      <c r="G34" s="2990">
        <v>0</v>
      </c>
      <c r="H34" s="1155"/>
      <c r="I34" s="2990">
        <v>2346200.7400000002</v>
      </c>
      <c r="J34" s="1141"/>
      <c r="K34" s="3121">
        <v>2346200.7400000002</v>
      </c>
      <c r="L34" s="1155"/>
      <c r="M34" s="3121">
        <f t="shared" ref="M34:M35" si="2">ROUND(SUM(C34)-SUM(K34)+SUM(G34),2)</f>
        <v>13142992.189999999</v>
      </c>
      <c r="N34" s="1155"/>
      <c r="O34" s="3248"/>
      <c r="P34" s="1155"/>
      <c r="Q34" s="3121">
        <v>167135.19</v>
      </c>
      <c r="R34" s="3121"/>
      <c r="S34" s="3121">
        <v>167135.19</v>
      </c>
      <c r="T34" s="1144"/>
      <c r="U34" s="1525"/>
      <c r="V34" s="1390"/>
      <c r="W34" s="1391"/>
    </row>
    <row r="35" spans="1:24" ht="13.8">
      <c r="A35" s="1140" t="s">
        <v>421</v>
      </c>
      <c r="C35" s="3121">
        <v>179135421.94</v>
      </c>
      <c r="D35" s="1155"/>
      <c r="E35" s="2990">
        <v>0</v>
      </c>
      <c r="F35" s="3117"/>
      <c r="G35" s="2990">
        <v>0</v>
      </c>
      <c r="H35" s="1155"/>
      <c r="I35" s="2990">
        <v>6579393.5199999996</v>
      </c>
      <c r="J35" s="1141"/>
      <c r="K35" s="3121">
        <v>6579393.5199999996</v>
      </c>
      <c r="L35" s="1155"/>
      <c r="M35" s="3121">
        <f t="shared" si="2"/>
        <v>172556028.41999999</v>
      </c>
      <c r="N35" s="1155"/>
      <c r="O35" s="3248"/>
      <c r="P35" s="1155"/>
      <c r="Q35" s="3121">
        <f>82363.08+1442114.41</f>
        <v>1524477.49</v>
      </c>
      <c r="R35" s="3250"/>
      <c r="S35" s="3121">
        <f>82363.08+1442114.41</f>
        <v>1524477.49</v>
      </c>
      <c r="T35" s="1144"/>
      <c r="U35" s="1525"/>
      <c r="V35" s="1390"/>
      <c r="W35" s="1391"/>
      <c r="X35" s="1144"/>
    </row>
    <row r="36" spans="1:24">
      <c r="C36" s="1598"/>
      <c r="D36" s="1155"/>
      <c r="E36" s="2991"/>
      <c r="F36" s="3117"/>
      <c r="G36" s="3117"/>
      <c r="H36" s="1155"/>
      <c r="I36" s="3117"/>
      <c r="J36" s="1155"/>
      <c r="K36" s="3119"/>
      <c r="L36" s="1155"/>
      <c r="M36" s="1598"/>
      <c r="N36" s="1155"/>
      <c r="O36" s="3248"/>
      <c r="P36" s="1155"/>
      <c r="Q36" s="1598"/>
      <c r="R36" s="1598"/>
      <c r="S36" s="1598"/>
      <c r="U36" s="1146"/>
      <c r="V36" s="1390"/>
      <c r="W36" s="1391"/>
    </row>
    <row r="37" spans="1:24">
      <c r="A37" s="1140" t="s">
        <v>422</v>
      </c>
      <c r="C37" s="1598"/>
      <c r="D37" s="1155"/>
      <c r="E37" s="2991"/>
      <c r="F37" s="3122"/>
      <c r="G37" s="3122"/>
      <c r="H37" s="1155"/>
      <c r="I37" s="3122"/>
      <c r="J37" s="1155"/>
      <c r="K37" s="3119"/>
      <c r="L37" s="1155"/>
      <c r="M37" s="1598"/>
      <c r="N37" s="1155"/>
      <c r="O37" s="3248"/>
      <c r="P37" s="1155"/>
      <c r="Q37" s="3121"/>
      <c r="R37" s="1598"/>
      <c r="S37" s="3121"/>
      <c r="U37" s="1146"/>
      <c r="V37" s="1390"/>
      <c r="W37" s="1144"/>
    </row>
    <row r="38" spans="1:24">
      <c r="A38" s="1140" t="s">
        <v>423</v>
      </c>
      <c r="C38" s="3121">
        <v>16120000</v>
      </c>
      <c r="D38" s="1155"/>
      <c r="E38" s="2990">
        <v>0</v>
      </c>
      <c r="F38" s="3117"/>
      <c r="G38" s="2990">
        <v>0</v>
      </c>
      <c r="H38" s="1155"/>
      <c r="I38" s="2990">
        <v>800000</v>
      </c>
      <c r="J38" s="1145"/>
      <c r="K38" s="3121">
        <v>800000</v>
      </c>
      <c r="L38" s="1155"/>
      <c r="M38" s="3121">
        <f t="shared" ref="M38:M39" si="3">ROUND(SUM(C38)-SUM(K38)+SUM(G38),2)</f>
        <v>15320000</v>
      </c>
      <c r="N38" s="1155"/>
      <c r="O38" s="3248"/>
      <c r="P38" s="1155"/>
      <c r="Q38" s="3251">
        <v>235200</v>
      </c>
      <c r="R38" s="3121"/>
      <c r="S38" s="3251">
        <v>235200</v>
      </c>
      <c r="T38" s="1144"/>
      <c r="U38" s="3252"/>
      <c r="V38" s="1390"/>
      <c r="W38" s="1391"/>
    </row>
    <row r="39" spans="1:24">
      <c r="A39" s="1140" t="s">
        <v>1129</v>
      </c>
      <c r="C39" s="3121">
        <v>13975000</v>
      </c>
      <c r="D39" s="1155"/>
      <c r="E39" s="2990">
        <v>0</v>
      </c>
      <c r="F39" s="3117"/>
      <c r="G39" s="2990">
        <v>0</v>
      </c>
      <c r="H39" s="1155"/>
      <c r="I39" s="3117">
        <v>0</v>
      </c>
      <c r="J39" s="1392"/>
      <c r="K39" s="3121">
        <v>0</v>
      </c>
      <c r="L39" s="1155"/>
      <c r="M39" s="3121">
        <f t="shared" si="3"/>
        <v>13975000</v>
      </c>
      <c r="N39" s="1155"/>
      <c r="O39" s="3248"/>
      <c r="P39" s="1155"/>
      <c r="Q39" s="3253">
        <v>0</v>
      </c>
      <c r="R39" s="1598"/>
      <c r="S39" s="3253">
        <v>0</v>
      </c>
      <c r="T39" s="1144"/>
      <c r="U39" s="3252"/>
      <c r="V39" s="1390"/>
      <c r="W39" s="1391"/>
    </row>
    <row r="40" spans="1:24">
      <c r="C40" s="1598"/>
      <c r="D40" s="1155"/>
      <c r="E40" s="2990"/>
      <c r="F40" s="3117"/>
      <c r="G40" s="3117"/>
      <c r="H40" s="1155"/>
      <c r="I40" s="2990"/>
      <c r="J40" s="1145"/>
      <c r="K40" s="3121"/>
      <c r="L40" s="1155"/>
      <c r="M40" s="1598"/>
      <c r="N40" s="1155"/>
      <c r="O40" s="3248"/>
      <c r="P40" s="1155"/>
      <c r="Q40" s="3251"/>
      <c r="R40" s="3121"/>
      <c r="S40" s="3251"/>
      <c r="U40" s="1146"/>
      <c r="V40" s="1390"/>
      <c r="W40" s="1391"/>
    </row>
    <row r="41" spans="1:24">
      <c r="A41" s="1140" t="s">
        <v>1130</v>
      </c>
      <c r="C41" s="3121">
        <v>6351.45</v>
      </c>
      <c r="D41" s="1155"/>
      <c r="E41" s="2990">
        <v>0</v>
      </c>
      <c r="F41" s="3117"/>
      <c r="G41" s="2990">
        <v>0</v>
      </c>
      <c r="H41" s="1155"/>
      <c r="I41" s="3122">
        <v>0</v>
      </c>
      <c r="J41" s="1155"/>
      <c r="K41" s="3121">
        <v>0</v>
      </c>
      <c r="L41" s="1155"/>
      <c r="M41" s="3121">
        <f>ROUND(SUM(C41)-SUM(K41)+SUM(G41),2)</f>
        <v>6351.45</v>
      </c>
      <c r="N41" s="1155"/>
      <c r="O41" s="3248"/>
      <c r="P41" s="1155"/>
      <c r="Q41" s="3253">
        <v>0</v>
      </c>
      <c r="R41" s="1598"/>
      <c r="S41" s="3253">
        <v>0</v>
      </c>
      <c r="T41" s="1144"/>
      <c r="U41" s="1525"/>
      <c r="V41" s="1390"/>
      <c r="W41" s="1391"/>
    </row>
    <row r="42" spans="1:24" ht="15">
      <c r="C42" s="3121"/>
      <c r="D42" s="1155"/>
      <c r="E42" s="2991"/>
      <c r="F42" s="3122"/>
      <c r="G42" s="3122"/>
      <c r="H42" s="1155"/>
      <c r="I42" s="2990"/>
      <c r="J42" s="1141"/>
      <c r="K42" s="3121"/>
      <c r="L42" s="1155"/>
      <c r="M42" s="1598"/>
      <c r="N42" s="1155"/>
      <c r="O42" s="3248"/>
      <c r="P42" s="1155"/>
      <c r="Q42" s="3251"/>
      <c r="R42" s="3128"/>
      <c r="S42" s="3251"/>
      <c r="U42" s="1146"/>
      <c r="V42" s="1390"/>
      <c r="W42" s="1391"/>
    </row>
    <row r="43" spans="1:24" ht="15">
      <c r="A43" s="1140" t="s">
        <v>424</v>
      </c>
      <c r="C43" s="3121">
        <v>31246366.399999999</v>
      </c>
      <c r="D43" s="1155"/>
      <c r="E43" s="2990">
        <v>0</v>
      </c>
      <c r="F43" s="3117"/>
      <c r="G43" s="2990">
        <v>0</v>
      </c>
      <c r="H43" s="1155"/>
      <c r="I43" s="3122">
        <v>4380555.71</v>
      </c>
      <c r="J43" s="1155"/>
      <c r="K43" s="3119">
        <v>4380555.71</v>
      </c>
      <c r="L43" s="1155"/>
      <c r="M43" s="3121">
        <f>ROUND(SUM(C43)-SUM(K43)+SUM(G43),2)</f>
        <v>26865810.690000001</v>
      </c>
      <c r="N43" s="1155"/>
      <c r="O43" s="3248"/>
      <c r="P43" s="1155"/>
      <c r="Q43" s="3251">
        <v>349449.45</v>
      </c>
      <c r="R43" s="3127"/>
      <c r="S43" s="3251">
        <v>349449.45</v>
      </c>
      <c r="T43" s="1144"/>
      <c r="U43" s="1525"/>
      <c r="V43" s="1390"/>
      <c r="W43" s="1391"/>
    </row>
    <row r="44" spans="1:24" ht="15">
      <c r="C44" s="3121"/>
      <c r="D44" s="1155"/>
      <c r="E44" s="2991"/>
      <c r="F44" s="3122"/>
      <c r="G44" s="3122"/>
      <c r="H44" s="1155"/>
      <c r="I44" s="2990"/>
      <c r="J44" s="1141"/>
      <c r="K44" s="3121"/>
      <c r="L44" s="1155"/>
      <c r="M44" s="1598"/>
      <c r="N44" s="1155"/>
      <c r="O44" s="3248"/>
      <c r="P44" s="1155"/>
      <c r="Q44" s="3251"/>
      <c r="R44" s="3128"/>
      <c r="S44" s="3251"/>
      <c r="U44" s="1146"/>
      <c r="V44" s="1390"/>
      <c r="W44" s="1391"/>
    </row>
    <row r="45" spans="1:24" ht="15">
      <c r="A45" s="1140" t="s">
        <v>425</v>
      </c>
      <c r="C45" s="3121">
        <v>297438.64</v>
      </c>
      <c r="D45" s="1155"/>
      <c r="E45" s="2990">
        <v>0</v>
      </c>
      <c r="F45" s="3117"/>
      <c r="G45" s="2990">
        <v>0</v>
      </c>
      <c r="H45" s="1155"/>
      <c r="I45" s="3117">
        <f>297438.66-0.02</f>
        <v>297438.63999999996</v>
      </c>
      <c r="J45" s="1155"/>
      <c r="K45" s="3119">
        <f>297438.66-0.02</f>
        <v>297438.63999999996</v>
      </c>
      <c r="L45" s="1155"/>
      <c r="M45" s="3121">
        <f>ROUND(SUM(C45)-SUM(K45)+SUM(G45),2)</f>
        <v>0</v>
      </c>
      <c r="N45" s="1155"/>
      <c r="O45" s="3248"/>
      <c r="P45" s="1155"/>
      <c r="Q45" s="3251">
        <v>7867.25</v>
      </c>
      <c r="R45" s="3127"/>
      <c r="S45" s="3251">
        <v>7867.25</v>
      </c>
      <c r="T45" s="1144"/>
      <c r="U45" s="1525"/>
      <c r="V45" s="1390"/>
      <c r="W45" s="1391"/>
    </row>
    <row r="46" spans="1:24" ht="15">
      <c r="C46" s="3121"/>
      <c r="D46" s="1155"/>
      <c r="E46" s="2991"/>
      <c r="F46" s="3117"/>
      <c r="G46" s="3117"/>
      <c r="H46" s="1155"/>
      <c r="L46" s="1155"/>
      <c r="M46" s="1598"/>
      <c r="N46" s="1155"/>
      <c r="O46" s="3248"/>
      <c r="P46" s="1155"/>
      <c r="R46" s="3127"/>
      <c r="U46" s="1146"/>
      <c r="V46" s="1390"/>
      <c r="W46" s="1391"/>
    </row>
    <row r="47" spans="1:24" ht="15">
      <c r="A47" s="1140" t="s">
        <v>426</v>
      </c>
      <c r="C47" s="3123"/>
      <c r="D47" s="1155"/>
      <c r="E47" s="2991"/>
      <c r="F47" s="3122"/>
      <c r="G47" s="3122"/>
      <c r="H47" s="1155"/>
      <c r="I47" s="3122"/>
      <c r="J47" s="1392"/>
      <c r="K47" s="3119"/>
      <c r="L47" s="1155"/>
      <c r="M47" s="1598"/>
      <c r="N47" s="1155"/>
      <c r="O47" s="3248"/>
      <c r="P47" s="1155"/>
      <c r="Q47" s="3251"/>
      <c r="R47" s="3127"/>
      <c r="S47" s="3251"/>
      <c r="U47" s="1146"/>
      <c r="V47" s="1390"/>
      <c r="W47" s="1391"/>
    </row>
    <row r="48" spans="1:24" ht="15">
      <c r="A48" s="1140" t="s">
        <v>427</v>
      </c>
      <c r="C48" s="3123">
        <v>802029290.37</v>
      </c>
      <c r="D48" s="1155"/>
      <c r="E48" s="2990">
        <v>0</v>
      </c>
      <c r="F48" s="3117"/>
      <c r="G48" s="2990">
        <v>0</v>
      </c>
      <c r="H48" s="1155"/>
      <c r="I48" s="2990">
        <v>0</v>
      </c>
      <c r="J48" s="1151"/>
      <c r="K48" s="3121">
        <v>0</v>
      </c>
      <c r="L48" s="1155"/>
      <c r="M48" s="3121">
        <f t="shared" ref="M48:M53" si="4">ROUND(SUM(C48)-SUM(K48)+SUM(G48),2)</f>
        <v>802029290.37</v>
      </c>
      <c r="N48" s="1155"/>
      <c r="O48" s="3248"/>
      <c r="P48" s="1155"/>
      <c r="Q48" s="3251">
        <v>0</v>
      </c>
      <c r="R48" s="3127"/>
      <c r="S48" s="3251">
        <v>0</v>
      </c>
      <c r="T48" s="3254"/>
      <c r="U48" s="1146"/>
      <c r="V48" s="1390"/>
      <c r="W48" s="1391"/>
    </row>
    <row r="49" spans="1:23" ht="15">
      <c r="A49" s="1140" t="s">
        <v>428</v>
      </c>
      <c r="C49" s="3123">
        <v>15019108.039999999</v>
      </c>
      <c r="D49" s="3124"/>
      <c r="E49" s="2990">
        <v>0</v>
      </c>
      <c r="F49" s="3117"/>
      <c r="G49" s="2990">
        <v>0</v>
      </c>
      <c r="H49" s="1155"/>
      <c r="I49" s="2990">
        <v>0</v>
      </c>
      <c r="J49" s="1151"/>
      <c r="K49" s="3121">
        <v>0</v>
      </c>
      <c r="L49" s="1155"/>
      <c r="M49" s="3121">
        <f t="shared" si="4"/>
        <v>15019108.039999999</v>
      </c>
      <c r="N49" s="1155"/>
      <c r="O49" s="3248"/>
      <c r="P49" s="1155"/>
      <c r="Q49" s="3251">
        <v>0</v>
      </c>
      <c r="R49" s="3127"/>
      <c r="S49" s="3251">
        <v>0</v>
      </c>
      <c r="T49" s="3254"/>
      <c r="U49" s="1146"/>
      <c r="V49" s="1390"/>
      <c r="W49" s="1391"/>
    </row>
    <row r="50" spans="1:23" ht="15">
      <c r="A50" s="1140" t="s">
        <v>429</v>
      </c>
      <c r="C50" s="3123">
        <v>48703092.5</v>
      </c>
      <c r="D50" s="3124"/>
      <c r="E50" s="2990">
        <v>0</v>
      </c>
      <c r="F50" s="3117"/>
      <c r="G50" s="2990">
        <v>0</v>
      </c>
      <c r="H50" s="1155"/>
      <c r="I50" s="2990">
        <v>0</v>
      </c>
      <c r="J50" s="1151"/>
      <c r="K50" s="1598">
        <v>0</v>
      </c>
      <c r="L50" s="1155"/>
      <c r="M50" s="3121">
        <f t="shared" si="4"/>
        <v>48703092.5</v>
      </c>
      <c r="N50" s="1155"/>
      <c r="O50" s="3248"/>
      <c r="P50" s="1155"/>
      <c r="Q50" s="3251">
        <v>0</v>
      </c>
      <c r="R50" s="3127"/>
      <c r="S50" s="3251">
        <v>0</v>
      </c>
      <c r="T50" s="3254"/>
      <c r="U50" s="1146"/>
      <c r="V50" s="1390"/>
      <c r="W50" s="1391"/>
    </row>
    <row r="51" spans="1:23" ht="15">
      <c r="A51" s="1140" t="s">
        <v>430</v>
      </c>
      <c r="C51" s="3123">
        <v>79651413.069999993</v>
      </c>
      <c r="D51" s="1155"/>
      <c r="E51" s="2990">
        <v>0</v>
      </c>
      <c r="F51" s="3117"/>
      <c r="G51" s="2990">
        <v>0</v>
      </c>
      <c r="H51" s="1155"/>
      <c r="I51" s="2990">
        <v>0</v>
      </c>
      <c r="J51" s="1151"/>
      <c r="K51" s="1598">
        <v>0</v>
      </c>
      <c r="L51" s="1155"/>
      <c r="M51" s="3121">
        <f t="shared" si="4"/>
        <v>79651413.069999993</v>
      </c>
      <c r="N51" s="1155"/>
      <c r="O51" s="3248"/>
      <c r="P51" s="1155"/>
      <c r="Q51" s="3251">
        <v>0</v>
      </c>
      <c r="R51" s="3128"/>
      <c r="S51" s="3251">
        <v>0</v>
      </c>
      <c r="T51" s="3254"/>
      <c r="U51" s="1146"/>
      <c r="V51" s="1390"/>
      <c r="W51" s="1391"/>
    </row>
    <row r="52" spans="1:23">
      <c r="A52" s="1140" t="s">
        <v>431</v>
      </c>
      <c r="C52" s="3123">
        <v>6268331.0800000001</v>
      </c>
      <c r="D52" s="1155"/>
      <c r="E52" s="2990">
        <v>0</v>
      </c>
      <c r="F52" s="3117"/>
      <c r="G52" s="2990">
        <v>0</v>
      </c>
      <c r="H52" s="1155"/>
      <c r="I52" s="2990">
        <v>0</v>
      </c>
      <c r="J52" s="1151"/>
      <c r="K52" s="1147">
        <v>0</v>
      </c>
      <c r="L52" s="1155"/>
      <c r="M52" s="3121">
        <f t="shared" si="4"/>
        <v>6268331.0800000001</v>
      </c>
      <c r="N52" s="1155"/>
      <c r="O52" s="3248"/>
      <c r="P52" s="1155"/>
      <c r="Q52" s="1598">
        <v>0</v>
      </c>
      <c r="R52" s="1598"/>
      <c r="S52" s="1598">
        <v>0</v>
      </c>
      <c r="T52" s="3254"/>
      <c r="U52" s="1146"/>
      <c r="V52" s="1390"/>
      <c r="W52" s="1391"/>
    </row>
    <row r="53" spans="1:23">
      <c r="A53" s="1140" t="s">
        <v>1008</v>
      </c>
      <c r="C53" s="3121">
        <v>838086893.13</v>
      </c>
      <c r="D53" s="1155"/>
      <c r="E53" s="2990">
        <v>0</v>
      </c>
      <c r="F53" s="3117"/>
      <c r="G53" s="2990">
        <v>0</v>
      </c>
      <c r="H53" s="1155"/>
      <c r="I53" s="2990">
        <v>0</v>
      </c>
      <c r="J53" s="1145"/>
      <c r="K53" s="3121">
        <v>0</v>
      </c>
      <c r="L53" s="1155"/>
      <c r="M53" s="3121">
        <f t="shared" si="4"/>
        <v>838086893.13</v>
      </c>
      <c r="N53" s="1155"/>
      <c r="O53" s="3248"/>
      <c r="P53" s="1155"/>
      <c r="Q53" s="1597">
        <v>0</v>
      </c>
      <c r="R53" s="1597"/>
      <c r="S53" s="1597">
        <v>0</v>
      </c>
      <c r="T53" s="3254"/>
      <c r="U53" s="1146"/>
      <c r="V53" s="1390"/>
      <c r="W53" s="1391"/>
    </row>
    <row r="54" spans="1:23">
      <c r="C54" s="3121"/>
      <c r="D54" s="1155"/>
      <c r="E54" s="2991"/>
      <c r="F54" s="3117"/>
      <c r="G54" s="3117"/>
      <c r="H54" s="1155"/>
      <c r="I54" s="3117"/>
      <c r="J54" s="1155"/>
      <c r="K54" s="3119"/>
      <c r="L54" s="1155"/>
      <c r="M54" s="3121"/>
      <c r="N54" s="1155"/>
      <c r="O54" s="3248"/>
      <c r="P54" s="1155"/>
      <c r="U54" s="1390"/>
      <c r="V54" s="1390"/>
      <c r="W54" s="1391"/>
    </row>
    <row r="55" spans="1:23">
      <c r="A55" s="1140" t="s">
        <v>1009</v>
      </c>
      <c r="C55" s="3121"/>
      <c r="D55" s="1155"/>
      <c r="E55" s="2991"/>
      <c r="F55" s="3122"/>
      <c r="G55" s="3122"/>
      <c r="H55" s="1155"/>
      <c r="I55" s="3122"/>
      <c r="J55" s="1392"/>
      <c r="K55" s="3119"/>
      <c r="L55" s="1155"/>
      <c r="M55" s="3121"/>
      <c r="N55" s="1155"/>
      <c r="O55" s="3248"/>
      <c r="P55" s="1155"/>
      <c r="Q55" s="3121"/>
      <c r="R55" s="1598"/>
      <c r="S55" s="3121"/>
      <c r="U55" s="1146"/>
      <c r="V55" s="1390"/>
      <c r="W55" s="1144"/>
    </row>
    <row r="56" spans="1:23" ht="15">
      <c r="A56" s="1140" t="s">
        <v>1131</v>
      </c>
      <c r="C56" s="3121">
        <v>1427346.08</v>
      </c>
      <c r="D56" s="1155"/>
      <c r="E56" s="2990">
        <v>0</v>
      </c>
      <c r="F56" s="3117"/>
      <c r="G56" s="2990">
        <v>0</v>
      </c>
      <c r="H56" s="1155"/>
      <c r="I56" s="2990">
        <v>0</v>
      </c>
      <c r="J56" s="1145"/>
      <c r="K56" s="3121">
        <v>0</v>
      </c>
      <c r="L56" s="1155"/>
      <c r="M56" s="3121">
        <f t="shared" ref="M56:M57" si="5">ROUND(SUM(C56)-SUM(K56)+SUM(G56),2)</f>
        <v>1427346.08</v>
      </c>
      <c r="N56" s="1155"/>
      <c r="O56" s="3248"/>
      <c r="P56" s="1155"/>
      <c r="Q56" s="3251">
        <v>0</v>
      </c>
      <c r="R56" s="3128"/>
      <c r="S56" s="3251">
        <v>0</v>
      </c>
      <c r="T56" s="1144"/>
      <c r="U56" s="1525"/>
      <c r="V56" s="1390"/>
      <c r="W56" s="1391"/>
    </row>
    <row r="57" spans="1:23" ht="15">
      <c r="A57" s="1140" t="s">
        <v>1089</v>
      </c>
      <c r="C57" s="3121">
        <v>5775985.3799999999</v>
      </c>
      <c r="D57" s="1155"/>
      <c r="E57" s="2990">
        <v>0</v>
      </c>
      <c r="F57" s="3117"/>
      <c r="G57" s="2990">
        <v>0</v>
      </c>
      <c r="H57" s="1155"/>
      <c r="I57" s="2990">
        <v>1304038.1100000001</v>
      </c>
      <c r="J57" s="1141"/>
      <c r="K57" s="3121">
        <v>1304038.1100000001</v>
      </c>
      <c r="L57" s="1155"/>
      <c r="M57" s="3121">
        <f t="shared" si="5"/>
        <v>4471947.2699999996</v>
      </c>
      <c r="N57" s="1155"/>
      <c r="O57" s="3248"/>
      <c r="P57" s="1155"/>
      <c r="Q57" s="3253">
        <v>115202.34</v>
      </c>
      <c r="R57" s="3127"/>
      <c r="S57" s="3253">
        <v>115202.34</v>
      </c>
      <c r="T57" s="1144"/>
      <c r="U57" s="1525"/>
      <c r="V57" s="1390"/>
      <c r="W57" s="1391"/>
    </row>
    <row r="58" spans="1:23" ht="13.5" customHeight="1">
      <c r="C58" s="3121"/>
      <c r="D58" s="1155"/>
      <c r="E58" s="2990"/>
      <c r="F58" s="3117"/>
      <c r="G58" s="3117"/>
      <c r="H58" s="1155"/>
      <c r="I58" s="3117"/>
      <c r="J58" s="1155"/>
      <c r="K58" s="3119"/>
      <c r="L58" s="1155"/>
      <c r="M58" s="1598"/>
      <c r="N58" s="1155"/>
      <c r="O58" s="3248"/>
      <c r="P58" s="1155"/>
      <c r="U58" s="1390"/>
      <c r="V58" s="1390"/>
      <c r="W58" s="1391"/>
    </row>
    <row r="59" spans="1:23" ht="15">
      <c r="A59" s="1140" t="s">
        <v>432</v>
      </c>
      <c r="C59" s="3121"/>
      <c r="D59" s="1155"/>
      <c r="E59" s="2991"/>
      <c r="F59" s="3117"/>
      <c r="G59" s="3117"/>
      <c r="H59" s="1155"/>
      <c r="I59" s="3117"/>
      <c r="J59" s="1155"/>
      <c r="K59" s="3119"/>
      <c r="L59" s="1155"/>
      <c r="M59" s="1598"/>
      <c r="N59" s="1155"/>
      <c r="O59" s="3248"/>
      <c r="P59" s="1155"/>
      <c r="Q59" s="3253"/>
      <c r="R59" s="3127"/>
      <c r="S59" s="3253"/>
      <c r="U59" s="1146"/>
      <c r="V59" s="1390"/>
      <c r="W59" s="1144"/>
    </row>
    <row r="60" spans="1:23" ht="15">
      <c r="A60" s="1140" t="s">
        <v>429</v>
      </c>
      <c r="C60" s="3121">
        <v>5846614.9800000004</v>
      </c>
      <c r="D60" s="1155"/>
      <c r="E60" s="2990">
        <v>0</v>
      </c>
      <c r="F60" s="3117"/>
      <c r="G60" s="2990">
        <v>0</v>
      </c>
      <c r="H60" s="1155"/>
      <c r="I60" s="2990">
        <v>1455964.57</v>
      </c>
      <c r="J60" s="1141"/>
      <c r="K60" s="3121">
        <v>1455964.57</v>
      </c>
      <c r="L60" s="1155"/>
      <c r="M60" s="3121">
        <f t="shared" ref="M60" si="6">ROUND(SUM(C60)-SUM(K60)+SUM(G60),2)</f>
        <v>4390650.41</v>
      </c>
      <c r="N60" s="1155"/>
      <c r="O60" s="3248"/>
      <c r="P60" s="1155"/>
      <c r="Q60" s="3251">
        <v>99373.06</v>
      </c>
      <c r="R60" s="3128"/>
      <c r="S60" s="3251">
        <v>99373.06</v>
      </c>
      <c r="T60" s="1144"/>
      <c r="U60" s="1525"/>
      <c r="V60" s="1390"/>
      <c r="W60" s="1391"/>
    </row>
    <row r="61" spans="1:23">
      <c r="A61" s="1140" t="s">
        <v>433</v>
      </c>
      <c r="C61" s="3121">
        <v>38669.769999999997</v>
      </c>
      <c r="D61" s="1155"/>
      <c r="E61" s="2990">
        <v>0</v>
      </c>
      <c r="F61" s="3117"/>
      <c r="G61" s="2990">
        <v>0</v>
      </c>
      <c r="H61" s="1155"/>
      <c r="I61" s="2990">
        <v>38669.769999999997</v>
      </c>
      <c r="J61" s="1141"/>
      <c r="K61" s="3121">
        <v>38669.769999999997</v>
      </c>
      <c r="L61" s="1155"/>
      <c r="M61" s="3121">
        <f>ROUND(SUM(C61)-SUM(K61)+SUM(G61),2)</f>
        <v>0</v>
      </c>
      <c r="N61" s="1155"/>
      <c r="O61" s="3248"/>
      <c r="P61" s="1155"/>
      <c r="Q61" s="3255">
        <v>996.4</v>
      </c>
      <c r="R61" s="1598"/>
      <c r="S61" s="3255">
        <v>996.4</v>
      </c>
      <c r="T61" s="1144"/>
      <c r="U61" s="3256"/>
      <c r="V61" s="1390"/>
      <c r="W61" s="1391"/>
    </row>
    <row r="62" spans="1:23">
      <c r="B62" s="1155"/>
      <c r="C62" s="3257"/>
      <c r="D62" s="1155"/>
      <c r="E62" s="2990"/>
      <c r="F62" s="3124"/>
      <c r="G62" s="3258"/>
      <c r="H62" s="1155"/>
      <c r="I62" s="3259"/>
      <c r="J62" s="1155"/>
      <c r="K62" s="3260"/>
      <c r="L62" s="1155"/>
      <c r="M62" s="3261"/>
      <c r="N62" s="1155"/>
      <c r="O62" s="3248"/>
      <c r="P62" s="1155"/>
      <c r="Q62" s="3259"/>
      <c r="R62" s="1155"/>
      <c r="S62" s="3259"/>
      <c r="T62" s="1150"/>
    </row>
    <row r="63" spans="1:23" ht="15" customHeight="1" thickBot="1">
      <c r="A63" s="1142" t="s">
        <v>434</v>
      </c>
      <c r="B63" s="3262"/>
      <c r="C63" s="3263">
        <f>ROUND(SUM(C16:C61),2)</f>
        <v>2727459999.46</v>
      </c>
      <c r="D63" s="3262"/>
      <c r="E63" s="3263">
        <f>ROUND(SUM(E16:E62),2)</f>
        <v>0</v>
      </c>
      <c r="F63" s="1141"/>
      <c r="G63" s="3263">
        <f>ROUND(SUM(G16:G61),2)</f>
        <v>0</v>
      </c>
      <c r="H63" s="3262"/>
      <c r="I63" s="3263">
        <f>ROUND(SUM(I16:I61),2)</f>
        <v>80545000</v>
      </c>
      <c r="J63" s="3262"/>
      <c r="K63" s="3263">
        <f>ROUND(SUM(K16:K61),2)</f>
        <v>80545000</v>
      </c>
      <c r="L63" s="3262"/>
      <c r="M63" s="3263">
        <f>ROUND(SUM(M16:M61),2)</f>
        <v>2646914999.46</v>
      </c>
      <c r="N63" s="3264"/>
      <c r="O63" s="3265"/>
      <c r="P63" s="3262"/>
      <c r="Q63" s="3263">
        <f>ROUND(SUM(Q16:Q61),2)</f>
        <v>7664728.7599999998</v>
      </c>
      <c r="R63" s="3262"/>
      <c r="S63" s="3263">
        <f>ROUND(SUM(S16:S61),2)</f>
        <v>7664728.7599999998</v>
      </c>
      <c r="T63" s="3266"/>
      <c r="U63" s="3267"/>
      <c r="V63" s="1528"/>
      <c r="W63" s="1528"/>
    </row>
    <row r="64" spans="1:23" ht="15" customHeight="1" thickTop="1">
      <c r="A64" s="3268"/>
      <c r="B64" s="3269"/>
      <c r="C64" s="3266"/>
      <c r="D64" s="3269"/>
      <c r="E64" s="3270"/>
      <c r="F64" s="3271"/>
      <c r="G64" s="3270"/>
      <c r="H64" s="3269"/>
      <c r="I64" s="3266"/>
      <c r="J64" s="3269"/>
      <c r="K64" s="3272"/>
      <c r="L64" s="3269"/>
      <c r="M64" s="1760"/>
      <c r="N64" s="1142"/>
      <c r="O64" s="1142"/>
      <c r="P64" s="3269"/>
      <c r="Q64" s="3272"/>
      <c r="R64" s="3269"/>
      <c r="S64" s="3266"/>
      <c r="U64" s="1529"/>
      <c r="V64" s="1529"/>
      <c r="W64" s="1529"/>
    </row>
    <row r="65" spans="1:20">
      <c r="A65" s="3273"/>
      <c r="B65" s="1150"/>
      <c r="C65" s="1150"/>
      <c r="D65" s="1530"/>
      <c r="E65" s="1150"/>
      <c r="F65" s="1530"/>
      <c r="H65" s="1155"/>
      <c r="I65" s="1140"/>
      <c r="J65" s="1155"/>
      <c r="K65" s="1140"/>
      <c r="L65" s="1155"/>
      <c r="N65" s="1150"/>
      <c r="P65" s="1392"/>
    </row>
    <row r="66" spans="1:20">
      <c r="A66" s="1392"/>
      <c r="C66" s="1150"/>
      <c r="D66" s="1531"/>
      <c r="E66" s="1530"/>
      <c r="F66" s="1531"/>
      <c r="G66" s="1150"/>
      <c r="H66" s="1390"/>
      <c r="I66" s="1155"/>
      <c r="J66" s="1390"/>
      <c r="K66" s="1155"/>
      <c r="L66" s="1391"/>
      <c r="O66" s="1150"/>
      <c r="P66" s="1391"/>
      <c r="R66" s="1144"/>
    </row>
    <row r="67" spans="1:20">
      <c r="A67" s="1156"/>
      <c r="E67" s="3274"/>
      <c r="G67" s="1154"/>
      <c r="I67" s="1146"/>
      <c r="K67" s="1146"/>
      <c r="Q67" s="1144"/>
      <c r="S67" s="1144"/>
      <c r="T67" s="1143"/>
    </row>
    <row r="68" spans="1:20">
      <c r="E68" s="1155"/>
      <c r="G68" s="1155"/>
      <c r="M68" s="1598"/>
      <c r="O68" s="1150"/>
      <c r="Q68" s="1392"/>
    </row>
    <row r="69" spans="1:20">
      <c r="C69" s="1144"/>
      <c r="E69" s="1145"/>
      <c r="G69" s="1145"/>
      <c r="I69" s="1146"/>
      <c r="K69" s="1146"/>
      <c r="M69" s="1147"/>
      <c r="O69" s="1150"/>
      <c r="Q69" s="1151"/>
      <c r="S69" s="1144"/>
    </row>
    <row r="70" spans="1:20">
      <c r="C70" s="1144"/>
      <c r="E70" s="1145"/>
      <c r="G70" s="1391"/>
      <c r="I70" s="1146"/>
      <c r="K70" s="1146"/>
      <c r="M70" s="1761"/>
      <c r="O70" s="1150"/>
      <c r="Q70" s="1391"/>
      <c r="S70" s="1144"/>
    </row>
    <row r="71" spans="1:20">
      <c r="C71" s="1144"/>
      <c r="E71" s="1145"/>
      <c r="G71" s="1389"/>
      <c r="I71" s="1146"/>
      <c r="K71" s="1146"/>
      <c r="M71" s="1598"/>
      <c r="O71" s="1150"/>
      <c r="Q71" s="1527"/>
      <c r="S71" s="1144"/>
    </row>
    <row r="72" spans="1:20">
      <c r="C72" s="1144"/>
      <c r="E72" s="1145"/>
      <c r="G72" s="1145"/>
      <c r="I72" s="1146"/>
      <c r="K72" s="1146"/>
      <c r="M72" s="1147"/>
      <c r="O72" s="1150"/>
      <c r="Q72" s="1151"/>
      <c r="S72" s="1144"/>
      <c r="T72" s="1143"/>
    </row>
    <row r="73" spans="1:20">
      <c r="C73" s="1144"/>
      <c r="E73" s="1145"/>
      <c r="G73" s="1145"/>
      <c r="I73" s="1146"/>
      <c r="K73" s="1146"/>
      <c r="M73" s="1147"/>
      <c r="O73" s="1150"/>
      <c r="Q73" s="1151"/>
      <c r="S73" s="1144"/>
    </row>
    <row r="74" spans="1:20">
      <c r="C74" s="1144"/>
      <c r="E74" s="1145"/>
      <c r="G74" s="1391"/>
      <c r="I74" s="1146"/>
      <c r="K74" s="1146"/>
      <c r="M74" s="1761"/>
      <c r="O74" s="1150"/>
      <c r="Q74" s="1391"/>
      <c r="S74" s="1144"/>
    </row>
    <row r="75" spans="1:20">
      <c r="C75" s="1144"/>
      <c r="E75" s="1145"/>
      <c r="G75" s="1389"/>
      <c r="I75" s="1146"/>
      <c r="K75" s="1146"/>
      <c r="M75" s="1598"/>
      <c r="O75" s="1150"/>
      <c r="Q75" s="1527"/>
      <c r="S75" s="1144"/>
    </row>
    <row r="76" spans="1:20">
      <c r="B76" s="1150"/>
      <c r="C76" s="1532"/>
      <c r="D76" s="1150"/>
      <c r="E76" s="1533"/>
      <c r="F76" s="1150"/>
      <c r="G76" s="1533"/>
      <c r="H76" s="1150"/>
      <c r="I76" s="1534"/>
      <c r="J76" s="1150"/>
      <c r="K76" s="1534"/>
      <c r="L76" s="1150"/>
      <c r="M76" s="1762"/>
      <c r="N76" s="1150"/>
      <c r="O76" s="1150"/>
      <c r="P76" s="1150"/>
      <c r="Q76" s="1535"/>
      <c r="R76" s="1150"/>
      <c r="S76" s="1532"/>
    </row>
    <row r="77" spans="1:20">
      <c r="A77" s="1150"/>
      <c r="B77" s="1150"/>
      <c r="C77" s="1149"/>
      <c r="D77" s="1148"/>
      <c r="E77" s="1536"/>
      <c r="F77" s="1148"/>
      <c r="G77" s="1536"/>
      <c r="H77" s="1148"/>
      <c r="I77" s="1152"/>
      <c r="J77" s="1148"/>
      <c r="K77" s="1152"/>
      <c r="L77" s="1148"/>
      <c r="M77" s="1763"/>
      <c r="N77" s="1148"/>
      <c r="O77" s="1148"/>
      <c r="P77" s="1148"/>
      <c r="Q77" s="1536"/>
      <c r="R77" s="1148"/>
      <c r="S77" s="1149"/>
    </row>
    <row r="78" spans="1:20">
      <c r="A78" s="1148"/>
      <c r="C78" s="1529"/>
      <c r="D78" s="1142"/>
      <c r="E78" s="1529"/>
      <c r="F78" s="1142"/>
      <c r="G78" s="1529"/>
      <c r="H78" s="1142"/>
      <c r="I78" s="1525"/>
      <c r="J78" s="1142"/>
      <c r="K78" s="1525"/>
      <c r="L78" s="1142"/>
      <c r="M78" s="1760"/>
      <c r="N78" s="1142"/>
      <c r="O78" s="1142"/>
      <c r="P78" s="1142"/>
      <c r="Q78" s="1529"/>
      <c r="R78" s="1142"/>
      <c r="S78" s="1529"/>
    </row>
    <row r="79" spans="1:20">
      <c r="A79" s="1142"/>
    </row>
    <row r="80" spans="1:20">
      <c r="C80" s="1392"/>
    </row>
    <row r="81" spans="3:13">
      <c r="C81" s="1156"/>
      <c r="E81" s="1530"/>
      <c r="F81" s="1150"/>
      <c r="G81" s="1530"/>
      <c r="H81" s="1150"/>
      <c r="I81" s="1153"/>
      <c r="J81" s="1150"/>
      <c r="K81" s="1153"/>
      <c r="L81" s="1150"/>
      <c r="M81" s="1764"/>
    </row>
    <row r="82" spans="3:13">
      <c r="E82" s="3124"/>
      <c r="G82" s="1393"/>
    </row>
    <row r="83" spans="3:13">
      <c r="E83" s="3275"/>
      <c r="G83" s="1154"/>
    </row>
  </sheetData>
  <customSheetViews>
    <customSheetView guid="{8EE6466D-211E-4E05-9F84-CC0A1C6F79F4}" scale="80" showGridLines="0" fitToPage="1">
      <selection activeCell="K29" sqref="K29"/>
      <rowBreaks count="1" manualBreakCount="1">
        <brk id="2" max="21" man="1"/>
      </rowBreaks>
      <colBreaks count="1" manualBreakCount="1">
        <brk id="17" max="65" man="1"/>
      </colBreaks>
      <pageMargins left="0.5" right="0.4" top="0" bottom="0" header="0.31" footer="0.25"/>
      <printOptions horizontalCentered="1" verticalCentered="1"/>
      <pageSetup scale="58" orientation="landscape" r:id="rId1"/>
      <headerFooter scaleWithDoc="0" alignWithMargins="0">
        <oddFooter>&amp;C&amp;8 44</oddFooter>
      </headerFooter>
    </customSheetView>
  </customSheetViews>
  <printOptions horizontalCentered="1" verticalCentered="1"/>
  <pageMargins left="0.5" right="0.4" top="0" bottom="0" header="0.31" footer="0.25"/>
  <pageSetup scale="55" firstPageNumber="44" orientation="landscape" useFirstPageNumber="1" r:id="rId2"/>
  <headerFooter scaleWithDoc="0" alignWithMargins="0">
    <oddFooter>&amp;C&amp;8&amp;P</oddFooter>
  </headerFooter>
  <rowBreaks count="1" manualBreakCount="1">
    <brk id="2" max="21" man="1"/>
  </rowBreaks>
  <colBreaks count="1" manualBreakCount="1">
    <brk id="17" min="2" max="6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Y66"/>
  <sheetViews>
    <sheetView zoomScale="70" zoomScaleNormal="70" workbookViewId="0"/>
  </sheetViews>
  <sheetFormatPr defaultColWidth="8.90625" defaultRowHeight="13.2"/>
  <cols>
    <col min="1" max="1" width="3.81640625" style="3276" customWidth="1"/>
    <col min="2" max="2" width="43.90625" style="3276" customWidth="1"/>
    <col min="3" max="3" width="2.08984375" style="3276" customWidth="1"/>
    <col min="4" max="4" width="13.81640625" style="3276" customWidth="1"/>
    <col min="5" max="5" width="2.08984375" style="3276" customWidth="1"/>
    <col min="6" max="6" width="24" style="3276" bestFit="1" customWidth="1"/>
    <col min="7" max="7" width="2.08984375" style="3276" customWidth="1"/>
    <col min="8" max="8" width="20.36328125" style="3276" customWidth="1"/>
    <col min="9" max="9" width="2.08984375" style="3276" customWidth="1"/>
    <col min="10" max="10" width="17.90625" style="3276" bestFit="1" customWidth="1"/>
    <col min="11" max="11" width="2.08984375" style="3276" customWidth="1"/>
    <col min="12" max="12" width="17.90625" style="3276" bestFit="1" customWidth="1"/>
    <col min="13" max="13" width="2.08984375" style="3276" customWidth="1"/>
    <col min="14" max="14" width="19.90625" style="3276" bestFit="1" customWidth="1"/>
    <col min="15" max="15" width="2.08984375" style="3276" customWidth="1"/>
    <col min="16" max="16" width="18.453125" style="3276" bestFit="1" customWidth="1"/>
    <col min="17" max="17" width="2.08984375" style="3276" customWidth="1"/>
    <col min="18" max="18" width="19.6328125" style="3276" customWidth="1"/>
    <col min="19" max="19" width="2.08984375" style="3276" customWidth="1"/>
    <col min="20" max="20" width="19.90625" style="3276" bestFit="1" customWidth="1"/>
    <col min="21" max="21" width="2.08984375" style="3276" customWidth="1"/>
    <col min="22" max="22" width="20.90625" style="3276" bestFit="1" customWidth="1"/>
    <col min="23" max="23" width="17.08984375" style="3276" customWidth="1"/>
    <col min="24" max="24" width="18.54296875" style="3276" customWidth="1"/>
    <col min="25" max="25" width="35.36328125" style="3276" bestFit="1" customWidth="1"/>
    <col min="26" max="16384" width="8.90625" style="3276"/>
  </cols>
  <sheetData>
    <row r="1" spans="1:23" ht="15">
      <c r="B1" s="1172" t="s">
        <v>1103</v>
      </c>
    </row>
    <row r="2" spans="1:23" ht="16.2">
      <c r="B2" s="1394"/>
      <c r="C2" s="1394"/>
      <c r="D2" s="1394"/>
      <c r="E2" s="1394"/>
      <c r="F2" s="1394"/>
      <c r="G2" s="1394"/>
      <c r="H2" s="1394"/>
      <c r="I2" s="1394"/>
      <c r="J2" s="1394"/>
      <c r="K2" s="1394"/>
      <c r="L2" s="1394"/>
      <c r="M2" s="1394"/>
      <c r="N2" s="1394"/>
      <c r="O2" s="1394"/>
      <c r="P2" s="1394"/>
      <c r="Q2" s="1394"/>
      <c r="R2" s="1394"/>
      <c r="S2" s="1394"/>
      <c r="T2" s="1394"/>
      <c r="U2" s="1394"/>
      <c r="V2" s="1394"/>
      <c r="W2" s="1415"/>
    </row>
    <row r="3" spans="1:23" ht="17.399999999999999">
      <c r="A3" s="3277"/>
      <c r="B3" s="1139" t="s">
        <v>0</v>
      </c>
      <c r="C3" s="1395"/>
      <c r="D3" s="1395"/>
      <c r="E3" s="1395"/>
      <c r="F3" s="1394"/>
      <c r="G3" s="1394"/>
      <c r="H3" s="1394"/>
      <c r="I3" s="1394"/>
      <c r="J3" s="1394"/>
      <c r="K3" s="1394"/>
      <c r="L3" s="1394"/>
      <c r="M3" s="1394"/>
      <c r="N3" s="1394"/>
      <c r="O3" s="1394"/>
      <c r="P3" s="1394"/>
      <c r="Q3" s="1394"/>
      <c r="R3" s="1394"/>
      <c r="S3" s="1394"/>
      <c r="T3" s="1394"/>
      <c r="U3" s="1394"/>
      <c r="V3" s="1607" t="s">
        <v>435</v>
      </c>
      <c r="W3" s="1416"/>
    </row>
    <row r="4" spans="1:23" ht="17.399999999999999">
      <c r="A4" s="3277"/>
      <c r="B4" s="1139" t="s">
        <v>436</v>
      </c>
      <c r="C4" s="1395"/>
      <c r="D4" s="1395"/>
      <c r="E4" s="1395"/>
      <c r="F4" s="1394"/>
      <c r="G4" s="1394"/>
      <c r="H4" s="1394"/>
      <c r="I4" s="1394"/>
      <c r="J4" s="1394"/>
      <c r="K4" s="1394"/>
      <c r="L4" s="1394"/>
      <c r="M4" s="1394"/>
      <c r="N4" s="1394"/>
      <c r="O4" s="1394"/>
      <c r="P4" s="1394"/>
      <c r="Q4" s="1394"/>
      <c r="R4" s="1394"/>
      <c r="S4" s="1394"/>
      <c r="T4" s="1394"/>
      <c r="U4" s="1394"/>
      <c r="V4" s="1537"/>
      <c r="W4" s="1415"/>
    </row>
    <row r="5" spans="1:23" ht="17.399999999999999">
      <c r="A5" s="3277"/>
      <c r="B5" s="1139" t="s">
        <v>437</v>
      </c>
      <c r="C5" s="1395"/>
      <c r="D5" s="1395"/>
      <c r="E5" s="1395"/>
      <c r="F5" s="1394"/>
      <c r="G5" s="1394"/>
      <c r="H5" s="1394"/>
      <c r="I5" s="1394"/>
      <c r="J5" s="1394"/>
      <c r="K5" s="1394"/>
      <c r="L5" s="1394"/>
      <c r="M5" s="1394"/>
      <c r="N5" s="1394"/>
      <c r="O5" s="1394"/>
      <c r="P5" s="1394"/>
      <c r="Q5" s="1394"/>
      <c r="R5" s="1394"/>
      <c r="S5" s="1394"/>
      <c r="T5" s="1394"/>
      <c r="U5" s="1394"/>
      <c r="V5" s="1394"/>
      <c r="W5" s="1415"/>
    </row>
    <row r="6" spans="1:23" ht="17.399999999999999">
      <c r="A6" s="3277"/>
      <c r="B6" s="1603" t="s">
        <v>1463</v>
      </c>
      <c r="C6" s="1538"/>
      <c r="D6" s="1395"/>
      <c r="E6" s="1395"/>
      <c r="F6" s="1394"/>
      <c r="G6" s="1394"/>
      <c r="H6" s="1394"/>
      <c r="I6" s="1394"/>
      <c r="J6" s="1394"/>
      <c r="K6" s="1394"/>
      <c r="L6" s="1394"/>
      <c r="M6" s="1394"/>
      <c r="N6" s="1394"/>
      <c r="O6" s="1394"/>
      <c r="P6" s="1394"/>
      <c r="Q6" s="1394"/>
      <c r="R6" s="1394"/>
      <c r="S6" s="1394"/>
      <c r="T6" s="1394"/>
      <c r="U6" s="1394"/>
      <c r="V6" s="1394"/>
      <c r="W6" s="1415"/>
    </row>
    <row r="7" spans="1:23" ht="16.2">
      <c r="A7" s="3277"/>
      <c r="B7" s="1396"/>
      <c r="C7" s="1396"/>
      <c r="D7" s="1395"/>
      <c r="E7" s="1395"/>
      <c r="F7" s="1394"/>
      <c r="G7" s="1394"/>
      <c r="H7" s="1394"/>
      <c r="I7" s="1394"/>
      <c r="J7" s="1394"/>
      <c r="K7" s="1394"/>
      <c r="L7" s="1394"/>
      <c r="M7" s="1394"/>
      <c r="N7" s="1394"/>
      <c r="O7" s="1394"/>
      <c r="P7" s="1394"/>
      <c r="Q7" s="1394"/>
      <c r="R7" s="1394"/>
      <c r="S7" s="1394"/>
      <c r="T7" s="1394"/>
      <c r="U7" s="1394"/>
      <c r="V7" s="1394"/>
      <c r="W7" s="1415"/>
    </row>
    <row r="8" spans="1:23" ht="5.25" customHeight="1">
      <c r="B8" s="1539"/>
      <c r="C8" s="1539"/>
      <c r="D8" s="1394"/>
      <c r="E8" s="1394"/>
      <c r="F8" s="1394"/>
      <c r="G8" s="1394"/>
      <c r="H8" s="1394"/>
      <c r="I8" s="1394"/>
      <c r="J8" s="1394"/>
      <c r="K8" s="1394"/>
      <c r="L8" s="1394"/>
      <c r="M8" s="1394"/>
      <c r="N8" s="1394"/>
      <c r="O8" s="1394"/>
      <c r="P8" s="1394"/>
      <c r="Q8" s="1394"/>
      <c r="R8" s="1394"/>
      <c r="S8" s="1394"/>
      <c r="T8" s="1394"/>
      <c r="U8" s="1394"/>
      <c r="V8" s="1394"/>
      <c r="W8" s="1415"/>
    </row>
    <row r="9" spans="1:23" ht="16.2">
      <c r="B9" s="1394"/>
      <c r="C9" s="1394"/>
      <c r="D9" s="1540" t="s">
        <v>126</v>
      </c>
      <c r="E9" s="1540"/>
      <c r="F9" s="1540"/>
      <c r="G9" s="1540"/>
      <c r="H9" s="1540"/>
      <c r="I9" s="1540"/>
      <c r="J9" s="1540" t="s">
        <v>438</v>
      </c>
      <c r="K9" s="1540"/>
      <c r="L9" s="1540"/>
      <c r="M9" s="1540"/>
      <c r="N9" s="1540"/>
      <c r="O9" s="1540"/>
      <c r="P9" s="1540"/>
      <c r="Q9" s="1540"/>
      <c r="R9" s="1394"/>
      <c r="S9" s="1394"/>
      <c r="T9" s="1394"/>
      <c r="U9" s="1394"/>
      <c r="V9" s="1394"/>
      <c r="W9" s="1415"/>
    </row>
    <row r="10" spans="1:23" ht="16.2">
      <c r="B10" s="1394"/>
      <c r="C10" s="1394"/>
      <c r="D10" s="1397" t="s">
        <v>439</v>
      </c>
      <c r="E10" s="1397"/>
      <c r="F10" s="1397" t="s">
        <v>108</v>
      </c>
      <c r="G10" s="1397"/>
      <c r="H10" s="1397" t="s">
        <v>440</v>
      </c>
      <c r="I10" s="1397"/>
      <c r="J10" s="1397" t="s">
        <v>441</v>
      </c>
      <c r="K10" s="1397"/>
      <c r="L10" s="1397" t="s">
        <v>442</v>
      </c>
      <c r="M10" s="1397"/>
      <c r="N10" s="1397" t="s">
        <v>11</v>
      </c>
      <c r="O10" s="1397"/>
      <c r="P10" s="1397" t="s">
        <v>1010</v>
      </c>
      <c r="Q10" s="1397"/>
      <c r="R10" s="1394"/>
      <c r="S10" s="1394"/>
      <c r="T10" s="1394"/>
      <c r="U10" s="1394"/>
      <c r="V10" s="1394"/>
      <c r="W10" s="1415"/>
    </row>
    <row r="11" spans="1:23" ht="16.2">
      <c r="B11" s="1394"/>
      <c r="C11" s="1394"/>
      <c r="D11" s="1397" t="s">
        <v>443</v>
      </c>
      <c r="E11" s="1397"/>
      <c r="F11" s="1397" t="s">
        <v>126</v>
      </c>
      <c r="G11" s="1397"/>
      <c r="H11" s="1397" t="s">
        <v>444</v>
      </c>
      <c r="I11" s="1397"/>
      <c r="J11" s="1397" t="s">
        <v>445</v>
      </c>
      <c r="K11" s="1397"/>
      <c r="L11" s="1397" t="s">
        <v>446</v>
      </c>
      <c r="M11" s="1397"/>
      <c r="N11" s="1398" t="s">
        <v>447</v>
      </c>
      <c r="O11" s="1397"/>
      <c r="P11" s="1397" t="s">
        <v>1011</v>
      </c>
      <c r="Q11" s="1397"/>
      <c r="R11" s="1541" t="s">
        <v>448</v>
      </c>
      <c r="S11" s="1541"/>
      <c r="T11" s="1541"/>
      <c r="U11" s="1541"/>
      <c r="V11" s="1394"/>
      <c r="W11" s="1415"/>
    </row>
    <row r="12" spans="1:23" ht="16.2">
      <c r="B12" s="1394"/>
      <c r="C12" s="1394"/>
      <c r="D12" s="1397" t="s">
        <v>10</v>
      </c>
      <c r="E12" s="1397"/>
      <c r="F12" s="1397" t="s">
        <v>12</v>
      </c>
      <c r="G12" s="1397"/>
      <c r="H12" s="1397" t="s">
        <v>449</v>
      </c>
      <c r="I12" s="1397"/>
      <c r="J12" s="1397" t="s">
        <v>450</v>
      </c>
      <c r="K12" s="1397"/>
      <c r="L12" s="1397" t="s">
        <v>451</v>
      </c>
      <c r="M12" s="1397"/>
      <c r="N12" s="1398" t="s">
        <v>450</v>
      </c>
      <c r="O12" s="1398"/>
      <c r="P12" s="1397" t="s">
        <v>450</v>
      </c>
      <c r="Q12" s="1397"/>
      <c r="R12" s="1400" t="s">
        <v>1533</v>
      </c>
      <c r="S12" s="1400"/>
      <c r="T12" s="1400"/>
      <c r="U12" s="1399"/>
      <c r="V12" s="1540" t="s">
        <v>1012</v>
      </c>
      <c r="W12" s="1417"/>
    </row>
    <row r="13" spans="1:23" ht="16.2">
      <c r="A13" s="3278"/>
      <c r="B13" s="1401" t="s">
        <v>459</v>
      </c>
      <c r="C13" s="1406"/>
      <c r="D13" s="1402" t="s">
        <v>452</v>
      </c>
      <c r="E13" s="1417"/>
      <c r="F13" s="1402" t="s">
        <v>453</v>
      </c>
      <c r="G13" s="1417"/>
      <c r="H13" s="1403" t="s">
        <v>454</v>
      </c>
      <c r="I13" s="1417"/>
      <c r="J13" s="1403" t="s">
        <v>455</v>
      </c>
      <c r="K13" s="1417"/>
      <c r="L13" s="1403" t="s">
        <v>456</v>
      </c>
      <c r="M13" s="1417"/>
      <c r="N13" s="1404" t="s">
        <v>457</v>
      </c>
      <c r="O13" s="1417"/>
      <c r="P13" s="1404" t="s">
        <v>1013</v>
      </c>
      <c r="Q13" s="1417"/>
      <c r="R13" s="3279">
        <v>2016</v>
      </c>
      <c r="S13" s="3279"/>
      <c r="T13" s="3279">
        <v>2015</v>
      </c>
      <c r="U13" s="1417"/>
      <c r="V13" s="1405" t="s">
        <v>458</v>
      </c>
      <c r="W13" s="1417"/>
    </row>
    <row r="14" spans="1:23" ht="16.2">
      <c r="B14" s="1406" t="s">
        <v>460</v>
      </c>
      <c r="C14" s="1406"/>
      <c r="D14" s="1542"/>
      <c r="E14" s="1542"/>
      <c r="F14" s="1543"/>
      <c r="G14" s="1543"/>
      <c r="H14" s="1544"/>
      <c r="I14" s="1544"/>
      <c r="J14" s="1544"/>
      <c r="K14" s="1544"/>
      <c r="L14" s="1544"/>
      <c r="M14" s="1544"/>
      <c r="N14" s="1542"/>
      <c r="O14" s="1542"/>
      <c r="P14" s="1542"/>
      <c r="Q14" s="1542"/>
      <c r="R14" s="1544"/>
      <c r="S14" s="1544"/>
      <c r="T14" s="1545"/>
      <c r="U14" s="1545"/>
      <c r="V14" s="1546"/>
      <c r="W14" s="1415"/>
    </row>
    <row r="15" spans="1:23" ht="15" customHeight="1">
      <c r="A15" s="3280"/>
      <c r="B15" s="1547" t="s">
        <v>460</v>
      </c>
      <c r="C15" s="1547"/>
      <c r="D15" s="1548"/>
      <c r="E15" s="1548"/>
      <c r="F15" s="1549"/>
      <c r="G15" s="1549"/>
      <c r="H15" s="1548"/>
      <c r="I15" s="1548"/>
      <c r="J15" s="1548"/>
      <c r="K15" s="1548"/>
      <c r="L15" s="1548"/>
      <c r="M15" s="1548"/>
      <c r="N15" s="1548"/>
      <c r="O15" s="1548"/>
      <c r="P15" s="1548"/>
      <c r="Q15" s="1548"/>
      <c r="R15" s="1550"/>
      <c r="S15" s="1550"/>
      <c r="T15" s="1551"/>
      <c r="U15" s="1551"/>
      <c r="V15" s="1394"/>
      <c r="W15" s="1415"/>
    </row>
    <row r="16" spans="1:23" ht="15" customHeight="1">
      <c r="A16" s="3280"/>
      <c r="B16" s="1539" t="s">
        <v>461</v>
      </c>
      <c r="C16" s="1539"/>
      <c r="D16" s="1418">
        <v>0</v>
      </c>
      <c r="E16" s="1418"/>
      <c r="F16" s="1418">
        <v>7738</v>
      </c>
      <c r="G16" s="1407"/>
      <c r="H16" s="1418">
        <v>0</v>
      </c>
      <c r="I16" s="1407"/>
      <c r="J16" s="1418">
        <v>0</v>
      </c>
      <c r="K16" s="1407"/>
      <c r="L16" s="1418">
        <v>0</v>
      </c>
      <c r="M16" s="1407"/>
      <c r="N16" s="1418">
        <v>0</v>
      </c>
      <c r="O16" s="1407"/>
      <c r="P16" s="1418">
        <v>0</v>
      </c>
      <c r="Q16" s="1407"/>
      <c r="R16" s="1418">
        <f>ROUND(SUM(D16:Q16),0)</f>
        <v>7738</v>
      </c>
      <c r="S16" s="1418"/>
      <c r="T16" s="2828">
        <v>0</v>
      </c>
      <c r="U16" s="1407"/>
      <c r="V16" s="1551">
        <f>ROUND(R16-T16,0)</f>
        <v>7738</v>
      </c>
      <c r="W16" s="1418"/>
    </row>
    <row r="17" spans="1:23" ht="15" customHeight="1">
      <c r="A17" s="3280"/>
      <c r="B17" s="1394" t="s">
        <v>462</v>
      </c>
      <c r="C17" s="1394"/>
      <c r="D17" s="1408"/>
      <c r="E17" s="1408"/>
      <c r="F17" s="1408"/>
      <c r="G17" s="1408"/>
      <c r="H17" s="1408"/>
      <c r="I17" s="1408"/>
      <c r="J17" s="1408"/>
      <c r="K17" s="1407"/>
      <c r="L17" s="1408"/>
      <c r="M17" s="1409"/>
      <c r="N17" s="1408"/>
      <c r="O17" s="1409"/>
      <c r="P17" s="1408"/>
      <c r="Q17" s="1409"/>
      <c r="R17" s="1409"/>
      <c r="S17" s="1409"/>
      <c r="T17" s="2829"/>
      <c r="U17" s="1409"/>
      <c r="V17" s="1552"/>
      <c r="W17" s="1419"/>
    </row>
    <row r="18" spans="1:23" ht="15" customHeight="1">
      <c r="A18" s="3280"/>
      <c r="B18" s="1394" t="s">
        <v>463</v>
      </c>
      <c r="C18" s="1394"/>
      <c r="D18" s="1408">
        <v>0</v>
      </c>
      <c r="E18" s="1408">
        <v>0</v>
      </c>
      <c r="F18" s="1408">
        <v>0</v>
      </c>
      <c r="G18" s="1408">
        <v>0</v>
      </c>
      <c r="H18" s="1408">
        <v>0</v>
      </c>
      <c r="I18" s="1408">
        <v>0</v>
      </c>
      <c r="J18" s="1408">
        <v>0</v>
      </c>
      <c r="K18" s="1408">
        <v>0</v>
      </c>
      <c r="L18" s="1408">
        <v>0</v>
      </c>
      <c r="M18" s="1408">
        <v>0</v>
      </c>
      <c r="N18" s="1408">
        <v>0</v>
      </c>
      <c r="O18" s="1408">
        <v>0</v>
      </c>
      <c r="P18" s="1408">
        <v>0</v>
      </c>
      <c r="Q18" s="1408">
        <v>0</v>
      </c>
      <c r="R18" s="1409">
        <f>ROUND(SUM(D18:Q18),0)</f>
        <v>0</v>
      </c>
      <c r="S18" s="1409"/>
      <c r="T18" s="2829">
        <v>0</v>
      </c>
      <c r="U18" s="1410"/>
      <c r="V18" s="1410">
        <f>SUM(R18-T18,0)</f>
        <v>0</v>
      </c>
      <c r="W18" s="1411"/>
    </row>
    <row r="19" spans="1:23" ht="15" customHeight="1">
      <c r="A19" s="3280"/>
      <c r="B19" s="1394" t="s">
        <v>1444</v>
      </c>
      <c r="C19" s="1394"/>
      <c r="D19" s="1408">
        <v>0</v>
      </c>
      <c r="E19" s="1408">
        <v>0</v>
      </c>
      <c r="F19" s="1408">
        <v>0</v>
      </c>
      <c r="G19" s="1408">
        <v>0</v>
      </c>
      <c r="H19" s="1408">
        <v>0</v>
      </c>
      <c r="I19" s="1408">
        <v>0</v>
      </c>
      <c r="J19" s="1408">
        <v>0</v>
      </c>
      <c r="K19" s="1408">
        <v>0</v>
      </c>
      <c r="L19" s="1408">
        <v>0</v>
      </c>
      <c r="M19" s="1408">
        <v>0</v>
      </c>
      <c r="N19" s="1408">
        <v>0</v>
      </c>
      <c r="O19" s="1408">
        <v>0</v>
      </c>
      <c r="P19" s="1408">
        <v>0</v>
      </c>
      <c r="Q19" s="1408">
        <v>0</v>
      </c>
      <c r="R19" s="1409">
        <f t="shared" ref="R19:R37" si="0">ROUND(SUM(D19:Q19),0)</f>
        <v>0</v>
      </c>
      <c r="S19" s="1409"/>
      <c r="T19" s="2829">
        <v>0</v>
      </c>
      <c r="U19" s="1410"/>
      <c r="V19" s="1410">
        <f t="shared" ref="V19:V37" si="1">SUM(R19-T19,0)</f>
        <v>0</v>
      </c>
      <c r="W19" s="1411"/>
    </row>
    <row r="20" spans="1:23" ht="15" customHeight="1">
      <c r="A20" s="3280"/>
      <c r="B20" s="1394" t="s">
        <v>1445</v>
      </c>
      <c r="C20" s="1394"/>
      <c r="D20" s="1408">
        <v>0</v>
      </c>
      <c r="E20" s="1408">
        <v>0</v>
      </c>
      <c r="F20" s="1408">
        <v>0</v>
      </c>
      <c r="G20" s="1408">
        <v>0</v>
      </c>
      <c r="H20" s="1408">
        <v>0</v>
      </c>
      <c r="I20" s="1408">
        <v>0</v>
      </c>
      <c r="J20" s="1408">
        <v>0</v>
      </c>
      <c r="K20" s="1408">
        <v>0</v>
      </c>
      <c r="L20" s="1408">
        <v>0</v>
      </c>
      <c r="M20" s="1408">
        <v>0</v>
      </c>
      <c r="N20" s="1408">
        <v>0</v>
      </c>
      <c r="O20" s="1408">
        <v>0</v>
      </c>
      <c r="P20" s="1408">
        <v>0</v>
      </c>
      <c r="Q20" s="1408">
        <v>0</v>
      </c>
      <c r="R20" s="1409">
        <f t="shared" si="0"/>
        <v>0</v>
      </c>
      <c r="S20" s="1409"/>
      <c r="T20" s="2829">
        <v>0</v>
      </c>
      <c r="U20" s="1410"/>
      <c r="V20" s="1410">
        <f t="shared" si="1"/>
        <v>0</v>
      </c>
      <c r="W20" s="1411"/>
    </row>
    <row r="21" spans="1:23" ht="15" customHeight="1">
      <c r="A21" s="3280"/>
      <c r="B21" s="1394" t="s">
        <v>1093</v>
      </c>
      <c r="C21" s="1394"/>
      <c r="D21" s="1408">
        <v>0</v>
      </c>
      <c r="E21" s="1408">
        <v>0</v>
      </c>
      <c r="F21" s="1408">
        <v>0</v>
      </c>
      <c r="G21" s="1408">
        <v>0</v>
      </c>
      <c r="H21" s="1408">
        <v>0</v>
      </c>
      <c r="I21" s="1408">
        <v>0</v>
      </c>
      <c r="J21" s="1408">
        <v>0</v>
      </c>
      <c r="K21" s="1408">
        <v>0</v>
      </c>
      <c r="L21" s="1408">
        <v>0</v>
      </c>
      <c r="M21" s="1408">
        <v>0</v>
      </c>
      <c r="N21" s="1408">
        <v>0</v>
      </c>
      <c r="O21" s="1408">
        <v>0</v>
      </c>
      <c r="P21" s="1408">
        <v>0</v>
      </c>
      <c r="Q21" s="1408">
        <v>0</v>
      </c>
      <c r="R21" s="1409">
        <f t="shared" si="0"/>
        <v>0</v>
      </c>
      <c r="S21" s="1409"/>
      <c r="T21" s="2829">
        <v>0</v>
      </c>
      <c r="U21" s="1410"/>
      <c r="V21" s="1410">
        <f t="shared" si="1"/>
        <v>0</v>
      </c>
      <c r="W21" s="1411"/>
    </row>
    <row r="22" spans="1:23" ht="15" customHeight="1">
      <c r="A22" s="3280"/>
      <c r="B22" s="1394" t="s">
        <v>464</v>
      </c>
      <c r="C22" s="1394"/>
      <c r="D22" s="1408">
        <v>0</v>
      </c>
      <c r="E22" s="1408">
        <v>0</v>
      </c>
      <c r="F22" s="1408">
        <v>0</v>
      </c>
      <c r="G22" s="1408">
        <v>0</v>
      </c>
      <c r="H22" s="1408">
        <v>0</v>
      </c>
      <c r="I22" s="1408">
        <v>0</v>
      </c>
      <c r="J22" s="1408">
        <v>0</v>
      </c>
      <c r="K22" s="1408">
        <v>0</v>
      </c>
      <c r="L22" s="1408">
        <v>0</v>
      </c>
      <c r="M22" s="1408">
        <v>0</v>
      </c>
      <c r="N22" s="1408">
        <v>0</v>
      </c>
      <c r="O22" s="1408">
        <v>0</v>
      </c>
      <c r="P22" s="1408">
        <v>0</v>
      </c>
      <c r="Q22" s="1408">
        <v>0</v>
      </c>
      <c r="R22" s="1409">
        <f>ROUND(SUM(D22:Q22),0)</f>
        <v>0</v>
      </c>
      <c r="S22" s="1409"/>
      <c r="T22" s="2829">
        <v>0</v>
      </c>
      <c r="U22" s="1410"/>
      <c r="V22" s="1410">
        <f t="shared" si="1"/>
        <v>0</v>
      </c>
      <c r="W22" s="1411"/>
    </row>
    <row r="23" spans="1:23" ht="15" customHeight="1">
      <c r="A23" s="3280"/>
      <c r="B23" s="1394" t="s">
        <v>465</v>
      </c>
      <c r="C23" s="1394"/>
      <c r="D23" s="1408">
        <v>0</v>
      </c>
      <c r="E23" s="1408">
        <v>0</v>
      </c>
      <c r="F23" s="1408">
        <v>0</v>
      </c>
      <c r="G23" s="1408">
        <v>0</v>
      </c>
      <c r="H23" s="1408">
        <v>0</v>
      </c>
      <c r="I23" s="1408">
        <v>0</v>
      </c>
      <c r="J23" s="1408">
        <v>0</v>
      </c>
      <c r="K23" s="1408">
        <v>0</v>
      </c>
      <c r="L23" s="1408">
        <v>0</v>
      </c>
      <c r="M23" s="1408">
        <v>0</v>
      </c>
      <c r="N23" s="1408">
        <v>0</v>
      </c>
      <c r="O23" s="1408">
        <v>0</v>
      </c>
      <c r="P23" s="1408">
        <v>0</v>
      </c>
      <c r="Q23" s="1408">
        <v>0</v>
      </c>
      <c r="R23" s="1409">
        <f t="shared" si="0"/>
        <v>0</v>
      </c>
      <c r="S23" s="1409"/>
      <c r="T23" s="2829">
        <v>0</v>
      </c>
      <c r="U23" s="1410"/>
      <c r="V23" s="1410">
        <f t="shared" si="1"/>
        <v>0</v>
      </c>
      <c r="W23" s="1411"/>
    </row>
    <row r="24" spans="1:23" ht="15" customHeight="1">
      <c r="A24" s="3280"/>
      <c r="B24" s="1394" t="s">
        <v>466</v>
      </c>
      <c r="C24" s="1394"/>
      <c r="D24" s="1408">
        <v>0</v>
      </c>
      <c r="E24" s="1408">
        <v>0</v>
      </c>
      <c r="F24" s="1408">
        <v>0</v>
      </c>
      <c r="G24" s="1408">
        <v>0</v>
      </c>
      <c r="H24" s="1408">
        <v>0</v>
      </c>
      <c r="I24" s="1408">
        <v>0</v>
      </c>
      <c r="J24" s="1408">
        <v>0</v>
      </c>
      <c r="K24" s="1408">
        <v>0</v>
      </c>
      <c r="L24" s="1408">
        <v>0</v>
      </c>
      <c r="M24" s="1408">
        <v>0</v>
      </c>
      <c r="N24" s="1408">
        <v>0</v>
      </c>
      <c r="O24" s="1408">
        <v>0</v>
      </c>
      <c r="P24" s="1408">
        <v>0</v>
      </c>
      <c r="Q24" s="1408">
        <v>0</v>
      </c>
      <c r="R24" s="1409">
        <f t="shared" si="0"/>
        <v>0</v>
      </c>
      <c r="S24" s="1409"/>
      <c r="T24" s="2829">
        <v>0</v>
      </c>
      <c r="U24" s="1410"/>
      <c r="V24" s="1410">
        <f t="shared" si="1"/>
        <v>0</v>
      </c>
      <c r="W24" s="1411"/>
    </row>
    <row r="25" spans="1:23" ht="15" customHeight="1">
      <c r="A25" s="3280"/>
      <c r="B25" s="1394" t="s">
        <v>467</v>
      </c>
      <c r="C25" s="1394"/>
      <c r="D25" s="1408">
        <v>0</v>
      </c>
      <c r="E25" s="1408">
        <v>0</v>
      </c>
      <c r="F25" s="1408">
        <v>0</v>
      </c>
      <c r="G25" s="1408">
        <v>0</v>
      </c>
      <c r="H25" s="1408">
        <v>0</v>
      </c>
      <c r="I25" s="1408">
        <v>0</v>
      </c>
      <c r="J25" s="1408">
        <v>0</v>
      </c>
      <c r="K25" s="1408">
        <v>0</v>
      </c>
      <c r="L25" s="1408">
        <v>0</v>
      </c>
      <c r="M25" s="1408">
        <v>0</v>
      </c>
      <c r="N25" s="1408">
        <v>0</v>
      </c>
      <c r="O25" s="1408">
        <v>0</v>
      </c>
      <c r="P25" s="1408">
        <v>0</v>
      </c>
      <c r="Q25" s="1408">
        <v>0</v>
      </c>
      <c r="R25" s="1409">
        <f t="shared" si="0"/>
        <v>0</v>
      </c>
      <c r="S25" s="1409"/>
      <c r="T25" s="2829">
        <v>0</v>
      </c>
      <c r="U25" s="1410"/>
      <c r="V25" s="1410">
        <f t="shared" si="1"/>
        <v>0</v>
      </c>
      <c r="W25" s="1411"/>
    </row>
    <row r="26" spans="1:23" ht="15" customHeight="1">
      <c r="A26" s="3280"/>
      <c r="B26" s="1394" t="s">
        <v>468</v>
      </c>
      <c r="C26" s="1394"/>
      <c r="D26" s="1408">
        <v>0</v>
      </c>
      <c r="E26" s="1408">
        <v>0</v>
      </c>
      <c r="F26" s="1408">
        <v>0</v>
      </c>
      <c r="G26" s="1408">
        <v>0</v>
      </c>
      <c r="H26" s="1408">
        <v>0</v>
      </c>
      <c r="I26" s="1408">
        <v>0</v>
      </c>
      <c r="J26" s="1408">
        <v>0</v>
      </c>
      <c r="K26" s="1408">
        <v>0</v>
      </c>
      <c r="L26" s="1408">
        <v>0</v>
      </c>
      <c r="M26" s="1408">
        <v>0</v>
      </c>
      <c r="N26" s="1408">
        <v>0</v>
      </c>
      <c r="O26" s="1408">
        <v>0</v>
      </c>
      <c r="P26" s="1408">
        <v>0</v>
      </c>
      <c r="Q26" s="1408">
        <v>0</v>
      </c>
      <c r="R26" s="1409">
        <f t="shared" si="0"/>
        <v>0</v>
      </c>
      <c r="S26" s="1409"/>
      <c r="T26" s="2829">
        <v>0</v>
      </c>
      <c r="U26" s="1411"/>
      <c r="V26" s="1410">
        <f t="shared" si="1"/>
        <v>0</v>
      </c>
      <c r="W26" s="1411"/>
    </row>
    <row r="27" spans="1:23" ht="15" customHeight="1">
      <c r="A27" s="3280"/>
      <c r="B27" s="1394" t="s">
        <v>1132</v>
      </c>
      <c r="C27" s="1394"/>
      <c r="D27" s="1408">
        <v>0</v>
      </c>
      <c r="E27" s="1408">
        <v>0</v>
      </c>
      <c r="F27" s="1408">
        <v>0</v>
      </c>
      <c r="G27" s="1408">
        <v>0</v>
      </c>
      <c r="H27" s="1408">
        <v>0</v>
      </c>
      <c r="I27" s="1408">
        <v>0</v>
      </c>
      <c r="J27" s="1408">
        <v>0</v>
      </c>
      <c r="K27" s="1408">
        <v>0</v>
      </c>
      <c r="L27" s="1408">
        <v>0</v>
      </c>
      <c r="M27" s="1408">
        <v>0</v>
      </c>
      <c r="N27" s="1408">
        <v>0</v>
      </c>
      <c r="O27" s="1408">
        <v>0</v>
      </c>
      <c r="P27" s="1408">
        <v>0</v>
      </c>
      <c r="Q27" s="1408">
        <v>0</v>
      </c>
      <c r="R27" s="1409">
        <f t="shared" si="0"/>
        <v>0</v>
      </c>
      <c r="S27" s="1409"/>
      <c r="T27" s="2829">
        <v>0</v>
      </c>
      <c r="U27" s="1411"/>
      <c r="V27" s="1410">
        <f t="shared" si="1"/>
        <v>0</v>
      </c>
      <c r="W27" s="1411"/>
    </row>
    <row r="28" spans="1:23" ht="15" customHeight="1">
      <c r="A28" s="3280"/>
      <c r="B28" s="1394" t="s">
        <v>469</v>
      </c>
      <c r="C28" s="1394"/>
      <c r="D28" s="1408">
        <v>0</v>
      </c>
      <c r="E28" s="1408">
        <v>0</v>
      </c>
      <c r="F28" s="1408">
        <v>0</v>
      </c>
      <c r="G28" s="1408">
        <v>0</v>
      </c>
      <c r="H28" s="1408">
        <v>0</v>
      </c>
      <c r="I28" s="1408">
        <v>0</v>
      </c>
      <c r="J28" s="1408">
        <v>0</v>
      </c>
      <c r="K28" s="1408">
        <v>0</v>
      </c>
      <c r="L28" s="1408">
        <v>0</v>
      </c>
      <c r="M28" s="1408">
        <v>0</v>
      </c>
      <c r="N28" s="1408">
        <v>0</v>
      </c>
      <c r="O28" s="1408">
        <v>0</v>
      </c>
      <c r="P28" s="1408">
        <v>0</v>
      </c>
      <c r="Q28" s="1408">
        <v>0</v>
      </c>
      <c r="R28" s="1409">
        <f t="shared" si="0"/>
        <v>0</v>
      </c>
      <c r="S28" s="1409"/>
      <c r="T28" s="2829">
        <v>0</v>
      </c>
      <c r="U28" s="1411"/>
      <c r="V28" s="1410">
        <f t="shared" si="1"/>
        <v>0</v>
      </c>
      <c r="W28" s="1411"/>
    </row>
    <row r="29" spans="1:23" ht="15" customHeight="1">
      <c r="A29" s="3280"/>
      <c r="B29" s="1394" t="s">
        <v>1014</v>
      </c>
      <c r="C29" s="1394"/>
      <c r="D29" s="1408">
        <v>0</v>
      </c>
      <c r="E29" s="1408">
        <v>0</v>
      </c>
      <c r="F29" s="1408">
        <v>0</v>
      </c>
      <c r="G29" s="1408">
        <v>0</v>
      </c>
      <c r="H29" s="1408">
        <v>0</v>
      </c>
      <c r="I29" s="1408">
        <v>0</v>
      </c>
      <c r="J29" s="1408">
        <v>0</v>
      </c>
      <c r="K29" s="1408">
        <v>0</v>
      </c>
      <c r="L29" s="1408">
        <v>0</v>
      </c>
      <c r="M29" s="1408">
        <v>0</v>
      </c>
      <c r="N29" s="1408">
        <v>0</v>
      </c>
      <c r="O29" s="1408">
        <v>0</v>
      </c>
      <c r="P29" s="1408">
        <v>0</v>
      </c>
      <c r="Q29" s="1408">
        <v>0</v>
      </c>
      <c r="R29" s="1409">
        <f t="shared" si="0"/>
        <v>0</v>
      </c>
      <c r="S29" s="1409"/>
      <c r="T29" s="2829">
        <v>0</v>
      </c>
      <c r="U29" s="1411"/>
      <c r="V29" s="1410">
        <f t="shared" si="1"/>
        <v>0</v>
      </c>
      <c r="W29" s="1411"/>
    </row>
    <row r="30" spans="1:23" ht="15" customHeight="1">
      <c r="A30" s="3280"/>
      <c r="B30" s="1394" t="s">
        <v>947</v>
      </c>
      <c r="C30" s="1394"/>
      <c r="D30" s="1408">
        <v>0</v>
      </c>
      <c r="E30" s="1408">
        <v>0</v>
      </c>
      <c r="F30" s="1408">
        <v>0</v>
      </c>
      <c r="G30" s="1408">
        <v>0</v>
      </c>
      <c r="H30" s="1408">
        <v>0</v>
      </c>
      <c r="I30" s="1408">
        <v>0</v>
      </c>
      <c r="J30" s="1408">
        <v>0</v>
      </c>
      <c r="K30" s="1408">
        <v>0</v>
      </c>
      <c r="L30" s="1408">
        <v>0</v>
      </c>
      <c r="M30" s="1408">
        <v>0</v>
      </c>
      <c r="N30" s="1408">
        <v>0</v>
      </c>
      <c r="O30" s="1408">
        <v>0</v>
      </c>
      <c r="P30" s="1408">
        <v>0</v>
      </c>
      <c r="Q30" s="1408">
        <v>0</v>
      </c>
      <c r="R30" s="1409">
        <f t="shared" si="0"/>
        <v>0</v>
      </c>
      <c r="S30" s="1409"/>
      <c r="T30" s="2829">
        <v>0</v>
      </c>
      <c r="U30" s="1411"/>
      <c r="V30" s="1410">
        <f t="shared" si="1"/>
        <v>0</v>
      </c>
      <c r="W30" s="1411"/>
    </row>
    <row r="31" spans="1:23" ht="15" customHeight="1">
      <c r="A31" s="3280"/>
      <c r="B31" s="1394" t="s">
        <v>1446</v>
      </c>
      <c r="C31" s="1394"/>
      <c r="D31" s="1408">
        <v>0</v>
      </c>
      <c r="E31" s="1408">
        <v>0</v>
      </c>
      <c r="F31" s="1408">
        <v>0</v>
      </c>
      <c r="G31" s="1408">
        <v>0</v>
      </c>
      <c r="H31" s="1408">
        <v>0</v>
      </c>
      <c r="I31" s="1408">
        <v>0</v>
      </c>
      <c r="J31" s="1408">
        <v>0</v>
      </c>
      <c r="K31" s="1408">
        <v>0</v>
      </c>
      <c r="L31" s="1408">
        <v>0</v>
      </c>
      <c r="M31" s="1408">
        <v>0</v>
      </c>
      <c r="N31" s="1408">
        <v>0</v>
      </c>
      <c r="O31" s="1408">
        <v>0</v>
      </c>
      <c r="P31" s="1408">
        <v>0</v>
      </c>
      <c r="Q31" s="1408">
        <v>0</v>
      </c>
      <c r="R31" s="1409">
        <f t="shared" si="0"/>
        <v>0</v>
      </c>
      <c r="S31" s="1409"/>
      <c r="T31" s="2829">
        <v>0</v>
      </c>
      <c r="U31" s="1411"/>
      <c r="V31" s="1410">
        <f t="shared" si="1"/>
        <v>0</v>
      </c>
      <c r="W31" s="1411"/>
    </row>
    <row r="32" spans="1:23" ht="15" customHeight="1">
      <c r="A32" s="3280"/>
      <c r="B32" s="1394" t="s">
        <v>1133</v>
      </c>
      <c r="C32" s="1394"/>
      <c r="D32" s="1408">
        <v>0</v>
      </c>
      <c r="E32" s="1408">
        <v>0</v>
      </c>
      <c r="F32" s="1408">
        <v>0</v>
      </c>
      <c r="G32" s="1408">
        <v>0</v>
      </c>
      <c r="H32" s="1408">
        <v>0</v>
      </c>
      <c r="I32" s="1408">
        <v>0</v>
      </c>
      <c r="J32" s="1408">
        <v>0</v>
      </c>
      <c r="K32" s="1408">
        <v>0</v>
      </c>
      <c r="L32" s="1408">
        <v>0</v>
      </c>
      <c r="M32" s="1408">
        <v>0</v>
      </c>
      <c r="N32" s="1408">
        <v>0</v>
      </c>
      <c r="O32" s="1408">
        <v>0</v>
      </c>
      <c r="P32" s="1408">
        <v>0</v>
      </c>
      <c r="Q32" s="1408">
        <v>0</v>
      </c>
      <c r="R32" s="1409">
        <f t="shared" si="0"/>
        <v>0</v>
      </c>
      <c r="S32" s="1409"/>
      <c r="T32" s="2829">
        <v>0</v>
      </c>
      <c r="U32" s="1410"/>
      <c r="V32" s="1410">
        <f t="shared" si="1"/>
        <v>0</v>
      </c>
      <c r="W32" s="1411"/>
    </row>
    <row r="33" spans="1:23" ht="15" customHeight="1">
      <c r="A33" s="3280"/>
      <c r="B33" s="1394" t="s">
        <v>1447</v>
      </c>
      <c r="C33" s="1394"/>
      <c r="D33" s="1408">
        <v>0</v>
      </c>
      <c r="E33" s="1408">
        <v>0</v>
      </c>
      <c r="F33" s="1408">
        <v>0</v>
      </c>
      <c r="G33" s="1408">
        <v>0</v>
      </c>
      <c r="H33" s="1408">
        <v>0</v>
      </c>
      <c r="I33" s="1408">
        <v>0</v>
      </c>
      <c r="J33" s="1408">
        <v>0</v>
      </c>
      <c r="K33" s="1408">
        <v>0</v>
      </c>
      <c r="L33" s="1408">
        <v>0</v>
      </c>
      <c r="M33" s="1408">
        <v>0</v>
      </c>
      <c r="N33" s="1408">
        <v>0</v>
      </c>
      <c r="O33" s="1408">
        <v>0</v>
      </c>
      <c r="P33" s="1408">
        <v>0</v>
      </c>
      <c r="Q33" s="1408">
        <v>0</v>
      </c>
      <c r="R33" s="1409">
        <f t="shared" si="0"/>
        <v>0</v>
      </c>
      <c r="S33" s="1409"/>
      <c r="T33" s="2829">
        <v>0</v>
      </c>
      <c r="U33" s="1410"/>
      <c r="V33" s="1410">
        <f t="shared" si="1"/>
        <v>0</v>
      </c>
      <c r="W33" s="1411"/>
    </row>
    <row r="34" spans="1:23" ht="15" customHeight="1">
      <c r="A34" s="3280"/>
      <c r="B34" s="1394" t="s">
        <v>1448</v>
      </c>
      <c r="C34" s="1394"/>
      <c r="D34" s="1408">
        <v>0</v>
      </c>
      <c r="E34" s="1408">
        <v>0</v>
      </c>
      <c r="F34" s="1408">
        <v>0</v>
      </c>
      <c r="G34" s="1408">
        <v>0</v>
      </c>
      <c r="H34" s="1408">
        <v>0</v>
      </c>
      <c r="I34" s="1408">
        <v>0</v>
      </c>
      <c r="J34" s="1408">
        <v>0</v>
      </c>
      <c r="K34" s="1408">
        <v>0</v>
      </c>
      <c r="L34" s="1408">
        <v>0</v>
      </c>
      <c r="M34" s="1408">
        <v>0</v>
      </c>
      <c r="N34" s="1408">
        <v>0</v>
      </c>
      <c r="O34" s="1408">
        <v>0</v>
      </c>
      <c r="P34" s="1408">
        <v>0</v>
      </c>
      <c r="Q34" s="1408">
        <v>0</v>
      </c>
      <c r="R34" s="1409">
        <f t="shared" si="0"/>
        <v>0</v>
      </c>
      <c r="S34" s="1409"/>
      <c r="T34" s="2829">
        <v>0</v>
      </c>
      <c r="U34" s="1410"/>
      <c r="V34" s="1410">
        <f t="shared" si="1"/>
        <v>0</v>
      </c>
      <c r="W34" s="1411"/>
    </row>
    <row r="35" spans="1:23" ht="15" customHeight="1">
      <c r="A35" s="3280"/>
      <c r="B35" s="1394" t="s">
        <v>470</v>
      </c>
      <c r="C35" s="1394"/>
      <c r="D35" s="1408">
        <v>0</v>
      </c>
      <c r="E35" s="1408">
        <v>0</v>
      </c>
      <c r="F35" s="1408">
        <v>0</v>
      </c>
      <c r="G35" s="1408">
        <v>0</v>
      </c>
      <c r="H35" s="1408">
        <v>0</v>
      </c>
      <c r="I35" s="1408">
        <v>0</v>
      </c>
      <c r="J35" s="1408">
        <v>0</v>
      </c>
      <c r="K35" s="1408">
        <v>0</v>
      </c>
      <c r="L35" s="1408">
        <v>0</v>
      </c>
      <c r="M35" s="1408">
        <v>0</v>
      </c>
      <c r="N35" s="1408">
        <v>0</v>
      </c>
      <c r="O35" s="1408">
        <v>0</v>
      </c>
      <c r="P35" s="1408">
        <v>0</v>
      </c>
      <c r="Q35" s="1408">
        <v>0</v>
      </c>
      <c r="R35" s="1409">
        <f t="shared" si="0"/>
        <v>0</v>
      </c>
      <c r="S35" s="1409"/>
      <c r="T35" s="2829">
        <v>0</v>
      </c>
      <c r="U35" s="1410"/>
      <c r="V35" s="1410">
        <f t="shared" si="1"/>
        <v>0</v>
      </c>
      <c r="W35" s="1411"/>
    </row>
    <row r="36" spans="1:23" ht="15" customHeight="1">
      <c r="A36" s="3280"/>
      <c r="B36" s="1394" t="s">
        <v>471</v>
      </c>
      <c r="C36" s="1394"/>
      <c r="D36" s="1408">
        <v>0</v>
      </c>
      <c r="E36" s="1408">
        <v>0</v>
      </c>
      <c r="F36" s="1408">
        <v>0</v>
      </c>
      <c r="G36" s="1408">
        <v>0</v>
      </c>
      <c r="H36" s="1408">
        <v>0</v>
      </c>
      <c r="I36" s="1408">
        <v>0</v>
      </c>
      <c r="J36" s="1408">
        <v>0</v>
      </c>
      <c r="K36" s="1408">
        <v>0</v>
      </c>
      <c r="L36" s="1408">
        <v>0</v>
      </c>
      <c r="M36" s="1408">
        <v>0</v>
      </c>
      <c r="N36" s="1408">
        <v>0</v>
      </c>
      <c r="O36" s="1408">
        <v>0</v>
      </c>
      <c r="P36" s="1408">
        <v>0</v>
      </c>
      <c r="Q36" s="1408">
        <v>0</v>
      </c>
      <c r="R36" s="1409">
        <f t="shared" si="0"/>
        <v>0</v>
      </c>
      <c r="S36" s="1409"/>
      <c r="T36" s="2829">
        <v>0</v>
      </c>
      <c r="U36" s="1410"/>
      <c r="V36" s="1410">
        <f t="shared" si="1"/>
        <v>0</v>
      </c>
      <c r="W36" s="1411"/>
    </row>
    <row r="37" spans="1:23" ht="15" customHeight="1">
      <c r="A37" s="3280"/>
      <c r="B37" s="1394" t="s">
        <v>1449</v>
      </c>
      <c r="C37" s="1394"/>
      <c r="D37" s="1408">
        <v>0</v>
      </c>
      <c r="E37" s="1408">
        <v>0</v>
      </c>
      <c r="F37" s="1408">
        <v>0</v>
      </c>
      <c r="G37" s="1408">
        <v>0</v>
      </c>
      <c r="H37" s="1408">
        <v>0</v>
      </c>
      <c r="I37" s="1408">
        <v>0</v>
      </c>
      <c r="J37" s="1408">
        <v>0</v>
      </c>
      <c r="K37" s="1408">
        <v>0</v>
      </c>
      <c r="L37" s="1408">
        <v>0</v>
      </c>
      <c r="M37" s="1408">
        <v>0</v>
      </c>
      <c r="N37" s="1408">
        <v>0</v>
      </c>
      <c r="O37" s="1408">
        <v>0</v>
      </c>
      <c r="P37" s="1408">
        <v>0</v>
      </c>
      <c r="Q37" s="1408">
        <v>0</v>
      </c>
      <c r="R37" s="1409">
        <f t="shared" si="0"/>
        <v>0</v>
      </c>
      <c r="S37" s="1409"/>
      <c r="T37" s="2829">
        <v>0</v>
      </c>
      <c r="U37" s="1410"/>
      <c r="V37" s="1410">
        <f t="shared" si="1"/>
        <v>0</v>
      </c>
      <c r="W37" s="1411"/>
    </row>
    <row r="38" spans="1:23" ht="15" customHeight="1">
      <c r="A38" s="3280"/>
      <c r="B38" s="1394" t="s">
        <v>472</v>
      </c>
      <c r="C38" s="1394"/>
      <c r="D38" s="1553"/>
      <c r="E38" s="1553"/>
      <c r="F38" s="1553"/>
      <c r="G38" s="1553"/>
      <c r="H38" s="1553"/>
      <c r="I38" s="1553"/>
      <c r="J38" s="1553"/>
      <c r="K38" s="1553"/>
      <c r="L38" s="1553"/>
      <c r="M38" s="1553"/>
      <c r="N38" s="1553"/>
      <c r="O38" s="1553"/>
      <c r="P38" s="1553"/>
      <c r="Q38" s="1553"/>
      <c r="R38" s="1409"/>
      <c r="S38" s="1409"/>
      <c r="T38" s="2829"/>
      <c r="U38" s="1410"/>
      <c r="V38" s="1409"/>
      <c r="W38" s="1412"/>
    </row>
    <row r="39" spans="1:23" ht="15" customHeight="1">
      <c r="A39" s="3280"/>
      <c r="B39" s="1394" t="s">
        <v>473</v>
      </c>
      <c r="C39" s="1394"/>
      <c r="D39" s="1408">
        <v>0</v>
      </c>
      <c r="E39" s="1408">
        <v>0</v>
      </c>
      <c r="F39" s="1408">
        <v>0</v>
      </c>
      <c r="G39" s="1408">
        <v>0</v>
      </c>
      <c r="H39" s="1408">
        <v>0</v>
      </c>
      <c r="I39" s="1408">
        <v>0</v>
      </c>
      <c r="J39" s="1408">
        <v>0</v>
      </c>
      <c r="K39" s="1408">
        <v>0</v>
      </c>
      <c r="L39" s="1408">
        <v>0</v>
      </c>
      <c r="M39" s="1408">
        <v>0</v>
      </c>
      <c r="N39" s="1408">
        <v>0</v>
      </c>
      <c r="O39" s="1408">
        <v>0</v>
      </c>
      <c r="P39" s="1408">
        <v>0</v>
      </c>
      <c r="Q39" s="1408">
        <v>0</v>
      </c>
      <c r="R39" s="1409">
        <f>ROUND(SUM(D39:Q39),0)</f>
        <v>0</v>
      </c>
      <c r="S39" s="1409"/>
      <c r="T39" s="2829">
        <v>0</v>
      </c>
      <c r="U39" s="1410"/>
      <c r="V39" s="1410">
        <f>SUM(R39-T39,0)</f>
        <v>0</v>
      </c>
      <c r="W39" s="1411"/>
    </row>
    <row r="40" spans="1:23" ht="15" customHeight="1">
      <c r="A40" s="3280"/>
      <c r="B40" s="1394" t="s">
        <v>1072</v>
      </c>
      <c r="C40" s="1394"/>
      <c r="D40" s="1408"/>
      <c r="E40" s="1408"/>
      <c r="F40" s="1408"/>
      <c r="G40" s="1409"/>
      <c r="H40" s="1408"/>
      <c r="I40" s="1408"/>
      <c r="J40" s="1408"/>
      <c r="K40" s="1409"/>
      <c r="L40" s="1408"/>
      <c r="M40" s="1409"/>
      <c r="N40" s="1408"/>
      <c r="O40" s="1409"/>
      <c r="P40" s="1408"/>
      <c r="Q40" s="1409"/>
      <c r="R40" s="1409"/>
      <c r="S40" s="1409"/>
      <c r="T40" s="2829"/>
      <c r="U40" s="1410"/>
      <c r="V40" s="1409"/>
      <c r="W40" s="1412"/>
    </row>
    <row r="41" spans="1:23" ht="16.2">
      <c r="A41" s="3280"/>
      <c r="B41" s="1394" t="s">
        <v>1071</v>
      </c>
      <c r="C41" s="1394"/>
      <c r="D41" s="1408">
        <v>0</v>
      </c>
      <c r="E41" s="1408"/>
      <c r="F41" s="1408">
        <v>25085337</v>
      </c>
      <c r="G41" s="1409"/>
      <c r="H41" s="1408">
        <v>0</v>
      </c>
      <c r="I41" s="1408"/>
      <c r="J41" s="1408">
        <v>0</v>
      </c>
      <c r="K41" s="1409"/>
      <c r="L41" s="1408">
        <v>0</v>
      </c>
      <c r="M41" s="1409"/>
      <c r="N41" s="1408">
        <v>0</v>
      </c>
      <c r="O41" s="1409"/>
      <c r="P41" s="1408">
        <v>0</v>
      </c>
      <c r="Q41" s="1409"/>
      <c r="R41" s="1409">
        <f>ROUND(SUM(D41:Q41),0)</f>
        <v>25085337</v>
      </c>
      <c r="S41" s="1409"/>
      <c r="T41" s="2829">
        <v>74030941</v>
      </c>
      <c r="U41" s="1410"/>
      <c r="V41" s="1410">
        <f t="shared" ref="V41:V59" si="2">SUM(R41-T41,0)</f>
        <v>-48945604</v>
      </c>
      <c r="W41" s="1411"/>
    </row>
    <row r="42" spans="1:23" ht="15" customHeight="1">
      <c r="A42" s="3280"/>
      <c r="B42" s="1394" t="s">
        <v>1070</v>
      </c>
      <c r="C42" s="1394"/>
      <c r="D42" s="1408">
        <v>0</v>
      </c>
      <c r="E42" s="1408">
        <v>0</v>
      </c>
      <c r="F42" s="1408">
        <v>0</v>
      </c>
      <c r="G42" s="1408">
        <v>0</v>
      </c>
      <c r="H42" s="1408">
        <v>0</v>
      </c>
      <c r="I42" s="1408">
        <v>0</v>
      </c>
      <c r="J42" s="1408">
        <v>0</v>
      </c>
      <c r="K42" s="1408">
        <v>0</v>
      </c>
      <c r="L42" s="1408">
        <v>0</v>
      </c>
      <c r="M42" s="1408">
        <v>0</v>
      </c>
      <c r="N42" s="1408">
        <v>0</v>
      </c>
      <c r="O42" s="1408">
        <v>0</v>
      </c>
      <c r="P42" s="1408">
        <v>0</v>
      </c>
      <c r="Q42" s="1408">
        <v>0</v>
      </c>
      <c r="R42" s="1409">
        <f>ROUND(SUM(D42:Q42),0)</f>
        <v>0</v>
      </c>
      <c r="S42" s="1409"/>
      <c r="T42" s="2829">
        <v>0</v>
      </c>
      <c r="U42" s="1410"/>
      <c r="V42" s="1410">
        <f t="shared" si="2"/>
        <v>0</v>
      </c>
      <c r="W42" s="1411"/>
    </row>
    <row r="43" spans="1:23" ht="15" customHeight="1">
      <c r="A43" s="3280"/>
      <c r="B43" s="1394" t="s">
        <v>1015</v>
      </c>
      <c r="C43" s="1394"/>
      <c r="D43" s="1408">
        <v>0</v>
      </c>
      <c r="E43" s="1408">
        <v>0</v>
      </c>
      <c r="F43" s="1408">
        <v>0</v>
      </c>
      <c r="G43" s="1408">
        <v>0</v>
      </c>
      <c r="H43" s="1408">
        <v>0</v>
      </c>
      <c r="I43" s="1408">
        <v>0</v>
      </c>
      <c r="J43" s="1408">
        <v>0</v>
      </c>
      <c r="K43" s="1408">
        <v>0</v>
      </c>
      <c r="L43" s="1408">
        <v>0</v>
      </c>
      <c r="M43" s="1408">
        <v>0</v>
      </c>
      <c r="N43" s="1408">
        <v>0</v>
      </c>
      <c r="O43" s="1408">
        <v>0</v>
      </c>
      <c r="P43" s="1408">
        <v>0</v>
      </c>
      <c r="Q43" s="1408">
        <v>0</v>
      </c>
      <c r="R43" s="1409">
        <f>ROUND(SUM(D43:Q43),0)</f>
        <v>0</v>
      </c>
      <c r="S43" s="1409"/>
      <c r="T43" s="2829">
        <v>0</v>
      </c>
      <c r="U43" s="1410"/>
      <c r="V43" s="1410">
        <f t="shared" si="2"/>
        <v>0</v>
      </c>
      <c r="W43" s="1411"/>
    </row>
    <row r="44" spans="1:23" ht="15" customHeight="1">
      <c r="A44" s="3280"/>
      <c r="B44" s="1394" t="s">
        <v>474</v>
      </c>
      <c r="C44" s="1394"/>
      <c r="D44" s="1408"/>
      <c r="E44" s="1408"/>
      <c r="F44" s="1408"/>
      <c r="G44" s="1408"/>
      <c r="H44" s="1408"/>
      <c r="I44" s="1408"/>
      <c r="J44" s="1408"/>
      <c r="K44" s="1408"/>
      <c r="L44" s="1408"/>
      <c r="M44" s="1408"/>
      <c r="N44" s="1408"/>
      <c r="O44" s="1408"/>
      <c r="P44" s="1408"/>
      <c r="Q44" s="1408"/>
      <c r="R44" s="1409"/>
      <c r="S44" s="1409"/>
      <c r="T44" s="2829"/>
      <c r="U44" s="1410"/>
      <c r="V44" s="1409"/>
      <c r="W44" s="1412"/>
    </row>
    <row r="45" spans="1:23" ht="15" customHeight="1">
      <c r="A45" s="3280"/>
      <c r="B45" s="1394" t="s">
        <v>1450</v>
      </c>
      <c r="C45" s="1394"/>
      <c r="D45" s="1408">
        <v>0</v>
      </c>
      <c r="E45" s="1408">
        <v>0</v>
      </c>
      <c r="F45" s="1408">
        <v>0</v>
      </c>
      <c r="G45" s="1408">
        <v>0</v>
      </c>
      <c r="H45" s="1408">
        <v>0</v>
      </c>
      <c r="I45" s="1408">
        <v>0</v>
      </c>
      <c r="J45" s="1408">
        <v>0</v>
      </c>
      <c r="K45" s="1408">
        <v>0</v>
      </c>
      <c r="L45" s="1408">
        <v>0</v>
      </c>
      <c r="M45" s="1408">
        <v>0</v>
      </c>
      <c r="N45" s="1408">
        <v>0</v>
      </c>
      <c r="O45" s="1408">
        <v>0</v>
      </c>
      <c r="P45" s="1408">
        <v>0</v>
      </c>
      <c r="Q45" s="1408">
        <v>0</v>
      </c>
      <c r="R45" s="1409">
        <f t="shared" ref="R45:R55" si="3">ROUND(SUM(D45:Q45),0)</f>
        <v>0</v>
      </c>
      <c r="S45" s="1409"/>
      <c r="T45" s="2829">
        <v>0</v>
      </c>
      <c r="U45" s="1410"/>
      <c r="V45" s="1410">
        <f t="shared" si="2"/>
        <v>0</v>
      </c>
      <c r="W45" s="1411"/>
    </row>
    <row r="46" spans="1:23" ht="15" customHeight="1">
      <c r="A46" s="3280"/>
      <c r="B46" s="1394" t="s">
        <v>475</v>
      </c>
      <c r="C46" s="1394"/>
      <c r="D46" s="1408">
        <v>0</v>
      </c>
      <c r="E46" s="1408">
        <v>0</v>
      </c>
      <c r="F46" s="1408">
        <v>0</v>
      </c>
      <c r="G46" s="1408">
        <v>0</v>
      </c>
      <c r="H46" s="1408">
        <v>0</v>
      </c>
      <c r="I46" s="1408">
        <v>0</v>
      </c>
      <c r="J46" s="1408">
        <v>0</v>
      </c>
      <c r="K46" s="1408">
        <v>0</v>
      </c>
      <c r="L46" s="1408">
        <v>0</v>
      </c>
      <c r="M46" s="1408">
        <v>0</v>
      </c>
      <c r="N46" s="1408">
        <v>0</v>
      </c>
      <c r="O46" s="1408">
        <v>0</v>
      </c>
      <c r="P46" s="1408">
        <v>0</v>
      </c>
      <c r="Q46" s="1408">
        <v>0</v>
      </c>
      <c r="R46" s="1409">
        <f t="shared" si="3"/>
        <v>0</v>
      </c>
      <c r="S46" s="1409"/>
      <c r="T46" s="2829">
        <v>0</v>
      </c>
      <c r="U46" s="1411"/>
      <c r="V46" s="1410">
        <f t="shared" si="2"/>
        <v>0</v>
      </c>
      <c r="W46" s="1411"/>
    </row>
    <row r="47" spans="1:23" ht="15" customHeight="1">
      <c r="A47" s="3280"/>
      <c r="B47" s="1555" t="s">
        <v>476</v>
      </c>
      <c r="C47" s="1554"/>
      <c r="D47" s="1408">
        <v>0</v>
      </c>
      <c r="E47" s="1408">
        <v>0</v>
      </c>
      <c r="F47" s="1408">
        <v>0</v>
      </c>
      <c r="G47" s="1408">
        <v>0</v>
      </c>
      <c r="H47" s="1408">
        <v>0</v>
      </c>
      <c r="I47" s="1408">
        <v>0</v>
      </c>
      <c r="J47" s="1408">
        <v>0</v>
      </c>
      <c r="K47" s="1408">
        <v>0</v>
      </c>
      <c r="L47" s="1408">
        <v>0</v>
      </c>
      <c r="M47" s="1408">
        <v>0</v>
      </c>
      <c r="N47" s="1408">
        <v>0</v>
      </c>
      <c r="O47" s="1408">
        <v>0</v>
      </c>
      <c r="P47" s="1408">
        <v>0</v>
      </c>
      <c r="Q47" s="1408">
        <v>0</v>
      </c>
      <c r="R47" s="1409">
        <f t="shared" si="3"/>
        <v>0</v>
      </c>
      <c r="S47" s="1409"/>
      <c r="T47" s="2829">
        <v>0</v>
      </c>
      <c r="U47" s="1411"/>
      <c r="V47" s="1410">
        <f t="shared" si="2"/>
        <v>0</v>
      </c>
      <c r="W47" s="1411"/>
    </row>
    <row r="48" spans="1:23" ht="15" customHeight="1">
      <c r="A48" s="3280"/>
      <c r="B48" s="1556" t="s">
        <v>477</v>
      </c>
      <c r="C48" s="1556"/>
      <c r="D48" s="1408">
        <v>0</v>
      </c>
      <c r="E48" s="1408">
        <v>0</v>
      </c>
      <c r="F48" s="1408">
        <v>0</v>
      </c>
      <c r="G48" s="1408">
        <v>0</v>
      </c>
      <c r="H48" s="1408">
        <v>0</v>
      </c>
      <c r="I48" s="1408">
        <v>0</v>
      </c>
      <c r="J48" s="1408">
        <v>0</v>
      </c>
      <c r="K48" s="1408">
        <v>0</v>
      </c>
      <c r="L48" s="1408">
        <v>0</v>
      </c>
      <c r="M48" s="1408">
        <v>0</v>
      </c>
      <c r="N48" s="1408">
        <v>0</v>
      </c>
      <c r="O48" s="1408">
        <v>0</v>
      </c>
      <c r="P48" s="1408">
        <v>0</v>
      </c>
      <c r="Q48" s="1408">
        <v>0</v>
      </c>
      <c r="R48" s="1409">
        <f t="shared" si="3"/>
        <v>0</v>
      </c>
      <c r="S48" s="1409"/>
      <c r="T48" s="2829">
        <v>0</v>
      </c>
      <c r="U48" s="1410"/>
      <c r="V48" s="1410">
        <f t="shared" si="2"/>
        <v>0</v>
      </c>
      <c r="W48" s="1411"/>
    </row>
    <row r="49" spans="1:25" ht="15" customHeight="1">
      <c r="A49" s="3280"/>
      <c r="B49" s="1394" t="s">
        <v>1444</v>
      </c>
      <c r="C49" s="1394"/>
      <c r="D49" s="1408">
        <v>0</v>
      </c>
      <c r="E49" s="1408">
        <v>0</v>
      </c>
      <c r="F49" s="1408">
        <v>0</v>
      </c>
      <c r="G49" s="1408">
        <v>0</v>
      </c>
      <c r="H49" s="1408">
        <v>0</v>
      </c>
      <c r="I49" s="1408">
        <v>0</v>
      </c>
      <c r="J49" s="1408">
        <v>0</v>
      </c>
      <c r="K49" s="1408">
        <v>0</v>
      </c>
      <c r="L49" s="1408">
        <v>0</v>
      </c>
      <c r="M49" s="1408">
        <v>0</v>
      </c>
      <c r="N49" s="1408">
        <v>0</v>
      </c>
      <c r="O49" s="1408">
        <v>0</v>
      </c>
      <c r="P49" s="1408">
        <v>0</v>
      </c>
      <c r="Q49" s="1408">
        <v>0</v>
      </c>
      <c r="R49" s="1409">
        <f t="shared" si="3"/>
        <v>0</v>
      </c>
      <c r="S49" s="1409"/>
      <c r="T49" s="2829">
        <v>0</v>
      </c>
      <c r="U49" s="1411"/>
      <c r="V49" s="1410">
        <f t="shared" si="2"/>
        <v>0</v>
      </c>
      <c r="W49" s="1411"/>
    </row>
    <row r="50" spans="1:25" ht="16.2">
      <c r="A50" s="3280"/>
      <c r="B50" s="1555" t="s">
        <v>478</v>
      </c>
      <c r="C50" s="1554"/>
      <c r="D50" s="1408">
        <v>0</v>
      </c>
      <c r="E50" s="1408">
        <v>0</v>
      </c>
      <c r="F50" s="1408">
        <v>0</v>
      </c>
      <c r="G50" s="1408">
        <v>0</v>
      </c>
      <c r="H50" s="1408">
        <v>0</v>
      </c>
      <c r="I50" s="1408">
        <v>0</v>
      </c>
      <c r="J50" s="1408">
        <v>0</v>
      </c>
      <c r="K50" s="1408">
        <v>0</v>
      </c>
      <c r="L50" s="1408">
        <v>0</v>
      </c>
      <c r="M50" s="1408">
        <v>0</v>
      </c>
      <c r="N50" s="1408">
        <v>0</v>
      </c>
      <c r="O50" s="1408">
        <v>0</v>
      </c>
      <c r="P50" s="1408">
        <v>0</v>
      </c>
      <c r="Q50" s="1408">
        <v>0</v>
      </c>
      <c r="R50" s="1409">
        <f t="shared" si="3"/>
        <v>0</v>
      </c>
      <c r="S50" s="1409"/>
      <c r="T50" s="2829">
        <v>0</v>
      </c>
      <c r="U50" s="1410"/>
      <c r="V50" s="1410">
        <f t="shared" si="2"/>
        <v>0</v>
      </c>
      <c r="W50" s="1411"/>
    </row>
    <row r="51" spans="1:25" ht="15" customHeight="1">
      <c r="A51" s="3280"/>
      <c r="B51" s="1539" t="s">
        <v>479</v>
      </c>
      <c r="C51" s="1539"/>
      <c r="D51" s="1408">
        <v>0</v>
      </c>
      <c r="E51" s="1408">
        <v>0</v>
      </c>
      <c r="F51" s="1408">
        <v>0</v>
      </c>
      <c r="G51" s="1408">
        <v>0</v>
      </c>
      <c r="H51" s="1408">
        <v>0</v>
      </c>
      <c r="I51" s="1408">
        <v>0</v>
      </c>
      <c r="J51" s="1408">
        <v>0</v>
      </c>
      <c r="K51" s="1408">
        <v>0</v>
      </c>
      <c r="L51" s="1408">
        <v>0</v>
      </c>
      <c r="M51" s="1408">
        <v>0</v>
      </c>
      <c r="N51" s="1408">
        <v>0</v>
      </c>
      <c r="O51" s="1408">
        <v>0</v>
      </c>
      <c r="P51" s="1408">
        <v>0</v>
      </c>
      <c r="Q51" s="1408">
        <v>0</v>
      </c>
      <c r="R51" s="1409">
        <f t="shared" si="3"/>
        <v>0</v>
      </c>
      <c r="S51" s="1409"/>
      <c r="T51" s="2829">
        <v>0</v>
      </c>
      <c r="U51" s="1410"/>
      <c r="V51" s="1410">
        <f t="shared" si="2"/>
        <v>0</v>
      </c>
      <c r="W51" s="1411"/>
    </row>
    <row r="52" spans="1:25" ht="15" customHeight="1">
      <c r="A52" s="3280"/>
      <c r="B52" s="1555" t="s">
        <v>1319</v>
      </c>
      <c r="C52" s="1554"/>
      <c r="D52" s="1408">
        <v>0</v>
      </c>
      <c r="E52" s="1408">
        <v>0</v>
      </c>
      <c r="F52" s="1408">
        <v>0</v>
      </c>
      <c r="G52" s="1408">
        <v>0</v>
      </c>
      <c r="H52" s="1408">
        <v>0</v>
      </c>
      <c r="I52" s="1408">
        <v>0</v>
      </c>
      <c r="J52" s="1408">
        <v>0</v>
      </c>
      <c r="K52" s="1408">
        <v>0</v>
      </c>
      <c r="L52" s="1408">
        <v>0</v>
      </c>
      <c r="M52" s="1408">
        <v>0</v>
      </c>
      <c r="N52" s="1408">
        <v>0</v>
      </c>
      <c r="O52" s="1408">
        <v>0</v>
      </c>
      <c r="P52" s="1408">
        <v>0</v>
      </c>
      <c r="Q52" s="1408">
        <v>0</v>
      </c>
      <c r="R52" s="1409">
        <f t="shared" si="3"/>
        <v>0</v>
      </c>
      <c r="S52" s="1409"/>
      <c r="T52" s="2829">
        <v>0</v>
      </c>
      <c r="U52" s="1410"/>
      <c r="V52" s="1410">
        <f t="shared" si="2"/>
        <v>0</v>
      </c>
      <c r="W52" s="1411"/>
    </row>
    <row r="53" spans="1:25" ht="15" customHeight="1">
      <c r="A53" s="3280"/>
      <c r="B53" s="1539" t="s">
        <v>465</v>
      </c>
      <c r="C53" s="1539"/>
      <c r="D53" s="1408">
        <v>0</v>
      </c>
      <c r="E53" s="1408">
        <v>0</v>
      </c>
      <c r="F53" s="1408">
        <v>0</v>
      </c>
      <c r="G53" s="1408">
        <v>0</v>
      </c>
      <c r="H53" s="1408">
        <v>0</v>
      </c>
      <c r="I53" s="1408">
        <v>0</v>
      </c>
      <c r="J53" s="1408">
        <v>0</v>
      </c>
      <c r="K53" s="1408">
        <v>0</v>
      </c>
      <c r="L53" s="1408">
        <v>0</v>
      </c>
      <c r="M53" s="1408">
        <v>0</v>
      </c>
      <c r="N53" s="1408">
        <v>0</v>
      </c>
      <c r="O53" s="1408">
        <v>0</v>
      </c>
      <c r="P53" s="1408">
        <v>0</v>
      </c>
      <c r="Q53" s="1408">
        <v>0</v>
      </c>
      <c r="R53" s="1409">
        <f t="shared" si="3"/>
        <v>0</v>
      </c>
      <c r="S53" s="1409"/>
      <c r="T53" s="2829">
        <v>0</v>
      </c>
      <c r="U53" s="1409"/>
      <c r="V53" s="1410">
        <f t="shared" si="2"/>
        <v>0</v>
      </c>
      <c r="W53" s="1411"/>
    </row>
    <row r="54" spans="1:25" ht="15" customHeight="1">
      <c r="A54" s="3280"/>
      <c r="B54" s="1394" t="s">
        <v>467</v>
      </c>
      <c r="C54" s="1394"/>
      <c r="D54" s="1408">
        <v>0</v>
      </c>
      <c r="E54" s="1408">
        <v>0</v>
      </c>
      <c r="F54" s="1408">
        <v>0</v>
      </c>
      <c r="G54" s="1408">
        <v>0</v>
      </c>
      <c r="H54" s="1408">
        <v>0</v>
      </c>
      <c r="I54" s="1408">
        <v>0</v>
      </c>
      <c r="J54" s="1408">
        <v>0</v>
      </c>
      <c r="K54" s="1408">
        <v>0</v>
      </c>
      <c r="L54" s="1408">
        <v>0</v>
      </c>
      <c r="M54" s="1408">
        <v>0</v>
      </c>
      <c r="N54" s="1408">
        <v>0</v>
      </c>
      <c r="O54" s="1408">
        <v>0</v>
      </c>
      <c r="P54" s="1408">
        <v>0</v>
      </c>
      <c r="Q54" s="1408">
        <v>0</v>
      </c>
      <c r="R54" s="1409">
        <f t="shared" si="3"/>
        <v>0</v>
      </c>
      <c r="S54" s="1409"/>
      <c r="T54" s="2829">
        <v>0</v>
      </c>
      <c r="U54" s="1409"/>
      <c r="V54" s="1410">
        <f t="shared" si="2"/>
        <v>0</v>
      </c>
      <c r="W54" s="1411"/>
    </row>
    <row r="55" spans="1:25" ht="15" customHeight="1">
      <c r="A55" s="3280"/>
      <c r="B55" s="1394" t="s">
        <v>1451</v>
      </c>
      <c r="C55" s="1394"/>
      <c r="D55" s="1408">
        <v>0</v>
      </c>
      <c r="E55" s="1408">
        <v>0</v>
      </c>
      <c r="F55" s="1408">
        <v>0</v>
      </c>
      <c r="G55" s="1408">
        <v>0</v>
      </c>
      <c r="H55" s="1408">
        <v>0</v>
      </c>
      <c r="I55" s="1408">
        <v>0</v>
      </c>
      <c r="J55" s="1408">
        <v>0</v>
      </c>
      <c r="K55" s="1408">
        <v>0</v>
      </c>
      <c r="L55" s="1408">
        <v>0</v>
      </c>
      <c r="M55" s="1408">
        <v>0</v>
      </c>
      <c r="N55" s="1408">
        <v>0</v>
      </c>
      <c r="O55" s="1408">
        <v>0</v>
      </c>
      <c r="P55" s="1408">
        <v>0</v>
      </c>
      <c r="Q55" s="1408">
        <v>0</v>
      </c>
      <c r="R55" s="1409">
        <f t="shared" si="3"/>
        <v>0</v>
      </c>
      <c r="S55" s="1409"/>
      <c r="T55" s="2829">
        <v>0</v>
      </c>
      <c r="U55" s="1410"/>
      <c r="V55" s="1410">
        <f t="shared" si="2"/>
        <v>0</v>
      </c>
      <c r="W55" s="1411"/>
    </row>
    <row r="56" spans="1:25" ht="15" customHeight="1">
      <c r="A56" s="3278"/>
      <c r="B56" s="1394" t="s">
        <v>1452</v>
      </c>
      <c r="C56" s="1394"/>
      <c r="D56" s="1557"/>
      <c r="E56" s="1557"/>
      <c r="F56" s="1557"/>
      <c r="G56" s="1557"/>
      <c r="H56" s="1557"/>
      <c r="I56" s="1557"/>
      <c r="J56" s="1557"/>
      <c r="K56" s="1557"/>
      <c r="L56" s="1557"/>
      <c r="M56" s="1557"/>
      <c r="N56" s="1557"/>
      <c r="O56" s="1557"/>
      <c r="P56" s="1557"/>
      <c r="Q56" s="1557"/>
      <c r="R56" s="1409"/>
      <c r="S56" s="1409"/>
      <c r="T56" s="2544"/>
      <c r="U56" s="1410"/>
      <c r="V56" s="1409"/>
      <c r="W56" s="1412"/>
    </row>
    <row r="57" spans="1:25" ht="16.2">
      <c r="A57" s="3278"/>
      <c r="B57" s="1394" t="s">
        <v>480</v>
      </c>
      <c r="C57" s="1394"/>
      <c r="D57" s="1408">
        <v>0</v>
      </c>
      <c r="E57" s="1408">
        <v>0</v>
      </c>
      <c r="F57" s="1408">
        <v>0</v>
      </c>
      <c r="G57" s="1408">
        <v>0</v>
      </c>
      <c r="H57" s="1408">
        <v>0</v>
      </c>
      <c r="I57" s="1408">
        <v>0</v>
      </c>
      <c r="J57" s="1408">
        <v>0</v>
      </c>
      <c r="K57" s="1408">
        <v>0</v>
      </c>
      <c r="L57" s="1408">
        <v>0</v>
      </c>
      <c r="M57" s="1408">
        <v>0</v>
      </c>
      <c r="N57" s="1408">
        <v>0</v>
      </c>
      <c r="O57" s="1408">
        <v>0</v>
      </c>
      <c r="P57" s="1408">
        <v>0</v>
      </c>
      <c r="Q57" s="1408">
        <v>0</v>
      </c>
      <c r="R57" s="1409">
        <f>ROUND(SUM(D57:Q57),0)</f>
        <v>0</v>
      </c>
      <c r="S57" s="1409"/>
      <c r="T57" s="2829">
        <v>0</v>
      </c>
      <c r="U57" s="2545"/>
      <c r="V57" s="1410">
        <f t="shared" si="2"/>
        <v>0</v>
      </c>
      <c r="W57" s="1411"/>
      <c r="Y57" s="3281"/>
    </row>
    <row r="58" spans="1:25" ht="16.2">
      <c r="A58" s="3278"/>
      <c r="B58" s="1394" t="s">
        <v>1152</v>
      </c>
      <c r="C58" s="1394"/>
      <c r="D58" s="1408">
        <v>0</v>
      </c>
      <c r="E58" s="1408">
        <v>0</v>
      </c>
      <c r="F58" s="1408">
        <v>0</v>
      </c>
      <c r="G58" s="1408">
        <v>0</v>
      </c>
      <c r="H58" s="1408">
        <v>0</v>
      </c>
      <c r="I58" s="1408">
        <v>0</v>
      </c>
      <c r="J58" s="1408">
        <v>0</v>
      </c>
      <c r="K58" s="1408">
        <v>0</v>
      </c>
      <c r="L58" s="1408">
        <v>0</v>
      </c>
      <c r="M58" s="1408">
        <v>0</v>
      </c>
      <c r="N58" s="1408">
        <v>0</v>
      </c>
      <c r="O58" s="1408">
        <v>0</v>
      </c>
      <c r="P58" s="1408">
        <v>0</v>
      </c>
      <c r="Q58" s="1408">
        <v>0</v>
      </c>
      <c r="R58" s="1409">
        <f>ROUND(SUM(D58:Q58),0)</f>
        <v>0</v>
      </c>
      <c r="S58" s="1409"/>
      <c r="T58" s="2829">
        <v>0</v>
      </c>
      <c r="U58" s="2545"/>
      <c r="V58" s="1410">
        <f t="shared" si="2"/>
        <v>0</v>
      </c>
      <c r="W58" s="1411"/>
      <c r="Y58" s="3281"/>
    </row>
    <row r="59" spans="1:25" ht="16.2">
      <c r="B59" s="1394" t="s">
        <v>481</v>
      </c>
      <c r="C59" s="1394"/>
      <c r="D59" s="1408">
        <v>0</v>
      </c>
      <c r="E59" s="1408">
        <v>0</v>
      </c>
      <c r="F59" s="1408">
        <v>0</v>
      </c>
      <c r="G59" s="1408">
        <v>0</v>
      </c>
      <c r="H59" s="1408">
        <v>0</v>
      </c>
      <c r="I59" s="1408">
        <v>0</v>
      </c>
      <c r="J59" s="1408">
        <v>0</v>
      </c>
      <c r="K59" s="1408">
        <v>0</v>
      </c>
      <c r="L59" s="1408">
        <v>0</v>
      </c>
      <c r="M59" s="1408">
        <v>0</v>
      </c>
      <c r="N59" s="1408">
        <v>0</v>
      </c>
      <c r="O59" s="1408">
        <v>0</v>
      </c>
      <c r="P59" s="1408">
        <v>0</v>
      </c>
      <c r="Q59" s="1408">
        <v>0</v>
      </c>
      <c r="R59" s="1409">
        <f>ROUND(SUM(D59:Q59),0)</f>
        <v>0</v>
      </c>
      <c r="S59" s="1409"/>
      <c r="T59" s="2829">
        <v>0</v>
      </c>
      <c r="U59" s="2546"/>
      <c r="V59" s="1410">
        <f t="shared" si="2"/>
        <v>0</v>
      </c>
      <c r="W59" s="1411"/>
    </row>
    <row r="60" spans="1:25" ht="16.2">
      <c r="A60" s="3282"/>
      <c r="B60" s="1395" t="s">
        <v>482</v>
      </c>
      <c r="C60" s="1395"/>
      <c r="D60" s="1537"/>
      <c r="E60" s="1537"/>
      <c r="F60" s="1537"/>
      <c r="G60" s="1537"/>
      <c r="H60" s="1558"/>
      <c r="I60" s="1558"/>
      <c r="J60" s="1552"/>
      <c r="K60" s="1552"/>
      <c r="L60" s="1552"/>
      <c r="M60" s="1552"/>
      <c r="N60" s="1558"/>
      <c r="O60" s="1558"/>
      <c r="P60" s="1558"/>
      <c r="Q60" s="1558"/>
      <c r="R60" s="1558"/>
      <c r="S60" s="1558"/>
      <c r="T60" s="1558"/>
      <c r="U60" s="2547"/>
      <c r="V60" s="1409"/>
      <c r="W60" s="1412"/>
    </row>
    <row r="61" spans="1:25" s="3277" customFormat="1" ht="16.8" thickBot="1">
      <c r="B61" s="1559" t="s">
        <v>483</v>
      </c>
      <c r="C61" s="1538"/>
      <c r="D61" s="3283">
        <f>ROUND(SUM(D15:D59),0)</f>
        <v>0</v>
      </c>
      <c r="E61" s="1600"/>
      <c r="F61" s="3283">
        <f>ROUND(SUM(F15:F59),0)</f>
        <v>25093075</v>
      </c>
      <c r="G61" s="1600"/>
      <c r="H61" s="3283">
        <f>ROUND(SUM(H15:H59),0)</f>
        <v>0</v>
      </c>
      <c r="I61" s="1600"/>
      <c r="J61" s="3283">
        <f>ROUND(SUM(J15:J59),0)</f>
        <v>0</v>
      </c>
      <c r="K61" s="1601"/>
      <c r="L61" s="3283">
        <f>ROUND(SUM(L15:L59),0)</f>
        <v>0</v>
      </c>
      <c r="M61" s="1601"/>
      <c r="N61" s="3283">
        <f>ROUND(SUM(N15:N59),0)</f>
        <v>0</v>
      </c>
      <c r="O61" s="1600"/>
      <c r="P61" s="3283">
        <f>ROUND(SUM(P15:P59),0)</f>
        <v>0</v>
      </c>
      <c r="Q61" s="1600"/>
      <c r="R61" s="3283">
        <f>ROUND(SUM(R15:R59),0)</f>
        <v>25093075</v>
      </c>
      <c r="S61" s="1600"/>
      <c r="T61" s="3283">
        <f>ROUND(SUM(T15:T59),0)</f>
        <v>74030941</v>
      </c>
      <c r="U61" s="1600"/>
      <c r="V61" s="3283">
        <f>ROUND(SUM(V15:V59),0)</f>
        <v>-48937866</v>
      </c>
      <c r="W61" s="1602"/>
    </row>
    <row r="62" spans="1:25" ht="16.8" thickTop="1">
      <c r="B62" s="1413"/>
      <c r="C62" s="1413"/>
      <c r="D62" s="1394"/>
      <c r="E62" s="1394"/>
      <c r="F62" s="1394"/>
      <c r="G62" s="1394"/>
      <c r="H62" s="1394"/>
      <c r="I62" s="1394"/>
      <c r="J62" s="1394"/>
      <c r="K62" s="1394"/>
      <c r="L62" s="1394"/>
      <c r="M62" s="1394"/>
      <c r="N62" s="1394"/>
      <c r="O62" s="1394"/>
      <c r="P62" s="1394"/>
      <c r="Q62" s="1394"/>
      <c r="R62" s="1394"/>
      <c r="S62" s="1394"/>
      <c r="T62" s="1394"/>
      <c r="U62" s="1394"/>
      <c r="V62" s="1414"/>
      <c r="W62" s="1415"/>
    </row>
    <row r="63" spans="1:25" ht="16.2">
      <c r="B63" s="1394"/>
      <c r="C63" s="1394"/>
      <c r="D63" s="1394"/>
      <c r="E63" s="1394"/>
      <c r="F63" s="1394"/>
      <c r="G63" s="1394"/>
      <c r="H63" s="1394"/>
      <c r="I63" s="1394"/>
      <c r="J63" s="1394"/>
      <c r="K63" s="1394"/>
      <c r="L63" s="1394"/>
      <c r="M63" s="1394"/>
      <c r="N63" s="1394"/>
      <c r="O63" s="1394"/>
      <c r="P63" s="1394"/>
      <c r="Q63" s="1394"/>
      <c r="R63" s="1394"/>
      <c r="S63" s="1394"/>
      <c r="T63" s="1394"/>
      <c r="U63" s="1394"/>
      <c r="V63" s="1394"/>
    </row>
    <row r="64" spans="1:25" ht="15">
      <c r="B64" s="3284"/>
    </row>
    <row r="65" spans="2:2" ht="15">
      <c r="B65" s="3284"/>
    </row>
    <row r="66" spans="2:2" ht="15">
      <c r="B66" s="3284"/>
    </row>
  </sheetData>
  <dataConsolidate/>
  <customSheetViews>
    <customSheetView guid="{8EE6466D-211E-4E05-9F84-CC0A1C6F79F4}" scale="60" showGridLines="0" fitToPage="1" printArea="1" topLeftCell="A22">
      <selection activeCell="L46" sqref="L46"/>
      <pageMargins left="0.40699999999999997" right="0.25" top="0.61899999999999999" bottom="0.21" header="0.5" footer="0.25"/>
      <pageSetup scale="44" orientation="landscape" r:id="rId1"/>
      <headerFooter scaleWithDoc="0" alignWithMargins="0">
        <oddFooter>&amp;C&amp;8 45</oddFooter>
      </headerFooter>
    </customSheetView>
  </customSheetViews>
  <pageMargins left="0.40699999999999997" right="0.25" top="0.61899999999999999" bottom="0.21" header="0.5" footer="0.25"/>
  <pageSetup scale="40" firstPageNumber="45" orientation="landscape" useFirstPageNumber="1" r:id="rId2"/>
  <headerFooter scaleWithDoc="0" alignWithMargins="0">
    <oddFooter>&amp;C&amp;8&amp;P</oddFooter>
  </headerFooter>
  <ignoredErrors>
    <ignoredError sqref="N13:P13 F1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A1:K39"/>
  <sheetViews>
    <sheetView zoomScale="80" zoomScaleNormal="80" workbookViewId="0"/>
  </sheetViews>
  <sheetFormatPr defaultColWidth="8.90625" defaultRowHeight="15"/>
  <cols>
    <col min="1" max="3" width="9.6328125" style="2527" customWidth="1"/>
    <col min="4" max="4" width="10.453125" style="2527" customWidth="1"/>
    <col min="5" max="5" width="14.81640625" style="2527" customWidth="1"/>
    <col min="6" max="6" width="1.36328125" style="2527" customWidth="1"/>
    <col min="7" max="7" width="16.6328125" style="2527" customWidth="1"/>
    <col min="8" max="8" width="1.36328125" style="2527" customWidth="1"/>
    <col min="9" max="9" width="16.6328125" style="2527" bestFit="1" customWidth="1"/>
    <col min="10" max="10" width="9.6328125" style="2527" customWidth="1"/>
    <col min="11" max="11" width="15.6328125" style="2527" customWidth="1"/>
    <col min="12" max="16384" width="8.90625" style="2527"/>
  </cols>
  <sheetData>
    <row r="1" spans="1:11">
      <c r="A1" s="1172" t="s">
        <v>1103</v>
      </c>
    </row>
    <row r="2" spans="1:11">
      <c r="A2" s="1690"/>
    </row>
    <row r="3" spans="1:11" ht="15.6">
      <c r="A3" s="1387" t="s">
        <v>0</v>
      </c>
      <c r="I3" s="2338" t="s">
        <v>1318</v>
      </c>
    </row>
    <row r="4" spans="1:11" ht="15.6">
      <c r="A4" s="1691" t="s">
        <v>1317</v>
      </c>
    </row>
    <row r="5" spans="1:11" ht="15.6">
      <c r="A5" s="3428" t="s">
        <v>1482</v>
      </c>
      <c r="B5" s="3429"/>
      <c r="C5" s="3429"/>
      <c r="D5" s="3429"/>
      <c r="E5" s="3429"/>
      <c r="F5" s="3429"/>
      <c r="G5" s="3429"/>
      <c r="H5" s="3429"/>
      <c r="I5" s="3429"/>
      <c r="J5" s="3429"/>
      <c r="K5" s="3429"/>
    </row>
    <row r="6" spans="1:11" ht="15.6">
      <c r="A6" s="3428" t="s">
        <v>994</v>
      </c>
      <c r="B6" s="3429"/>
      <c r="C6" s="3429"/>
      <c r="D6" s="3429"/>
      <c r="E6" s="3429"/>
      <c r="F6" s="3429"/>
      <c r="G6" s="3429"/>
      <c r="H6" s="3429"/>
      <c r="I6" s="3429"/>
      <c r="J6" s="3429"/>
      <c r="K6" s="3429"/>
    </row>
    <row r="7" spans="1:11" ht="15.6">
      <c r="A7" s="3428" t="s">
        <v>991</v>
      </c>
      <c r="B7" s="3430"/>
      <c r="C7" s="3430"/>
      <c r="D7" s="3430"/>
      <c r="E7" s="3430"/>
      <c r="F7" s="3430"/>
      <c r="G7" s="3430"/>
      <c r="H7" s="3430"/>
      <c r="I7" s="3430"/>
      <c r="J7" s="3430"/>
      <c r="K7" s="3430"/>
    </row>
    <row r="8" spans="1:11" ht="15.6">
      <c r="A8" s="751"/>
      <c r="F8" s="751"/>
      <c r="H8" s="751"/>
      <c r="I8" s="752" t="s">
        <v>484</v>
      </c>
    </row>
    <row r="9" spans="1:11" ht="15.6">
      <c r="A9" s="751"/>
      <c r="F9" s="751"/>
      <c r="G9" s="753" t="s">
        <v>485</v>
      </c>
      <c r="H9" s="751"/>
      <c r="I9" s="753" t="s">
        <v>486</v>
      </c>
    </row>
    <row r="10" spans="1:11" ht="15.6">
      <c r="A10" s="751"/>
      <c r="E10" s="754" t="s">
        <v>1504</v>
      </c>
      <c r="F10" s="751"/>
      <c r="G10" s="753" t="s">
        <v>487</v>
      </c>
      <c r="H10" s="751"/>
      <c r="I10" s="754" t="s">
        <v>1505</v>
      </c>
    </row>
    <row r="11" spans="1:11" ht="15.6">
      <c r="A11" s="751"/>
      <c r="E11" s="755"/>
      <c r="F11" s="751"/>
      <c r="G11" s="755"/>
      <c r="H11" s="751"/>
      <c r="I11" s="755"/>
    </row>
    <row r="12" spans="1:11" ht="15.6">
      <c r="A12" s="756" t="s">
        <v>1092</v>
      </c>
      <c r="F12" s="751"/>
      <c r="H12" s="751"/>
    </row>
    <row r="13" spans="1:11">
      <c r="A13" s="751"/>
      <c r="F13" s="751"/>
      <c r="H13" s="751"/>
    </row>
    <row r="14" spans="1:11">
      <c r="A14" s="1249" t="s">
        <v>1091</v>
      </c>
      <c r="E14" s="2528">
        <v>15638.8</v>
      </c>
      <c r="F14" s="2528"/>
      <c r="G14" s="2529">
        <v>15638.8</v>
      </c>
      <c r="H14" s="2528"/>
      <c r="I14" s="2530">
        <v>10787.1</v>
      </c>
    </row>
    <row r="15" spans="1:11">
      <c r="A15" s="1249" t="s">
        <v>1090</v>
      </c>
      <c r="E15" s="757">
        <v>4.6100000000000004E-3</v>
      </c>
      <c r="F15" s="1608"/>
      <c r="G15" s="758">
        <v>4.6100000000000004E-3</v>
      </c>
      <c r="H15" s="1608"/>
      <c r="I15" s="759">
        <v>1.01E-3</v>
      </c>
    </row>
    <row r="16" spans="1:11">
      <c r="A16" s="1608" t="s">
        <v>488</v>
      </c>
      <c r="E16" s="2531">
        <v>4.7469999999999999</v>
      </c>
      <c r="F16" s="760"/>
      <c r="G16" s="2532">
        <v>4.7469999999999999</v>
      </c>
      <c r="H16" s="1799"/>
      <c r="I16" s="2533">
        <v>0.99399999999999999</v>
      </c>
    </row>
    <row r="17" spans="1:10">
      <c r="A17" s="751"/>
      <c r="J17" s="751"/>
    </row>
    <row r="18" spans="1:10">
      <c r="A18" s="1765"/>
      <c r="B18" s="2534"/>
      <c r="C18" s="2534"/>
      <c r="D18" s="2534"/>
      <c r="E18" s="2534"/>
      <c r="F18" s="2534"/>
      <c r="G18" s="2534"/>
      <c r="H18" s="2534"/>
      <c r="I18" s="2534"/>
      <c r="J18" s="1765"/>
    </row>
    <row r="19" spans="1:10">
      <c r="A19" s="1765"/>
      <c r="B19" s="2534"/>
      <c r="C19" s="2534"/>
      <c r="D19" s="2534"/>
      <c r="E19" s="2534"/>
      <c r="F19" s="2534"/>
      <c r="G19" s="2534"/>
      <c r="H19" s="2534"/>
      <c r="I19" s="2534"/>
      <c r="J19" s="1765"/>
    </row>
    <row r="20" spans="1:10" ht="17.399999999999999">
      <c r="A20" s="1766" t="s">
        <v>489</v>
      </c>
      <c r="B20" s="1767"/>
      <c r="C20" s="1767"/>
      <c r="D20" s="2534"/>
      <c r="E20" s="2534"/>
      <c r="F20" s="2534"/>
      <c r="G20" s="2534"/>
      <c r="H20" s="2534"/>
      <c r="I20" s="2534"/>
      <c r="J20" s="1765"/>
    </row>
    <row r="21" spans="1:10">
      <c r="A21" s="1765"/>
      <c r="B21" s="2534"/>
      <c r="C21" s="2534"/>
      <c r="D21" s="2534"/>
      <c r="E21" s="2534"/>
      <c r="F21" s="1138"/>
      <c r="G21" s="1138" t="s">
        <v>1466</v>
      </c>
      <c r="H21" s="1138"/>
      <c r="I21" s="1138" t="s">
        <v>1480</v>
      </c>
      <c r="J21" s="1765"/>
    </row>
    <row r="22" spans="1:10">
      <c r="A22" s="1765"/>
      <c r="B22" s="1768" t="s">
        <v>490</v>
      </c>
      <c r="C22" s="2534"/>
      <c r="D22" s="2535" t="s">
        <v>16</v>
      </c>
      <c r="E22" s="2534"/>
      <c r="F22" s="1769"/>
      <c r="G22" s="2536" t="s">
        <v>491</v>
      </c>
      <c r="H22" s="1769"/>
      <c r="I22" s="2536" t="s">
        <v>491</v>
      </c>
      <c r="J22" s="1765"/>
    </row>
    <row r="23" spans="1:10">
      <c r="A23" s="1765"/>
      <c r="B23" s="2535" t="s">
        <v>492</v>
      </c>
      <c r="C23" s="2534"/>
      <c r="D23" s="2534"/>
      <c r="E23" s="2534"/>
      <c r="F23" s="2537"/>
      <c r="G23" s="2538">
        <v>385</v>
      </c>
      <c r="H23" s="2537"/>
      <c r="I23" s="2538">
        <v>510</v>
      </c>
      <c r="J23" s="1765"/>
    </row>
    <row r="24" spans="1:10">
      <c r="A24" s="1765"/>
      <c r="B24" s="2535" t="s">
        <v>493</v>
      </c>
      <c r="C24" s="2534"/>
      <c r="D24" s="2534"/>
      <c r="E24" s="2534"/>
      <c r="F24" s="2537"/>
      <c r="G24" s="2539">
        <v>935</v>
      </c>
      <c r="H24" s="2537"/>
      <c r="I24" s="2539">
        <v>25</v>
      </c>
      <c r="J24" s="1765"/>
    </row>
    <row r="25" spans="1:10">
      <c r="A25" s="1765"/>
      <c r="B25" s="2535" t="s">
        <v>494</v>
      </c>
      <c r="C25" s="2534"/>
      <c r="D25" s="2534"/>
      <c r="E25" s="2534"/>
      <c r="F25" s="2540"/>
      <c r="G25" s="2539">
        <v>12095.7</v>
      </c>
      <c r="H25" s="2540"/>
      <c r="I25" s="2541">
        <v>9471.7999999999993</v>
      </c>
      <c r="J25" s="1765"/>
    </row>
    <row r="26" spans="1:10">
      <c r="A26" s="1765"/>
      <c r="B26" s="2535" t="s">
        <v>495</v>
      </c>
      <c r="C26" s="2534"/>
      <c r="D26" s="2534"/>
      <c r="E26" s="2534"/>
      <c r="F26" s="2540"/>
      <c r="G26" s="2539">
        <v>1776.3</v>
      </c>
      <c r="H26" s="2540"/>
      <c r="I26" s="2541">
        <v>2456.8000000000002</v>
      </c>
      <c r="J26" s="1765"/>
    </row>
    <row r="27" spans="1:10">
      <c r="A27" s="1765"/>
      <c r="B27" s="1770" t="s">
        <v>948</v>
      </c>
      <c r="C27" s="2534"/>
      <c r="D27" s="2534"/>
      <c r="E27" s="2534"/>
      <c r="F27" s="2542"/>
      <c r="G27" s="2539">
        <v>4820</v>
      </c>
      <c r="H27" s="2542"/>
      <c r="I27" s="2541">
        <v>5148</v>
      </c>
      <c r="J27" s="1765"/>
    </row>
    <row r="28" spans="1:10" ht="16.2" thickBot="1">
      <c r="A28" s="1765"/>
      <c r="B28" s="2534"/>
      <c r="C28" s="2534"/>
      <c r="D28" s="2534"/>
      <c r="E28" s="2534"/>
      <c r="F28" s="761"/>
      <c r="G28" s="762">
        <f>ROUND(SUM(G23:G27),1)</f>
        <v>20012</v>
      </c>
      <c r="H28" s="761"/>
      <c r="I28" s="762">
        <f>ROUND(SUM(I23:I27),1)</f>
        <v>17611.599999999999</v>
      </c>
      <c r="J28" s="1765"/>
    </row>
    <row r="29" spans="1:10" ht="15.6" thickTop="1">
      <c r="A29" s="751"/>
      <c r="F29" s="2543"/>
      <c r="G29" s="2543"/>
      <c r="H29" s="2543"/>
      <c r="J29" s="751"/>
    </row>
    <row r="30" spans="1:10">
      <c r="A30" s="751"/>
      <c r="J30" s="751"/>
    </row>
    <row r="31" spans="1:10" ht="15.6">
      <c r="A31" s="756"/>
      <c r="J31" s="751"/>
    </row>
    <row r="32" spans="1:10" ht="192.75" customHeight="1">
      <c r="A32" s="3431" t="s">
        <v>1109</v>
      </c>
      <c r="B32" s="3432"/>
      <c r="C32" s="3432"/>
      <c r="D32" s="3432"/>
      <c r="E32" s="3432"/>
      <c r="F32" s="3432"/>
      <c r="G32" s="3432"/>
      <c r="H32" s="3432"/>
      <c r="I32" s="3432"/>
      <c r="J32" s="751"/>
    </row>
    <row r="34" spans="1:11" ht="15" customHeight="1">
      <c r="A34" s="1188" t="s">
        <v>1094</v>
      </c>
      <c r="B34" s="1385"/>
      <c r="C34" s="1385"/>
      <c r="D34" s="1385"/>
      <c r="E34" s="1385"/>
      <c r="F34" s="1385"/>
      <c r="G34" s="1385"/>
      <c r="H34" s="1385"/>
      <c r="I34" s="1385"/>
      <c r="J34" s="1385"/>
      <c r="K34" s="1385"/>
    </row>
    <row r="35" spans="1:11" ht="17.25" customHeight="1">
      <c r="A35" s="1383"/>
      <c r="B35" s="1386"/>
      <c r="C35" s="1386"/>
      <c r="D35" s="1386"/>
      <c r="E35" s="1386"/>
      <c r="F35" s="1386"/>
      <c r="G35" s="1386"/>
      <c r="H35" s="1386"/>
      <c r="I35" s="1386"/>
      <c r="J35" s="1386"/>
      <c r="K35" s="763"/>
    </row>
    <row r="36" spans="1:11">
      <c r="A36" s="1608"/>
      <c r="B36" s="1608"/>
      <c r="C36" s="1386"/>
      <c r="D36" s="1386"/>
      <c r="E36" s="1386"/>
      <c r="F36" s="1386"/>
      <c r="G36" s="1386"/>
      <c r="H36" s="1386"/>
      <c r="I36" s="1386"/>
      <c r="J36" s="1386"/>
      <c r="K36" s="763"/>
    </row>
    <row r="37" spans="1:11">
      <c r="A37" s="1383"/>
      <c r="B37" s="1384"/>
      <c r="C37" s="1386"/>
      <c r="D37" s="1386"/>
      <c r="E37" s="1386"/>
      <c r="F37" s="1386"/>
      <c r="G37" s="1386"/>
      <c r="H37" s="1386"/>
      <c r="I37" s="1386"/>
      <c r="J37" s="1386"/>
      <c r="K37" s="763"/>
    </row>
    <row r="38" spans="1:11">
      <c r="A38" s="751"/>
      <c r="B38" s="1608" t="s">
        <v>16</v>
      </c>
      <c r="C38" s="751"/>
      <c r="D38" s="751"/>
      <c r="E38" s="751"/>
      <c r="F38" s="751"/>
      <c r="G38" s="751"/>
      <c r="H38" s="751"/>
      <c r="I38" s="751"/>
    </row>
    <row r="39" spans="1:11">
      <c r="B39" s="1608" t="s">
        <v>16</v>
      </c>
    </row>
  </sheetData>
  <customSheetViews>
    <customSheetView guid="{8EE6466D-211E-4E05-9F84-CC0A1C6F79F4}" showGridLines="0" outlineSymbols="0" fitToPage="1">
      <selection activeCell="I3" sqref="I3"/>
      <pageMargins left="0.5" right="0.5" top="1" bottom="0.5" header="0.5" footer="0.25"/>
      <printOptions horizontalCentered="1" verticalCentered="1"/>
      <pageSetup scale="71" orientation="landscape" r:id="rId1"/>
      <headerFooter scaleWithDoc="0" alignWithMargins="0">
        <oddFooter>&amp;C&amp;8 46</oddFooter>
      </headerFooter>
    </customSheetView>
  </customSheetViews>
  <mergeCells count="4">
    <mergeCell ref="A5:K5"/>
    <mergeCell ref="A6:K6"/>
    <mergeCell ref="A7:K7"/>
    <mergeCell ref="A32:I32"/>
  </mergeCells>
  <printOptions horizontalCentered="1" verticalCentered="1"/>
  <pageMargins left="0.5" right="0.5" top="1" bottom="0.5" header="0.5" footer="0.25"/>
  <pageSetup scale="71" firstPageNumber="46" orientation="landscape" useFirstPageNumber="1" r:id="rId2"/>
  <headerFooter scaleWithDoc="0" alignWithMargins="0">
    <oddFooter>&amp;C&amp;8&amp;P</oddFooter>
  </headerFooter>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N95"/>
  <sheetViews>
    <sheetView zoomScale="70" zoomScaleNormal="70" workbookViewId="0"/>
  </sheetViews>
  <sheetFormatPr defaultColWidth="8.90625" defaultRowHeight="13.2"/>
  <cols>
    <col min="1" max="1" width="45.453125" style="939" customWidth="1"/>
    <col min="2" max="2" width="17" style="764" bestFit="1" customWidth="1"/>
    <col min="3" max="3" width="1.81640625" style="764" customWidth="1"/>
    <col min="4" max="4" width="17" style="764" bestFit="1" customWidth="1"/>
    <col min="5" max="5" width="1.6328125" style="770" customWidth="1"/>
    <col min="6" max="6" width="17.1796875" style="764" customWidth="1"/>
    <col min="7" max="7" width="1.6328125" style="770" customWidth="1"/>
    <col min="8" max="8" width="17.54296875" style="764" customWidth="1"/>
    <col min="9" max="9" width="1.6328125" style="770" customWidth="1"/>
    <col min="10" max="10" width="16.453125" style="764" customWidth="1"/>
    <col min="11" max="11" width="1.6328125" style="764" customWidth="1"/>
    <col min="12" max="12" width="17" style="764" bestFit="1" customWidth="1"/>
    <col min="13" max="13" width="1.6328125" style="770" customWidth="1"/>
    <col min="14" max="14" width="17.54296875" style="764" customWidth="1"/>
    <col min="15" max="15" width="1.6328125" style="770" customWidth="1"/>
    <col min="16" max="16" width="17.1796875" style="764" customWidth="1"/>
    <col min="17" max="17" width="1.6328125" style="770" customWidth="1"/>
    <col min="18" max="18" width="13.6328125" style="764" customWidth="1"/>
    <col min="19" max="19" width="1.6328125" style="770" customWidth="1"/>
    <col min="20" max="20" width="13.6328125" style="764" customWidth="1"/>
    <col min="21" max="21" width="1.6328125" style="770" customWidth="1"/>
    <col min="22" max="22" width="13.6328125" style="764" customWidth="1"/>
    <col min="23" max="23" width="1.6328125" style="770" customWidth="1"/>
    <col min="24" max="24" width="13.6328125" style="764" customWidth="1"/>
    <col min="25" max="25" width="1.6328125" style="770" customWidth="1"/>
    <col min="26" max="26" width="22.453125" style="766" bestFit="1" customWidth="1"/>
    <col min="27" max="27" width="1.54296875" style="939" customWidth="1"/>
    <col min="28" max="28" width="18.81640625" style="939" bestFit="1" customWidth="1"/>
    <col min="29" max="29" width="12.6328125" style="939" bestFit="1" customWidth="1"/>
    <col min="30" max="16384" width="8.90625" style="939"/>
  </cols>
  <sheetData>
    <row r="1" spans="1:40" ht="15">
      <c r="A1" s="1172" t="s">
        <v>1103</v>
      </c>
      <c r="B1" s="2483"/>
      <c r="C1" s="2483"/>
      <c r="D1" s="2483"/>
      <c r="E1" s="2483"/>
      <c r="F1" s="2483"/>
      <c r="G1" s="2483"/>
      <c r="H1" s="2483"/>
      <c r="I1" s="2483"/>
      <c r="J1" s="2483"/>
      <c r="K1" s="2483"/>
      <c r="L1" s="2483"/>
      <c r="M1" s="2483"/>
      <c r="N1" s="2483"/>
      <c r="O1" s="2483"/>
      <c r="P1" s="2483"/>
      <c r="Q1" s="2483"/>
      <c r="R1" s="2483"/>
      <c r="S1" s="2483"/>
      <c r="T1" s="2483"/>
      <c r="U1" s="2483"/>
      <c r="V1" s="2483"/>
      <c r="W1" s="2483"/>
      <c r="X1" s="2483"/>
      <c r="Y1" s="2483"/>
      <c r="Z1" s="2483"/>
      <c r="AA1" s="2483"/>
      <c r="AB1" s="2483"/>
      <c r="AC1" s="2483"/>
      <c r="AD1" s="2483"/>
      <c r="AE1" s="2483"/>
      <c r="AF1" s="2483"/>
      <c r="AG1" s="2483"/>
    </row>
    <row r="2" spans="1:40" ht="15">
      <c r="A2" s="1172"/>
      <c r="B2" s="2483"/>
      <c r="C2" s="2483"/>
      <c r="D2" s="2483"/>
      <c r="E2" s="2483"/>
      <c r="F2" s="2483"/>
      <c r="G2" s="2483"/>
      <c r="H2" s="2483"/>
      <c r="I2" s="2483"/>
      <c r="J2" s="2483"/>
      <c r="K2" s="2483"/>
      <c r="L2" s="2483"/>
      <c r="M2" s="2483"/>
      <c r="N2" s="2483"/>
      <c r="O2" s="2483"/>
      <c r="P2" s="2483"/>
      <c r="Q2" s="2483"/>
      <c r="R2" s="2483"/>
      <c r="S2" s="2483"/>
      <c r="T2" s="2483"/>
      <c r="U2" s="2483"/>
      <c r="V2" s="2483"/>
      <c r="W2" s="2483"/>
      <c r="X2" s="2483"/>
      <c r="Y2" s="2483"/>
      <c r="Z2" s="2483"/>
      <c r="AA2" s="2483"/>
      <c r="AB2" s="2483"/>
      <c r="AC2" s="2483"/>
      <c r="AD2" s="2483"/>
      <c r="AE2" s="2483"/>
      <c r="AF2" s="2483"/>
      <c r="AG2" s="2483"/>
    </row>
    <row r="3" spans="1:40" ht="24" customHeight="1">
      <c r="A3" s="1669" t="s">
        <v>0</v>
      </c>
      <c r="B3" s="936"/>
      <c r="C3" s="936"/>
      <c r="D3" s="937"/>
      <c r="E3" s="938"/>
      <c r="F3" s="937"/>
      <c r="G3" s="938"/>
      <c r="H3" s="937"/>
      <c r="I3" s="938"/>
      <c r="K3" s="936"/>
      <c r="L3" s="765"/>
      <c r="M3" s="936"/>
      <c r="N3" s="937"/>
      <c r="O3" s="938"/>
      <c r="P3" s="937"/>
      <c r="Q3" s="938"/>
      <c r="R3" s="937"/>
      <c r="S3" s="938"/>
      <c r="T3" s="937"/>
      <c r="U3" s="938"/>
      <c r="V3" s="937"/>
      <c r="W3" s="938"/>
      <c r="X3" s="937"/>
      <c r="Y3" s="938"/>
      <c r="Z3" s="1599" t="s">
        <v>496</v>
      </c>
      <c r="AA3" s="936"/>
      <c r="AC3" s="936"/>
      <c r="AE3" s="936"/>
    </row>
    <row r="4" spans="1:40" ht="16.8">
      <c r="A4" s="1669" t="s">
        <v>497</v>
      </c>
      <c r="B4" s="2484"/>
      <c r="C4" s="2484"/>
      <c r="D4" s="940"/>
      <c r="E4" s="938"/>
      <c r="F4" s="2484"/>
      <c r="G4" s="938"/>
      <c r="H4" s="2484"/>
      <c r="I4" s="938"/>
      <c r="J4" s="2484"/>
      <c r="K4" s="2484"/>
      <c r="L4" s="2484"/>
      <c r="M4" s="941"/>
      <c r="N4" s="2484"/>
      <c r="O4" s="938"/>
      <c r="P4" s="2484"/>
      <c r="Q4" s="938"/>
      <c r="R4" s="2484"/>
      <c r="S4" s="938"/>
      <c r="T4" s="2484"/>
      <c r="U4" s="938"/>
      <c r="V4" s="2484"/>
      <c r="W4" s="938"/>
      <c r="X4" s="2484"/>
      <c r="Y4" s="938"/>
      <c r="Z4" s="2485"/>
      <c r="AA4" s="942"/>
      <c r="AC4" s="936"/>
    </row>
    <row r="5" spans="1:40" ht="16.8">
      <c r="A5" s="1670" t="s">
        <v>1343</v>
      </c>
      <c r="B5" s="2484"/>
      <c r="C5" s="2484"/>
      <c r="D5" s="2484"/>
      <c r="E5" s="938"/>
      <c r="F5" s="2484"/>
      <c r="G5" s="938"/>
      <c r="H5" s="2484"/>
      <c r="I5" s="938"/>
      <c r="J5" s="2484"/>
      <c r="K5" s="2484"/>
      <c r="L5" s="2484"/>
      <c r="M5" s="941"/>
      <c r="N5" s="2484"/>
      <c r="O5" s="938"/>
      <c r="P5" s="2484"/>
      <c r="Q5" s="938"/>
      <c r="R5" s="2484"/>
      <c r="S5" s="938"/>
      <c r="T5" s="2484"/>
      <c r="U5" s="938"/>
      <c r="V5" s="2484"/>
      <c r="W5" s="938"/>
      <c r="X5" s="2484"/>
      <c r="Y5" s="938"/>
      <c r="Z5" s="2485"/>
    </row>
    <row r="6" spans="1:40" ht="18" customHeight="1">
      <c r="A6" s="943" t="s">
        <v>1473</v>
      </c>
      <c r="B6" s="2484"/>
      <c r="C6" s="2484"/>
      <c r="D6" s="945"/>
      <c r="E6" s="938"/>
      <c r="F6" s="2484"/>
      <c r="G6" s="938"/>
      <c r="H6" s="2484"/>
      <c r="I6" s="938"/>
      <c r="J6" s="2484"/>
      <c r="K6" s="2484"/>
      <c r="L6" s="2484"/>
      <c r="M6" s="941"/>
      <c r="N6" s="2484"/>
      <c r="O6" s="938"/>
      <c r="P6" s="2484"/>
      <c r="Q6" s="938"/>
      <c r="R6" s="2484"/>
      <c r="S6" s="938"/>
      <c r="T6" s="2484"/>
      <c r="U6" s="938"/>
      <c r="V6" s="2484"/>
      <c r="W6" s="938"/>
      <c r="X6" s="2484"/>
      <c r="Y6" s="938"/>
      <c r="Z6" s="2485"/>
    </row>
    <row r="7" spans="1:40" ht="15" customHeight="1">
      <c r="A7" s="944"/>
      <c r="B7" s="2484"/>
      <c r="C7" s="2484"/>
      <c r="D7" s="2484"/>
      <c r="E7" s="938"/>
      <c r="F7" s="2484"/>
      <c r="G7" s="938"/>
      <c r="H7" s="2484"/>
      <c r="I7" s="938"/>
      <c r="J7" s="2484"/>
      <c r="K7" s="2484"/>
      <c r="L7" s="2484"/>
      <c r="M7" s="941"/>
      <c r="N7" s="2484"/>
      <c r="O7" s="938"/>
      <c r="P7" s="2484"/>
      <c r="Q7" s="938"/>
      <c r="R7" s="2486"/>
      <c r="S7" s="938"/>
      <c r="T7" s="2486"/>
      <c r="U7" s="938"/>
      <c r="V7" s="2486"/>
      <c r="W7" s="938"/>
      <c r="X7" s="2486"/>
      <c r="Y7" s="938"/>
      <c r="Z7" s="2485"/>
    </row>
    <row r="8" spans="1:40" ht="15.6">
      <c r="A8" s="935"/>
      <c r="B8" s="2484"/>
      <c r="C8" s="2484"/>
      <c r="D8" s="2484"/>
      <c r="E8" s="938"/>
      <c r="F8" s="2484"/>
      <c r="G8" s="938"/>
      <c r="H8" s="2484"/>
      <c r="I8" s="938"/>
      <c r="J8" s="2484"/>
      <c r="K8" s="2484"/>
      <c r="L8" s="2484"/>
      <c r="M8" s="938"/>
      <c r="N8" s="2484"/>
      <c r="O8" s="938"/>
      <c r="P8" s="2484"/>
      <c r="Q8" s="938"/>
      <c r="R8" s="2484"/>
      <c r="S8" s="938"/>
      <c r="T8" s="2484"/>
      <c r="U8" s="938"/>
      <c r="V8" s="2484"/>
      <c r="W8" s="938"/>
      <c r="X8" s="2484"/>
      <c r="Y8" s="938"/>
      <c r="Z8" s="946"/>
      <c r="AA8" s="947"/>
    </row>
    <row r="9" spans="1:40" ht="15" customHeight="1">
      <c r="A9" s="2487"/>
      <c r="B9" s="1812">
        <v>2016</v>
      </c>
      <c r="C9" s="948"/>
      <c r="D9" s="948"/>
      <c r="E9" s="941"/>
      <c r="F9" s="948"/>
      <c r="G9" s="941"/>
      <c r="H9" s="948"/>
      <c r="I9" s="941"/>
      <c r="J9" s="948"/>
      <c r="K9" s="948"/>
      <c r="L9" s="949"/>
      <c r="M9" s="941"/>
      <c r="N9" s="949"/>
      <c r="O9" s="941"/>
      <c r="P9" s="949"/>
      <c r="Q9" s="941"/>
      <c r="R9" s="949"/>
      <c r="S9" s="941"/>
      <c r="T9" s="1812">
        <v>2017</v>
      </c>
      <c r="U9" s="941"/>
      <c r="V9" s="949"/>
      <c r="W9" s="941"/>
      <c r="X9" s="949"/>
      <c r="Y9" s="941"/>
      <c r="Z9" s="950" t="s">
        <v>1496</v>
      </c>
      <c r="AA9" s="950"/>
    </row>
    <row r="10" spans="1:40" ht="15" customHeight="1">
      <c r="A10" s="2487"/>
      <c r="B10" s="951" t="s">
        <v>129</v>
      </c>
      <c r="C10" s="952"/>
      <c r="D10" s="949" t="s">
        <v>130</v>
      </c>
      <c r="E10" s="941"/>
      <c r="F10" s="949" t="s">
        <v>131</v>
      </c>
      <c r="G10" s="941"/>
      <c r="H10" s="949" t="s">
        <v>132</v>
      </c>
      <c r="I10" s="941"/>
      <c r="J10" s="949" t="s">
        <v>133</v>
      </c>
      <c r="K10" s="953"/>
      <c r="L10" s="949" t="s">
        <v>134</v>
      </c>
      <c r="M10" s="941"/>
      <c r="N10" s="949" t="s">
        <v>135</v>
      </c>
      <c r="O10" s="941"/>
      <c r="P10" s="949" t="s">
        <v>136</v>
      </c>
      <c r="Q10" s="941"/>
      <c r="R10" s="949" t="s">
        <v>137</v>
      </c>
      <c r="S10" s="941"/>
      <c r="T10" s="949" t="s">
        <v>154</v>
      </c>
      <c r="U10" s="941"/>
      <c r="V10" s="949" t="s">
        <v>139</v>
      </c>
      <c r="W10" s="941"/>
      <c r="X10" s="949" t="s">
        <v>140</v>
      </c>
      <c r="Y10" s="941"/>
      <c r="Z10" s="954">
        <v>42490</v>
      </c>
      <c r="AA10" s="954"/>
    </row>
    <row r="11" spans="1:40" ht="15" customHeight="1">
      <c r="A11" s="2487"/>
      <c r="B11" s="2488" t="s">
        <v>16</v>
      </c>
      <c r="C11" s="2489"/>
      <c r="D11" s="2488" t="s">
        <v>16</v>
      </c>
      <c r="E11" s="2490"/>
      <c r="F11" s="2488" t="s">
        <v>16</v>
      </c>
      <c r="G11" s="2490"/>
      <c r="H11" s="2488" t="s">
        <v>16</v>
      </c>
      <c r="I11" s="2490"/>
      <c r="J11" s="2488" t="s">
        <v>16</v>
      </c>
      <c r="K11" s="953"/>
      <c r="L11" s="2488" t="s">
        <v>16</v>
      </c>
      <c r="M11" s="2490"/>
      <c r="N11" s="2488" t="s">
        <v>16</v>
      </c>
      <c r="O11" s="2490"/>
      <c r="P11" s="2488" t="s">
        <v>16</v>
      </c>
      <c r="Q11" s="2490"/>
      <c r="R11" s="2488" t="s">
        <v>16</v>
      </c>
      <c r="S11" s="2490"/>
      <c r="T11" s="2488" t="s">
        <v>16</v>
      </c>
      <c r="U11" s="2490"/>
      <c r="V11" s="2488" t="s">
        <v>16</v>
      </c>
      <c r="W11" s="2490"/>
      <c r="X11" s="2488" t="s">
        <v>16</v>
      </c>
      <c r="Y11" s="2490"/>
      <c r="Z11" s="2491" t="s">
        <v>16</v>
      </c>
      <c r="AB11" s="955"/>
      <c r="AC11" s="955"/>
      <c r="AD11" s="955"/>
      <c r="AE11" s="955"/>
      <c r="AF11" s="955"/>
      <c r="AG11" s="955"/>
      <c r="AH11" s="955"/>
      <c r="AI11" s="955"/>
      <c r="AJ11" s="955"/>
      <c r="AK11" s="955"/>
      <c r="AL11" s="955"/>
      <c r="AM11" s="955"/>
      <c r="AN11" s="955"/>
    </row>
    <row r="12" spans="1:40" s="960" customFormat="1" ht="15" customHeight="1">
      <c r="A12" s="1671" t="s">
        <v>498</v>
      </c>
      <c r="B12" s="956">
        <v>77568773</v>
      </c>
      <c r="C12" s="957"/>
      <c r="D12" s="956"/>
      <c r="E12" s="2492"/>
      <c r="F12" s="956"/>
      <c r="G12" s="2492"/>
      <c r="H12" s="956"/>
      <c r="I12" s="2492"/>
      <c r="J12" s="956"/>
      <c r="K12" s="958"/>
      <c r="L12" s="956"/>
      <c r="M12" s="959"/>
      <c r="N12" s="956"/>
      <c r="O12" s="956"/>
      <c r="P12" s="956"/>
      <c r="Q12" s="956"/>
      <c r="R12" s="956"/>
      <c r="S12" s="956"/>
      <c r="T12" s="956"/>
      <c r="U12" s="956"/>
      <c r="V12" s="956"/>
      <c r="W12" s="956"/>
      <c r="X12" s="956"/>
      <c r="Y12" s="956"/>
      <c r="Z12" s="956">
        <f>+B12</f>
        <v>77568773</v>
      </c>
    </row>
    <row r="13" spans="1:40" ht="15" customHeight="1">
      <c r="A13" s="2493"/>
      <c r="B13" s="2494"/>
      <c r="C13" s="2495"/>
      <c r="D13" s="2494"/>
      <c r="E13" s="2494"/>
      <c r="F13" s="2494"/>
      <c r="G13" s="2494"/>
      <c r="H13" s="2494"/>
      <c r="I13" s="2494"/>
      <c r="J13" s="2494"/>
      <c r="K13" s="953"/>
      <c r="L13" s="2494"/>
      <c r="M13" s="2494"/>
      <c r="N13" s="2494"/>
      <c r="O13" s="2494"/>
      <c r="P13" s="2494"/>
      <c r="Q13" s="2494"/>
      <c r="R13" s="2494"/>
      <c r="S13" s="2494"/>
      <c r="T13" s="2494"/>
      <c r="U13" s="2494"/>
      <c r="V13" s="2494"/>
      <c r="W13" s="2494"/>
      <c r="X13" s="2494"/>
      <c r="Y13" s="2494"/>
      <c r="Z13" s="2496"/>
    </row>
    <row r="14" spans="1:40" ht="15" customHeight="1">
      <c r="A14" s="961" t="s">
        <v>15</v>
      </c>
      <c r="B14" s="2494"/>
      <c r="C14" s="2495"/>
      <c r="D14" s="2494"/>
      <c r="E14" s="2494"/>
      <c r="F14" s="2494"/>
      <c r="G14" s="2494"/>
      <c r="H14" s="2494"/>
      <c r="I14" s="2494"/>
      <c r="J14" s="2494"/>
      <c r="K14" s="2494"/>
      <c r="L14" s="2494"/>
      <c r="M14" s="2494"/>
      <c r="N14" s="2494"/>
      <c r="O14" s="2494"/>
      <c r="P14" s="2494"/>
      <c r="Q14" s="2494"/>
      <c r="R14" s="2494"/>
      <c r="S14" s="2494"/>
      <c r="T14" s="2494"/>
      <c r="U14" s="2494"/>
      <c r="V14" s="2494"/>
      <c r="W14" s="2494"/>
      <c r="X14" s="2494"/>
      <c r="Y14" s="2494"/>
      <c r="Z14" s="2496"/>
    </row>
    <row r="15" spans="1:40" ht="15" customHeight="1">
      <c r="A15" s="1672" t="s">
        <v>499</v>
      </c>
      <c r="B15" s="2497">
        <v>69906681</v>
      </c>
      <c r="C15" s="2498"/>
      <c r="D15" s="2497"/>
      <c r="E15" s="2497"/>
      <c r="F15" s="2497"/>
      <c r="G15" s="2497"/>
      <c r="H15" s="2497"/>
      <c r="I15" s="2497"/>
      <c r="J15" s="2497"/>
      <c r="K15" s="2497"/>
      <c r="L15" s="2497"/>
      <c r="M15" s="2494"/>
      <c r="N15" s="2497"/>
      <c r="O15" s="2497"/>
      <c r="P15" s="2497"/>
      <c r="Q15" s="2497"/>
      <c r="R15" s="2497"/>
      <c r="S15" s="2497"/>
      <c r="T15" s="2497"/>
      <c r="U15" s="2497"/>
      <c r="V15" s="2497"/>
      <c r="W15" s="2497"/>
      <c r="X15" s="2497"/>
      <c r="Y15" s="2497"/>
      <c r="Z15" s="2499">
        <f>ROUND(SUM(B15:X15),0)</f>
        <v>69906681</v>
      </c>
    </row>
    <row r="16" spans="1:40" ht="15" customHeight="1">
      <c r="A16" s="1672" t="s">
        <v>500</v>
      </c>
      <c r="B16" s="2497">
        <v>2868000</v>
      </c>
      <c r="C16" s="2498"/>
      <c r="D16" s="2497"/>
      <c r="E16" s="2497"/>
      <c r="F16" s="2497"/>
      <c r="G16" s="2497"/>
      <c r="H16" s="2497"/>
      <c r="I16" s="2497"/>
      <c r="J16" s="2497"/>
      <c r="K16" s="2497"/>
      <c r="L16" s="2497"/>
      <c r="M16" s="2494"/>
      <c r="N16" s="2497"/>
      <c r="O16" s="2497"/>
      <c r="P16" s="2497"/>
      <c r="Q16" s="2497"/>
      <c r="R16" s="2497"/>
      <c r="S16" s="2497"/>
      <c r="T16" s="2497"/>
      <c r="U16" s="2497"/>
      <c r="V16" s="2497"/>
      <c r="W16" s="2497"/>
      <c r="X16" s="2497"/>
      <c r="Y16" s="2497"/>
      <c r="Z16" s="2499">
        <f t="shared" ref="Z16:Z23" si="0">ROUND(SUM(B16:X16),0)</f>
        <v>2868000</v>
      </c>
    </row>
    <row r="17" spans="1:28" ht="15" customHeight="1">
      <c r="A17" s="1672" t="s">
        <v>501</v>
      </c>
      <c r="B17" s="2497">
        <v>157861.76999999999</v>
      </c>
      <c r="C17" s="2498"/>
      <c r="D17" s="2497"/>
      <c r="E17" s="2497"/>
      <c r="F17" s="2497"/>
      <c r="G17" s="2497"/>
      <c r="H17" s="2497"/>
      <c r="I17" s="2497"/>
      <c r="J17" s="2500"/>
      <c r="K17" s="2497"/>
      <c r="L17" s="2497"/>
      <c r="M17" s="2494"/>
      <c r="N17" s="2497"/>
      <c r="O17" s="2497"/>
      <c r="P17" s="2497"/>
      <c r="Q17" s="2497"/>
      <c r="R17" s="2497"/>
      <c r="S17" s="2497"/>
      <c r="T17" s="2497"/>
      <c r="U17" s="2497"/>
      <c r="V17" s="2497"/>
      <c r="W17" s="2497"/>
      <c r="X17" s="2497"/>
      <c r="Y17" s="2497"/>
      <c r="Z17" s="2499">
        <f t="shared" si="0"/>
        <v>157862</v>
      </c>
    </row>
    <row r="18" spans="1:28" ht="15" customHeight="1">
      <c r="A18" s="1672" t="s">
        <v>502</v>
      </c>
      <c r="B18" s="2500">
        <v>0</v>
      </c>
      <c r="C18" s="2501"/>
      <c r="D18" s="2497"/>
      <c r="E18" s="2500"/>
      <c r="F18" s="2500"/>
      <c r="G18" s="2500"/>
      <c r="H18" s="2500"/>
      <c r="I18" s="2497"/>
      <c r="J18" s="2500"/>
      <c r="K18" s="2502"/>
      <c r="L18" s="2500"/>
      <c r="M18" s="2494"/>
      <c r="N18" s="2500"/>
      <c r="O18" s="2497"/>
      <c r="P18" s="2500"/>
      <c r="Q18" s="2497"/>
      <c r="R18" s="2500"/>
      <c r="S18" s="2497"/>
      <c r="T18" s="2500"/>
      <c r="U18" s="2497"/>
      <c r="V18" s="2500"/>
      <c r="W18" s="2497"/>
      <c r="X18" s="2500"/>
      <c r="Y18" s="2497"/>
      <c r="Z18" s="2499">
        <f t="shared" si="0"/>
        <v>0</v>
      </c>
    </row>
    <row r="19" spans="1:28" ht="15" customHeight="1">
      <c r="A19" s="1672" t="s">
        <v>503</v>
      </c>
      <c r="B19" s="2497">
        <v>360143517</v>
      </c>
      <c r="C19" s="2498"/>
      <c r="D19" s="2497"/>
      <c r="E19" s="2497"/>
      <c r="F19" s="2497"/>
      <c r="G19" s="2497"/>
      <c r="H19" s="2497"/>
      <c r="I19" s="2497"/>
      <c r="J19" s="2497"/>
      <c r="K19" s="2497"/>
      <c r="L19" s="2497"/>
      <c r="M19" s="2494"/>
      <c r="N19" s="2497"/>
      <c r="O19" s="2497"/>
      <c r="P19" s="2497"/>
      <c r="Q19" s="2497"/>
      <c r="R19" s="2497"/>
      <c r="S19" s="2497"/>
      <c r="T19" s="2497"/>
      <c r="U19" s="2497"/>
      <c r="V19" s="2497"/>
      <c r="W19" s="2497"/>
      <c r="X19" s="2497"/>
      <c r="Y19" s="2497"/>
      <c r="Z19" s="2499">
        <f t="shared" si="0"/>
        <v>360143517</v>
      </c>
    </row>
    <row r="20" spans="1:28" ht="15" customHeight="1">
      <c r="A20" s="1672" t="s">
        <v>504</v>
      </c>
      <c r="B20" s="2503">
        <v>466000</v>
      </c>
      <c r="C20" s="2501"/>
      <c r="D20" s="2497"/>
      <c r="E20" s="2497"/>
      <c r="F20" s="2503"/>
      <c r="G20" s="2497"/>
      <c r="H20" s="2503"/>
      <c r="I20" s="2497"/>
      <c r="J20" s="2497"/>
      <c r="K20" s="2504"/>
      <c r="L20" s="2497"/>
      <c r="M20" s="2494"/>
      <c r="N20" s="2497"/>
      <c r="O20" s="2497"/>
      <c r="P20" s="2505"/>
      <c r="Q20" s="2497"/>
      <c r="R20" s="2505"/>
      <c r="S20" s="2497"/>
      <c r="T20" s="2503"/>
      <c r="U20" s="2497"/>
      <c r="V20" s="2500"/>
      <c r="W20" s="2500"/>
      <c r="X20" s="2503"/>
      <c r="Y20" s="2497"/>
      <c r="Z20" s="2499">
        <f t="shared" si="0"/>
        <v>466000</v>
      </c>
    </row>
    <row r="21" spans="1:28" ht="15" customHeight="1">
      <c r="A21" s="1672" t="s">
        <v>505</v>
      </c>
      <c r="B21" s="2503">
        <v>2758000</v>
      </c>
      <c r="C21" s="2501"/>
      <c r="D21" s="2497"/>
      <c r="E21" s="2497"/>
      <c r="F21" s="2503"/>
      <c r="G21" s="2497"/>
      <c r="H21" s="2500"/>
      <c r="I21" s="2497"/>
      <c r="J21" s="2500"/>
      <c r="K21" s="2504"/>
      <c r="L21" s="2500"/>
      <c r="M21" s="2494"/>
      <c r="N21" s="2500"/>
      <c r="O21" s="2497"/>
      <c r="P21" s="2497"/>
      <c r="Q21" s="2497"/>
      <c r="R21" s="2497"/>
      <c r="S21" s="2497"/>
      <c r="T21" s="2500"/>
      <c r="U21" s="2497"/>
      <c r="V21" s="2500"/>
      <c r="W21" s="2500"/>
      <c r="X21" s="2503"/>
      <c r="Y21" s="2497"/>
      <c r="Z21" s="2499">
        <f t="shared" si="0"/>
        <v>2758000</v>
      </c>
    </row>
    <row r="22" spans="1:28" ht="15" customHeight="1">
      <c r="A22" s="1672" t="s">
        <v>506</v>
      </c>
      <c r="B22" s="2503">
        <v>0</v>
      </c>
      <c r="C22" s="2501"/>
      <c r="D22" s="2497"/>
      <c r="E22" s="2497"/>
      <c r="F22" s="2503"/>
      <c r="G22" s="2497"/>
      <c r="H22" s="2503"/>
      <c r="I22" s="2497"/>
      <c r="J22" s="2497"/>
      <c r="K22" s="2504"/>
      <c r="L22" s="2497"/>
      <c r="M22" s="2494"/>
      <c r="N22" s="2497"/>
      <c r="O22" s="2497"/>
      <c r="P22" s="2497"/>
      <c r="Q22" s="2497"/>
      <c r="R22" s="2497"/>
      <c r="S22" s="2497"/>
      <c r="T22" s="2500"/>
      <c r="U22" s="2497"/>
      <c r="V22" s="2503"/>
      <c r="W22" s="2500"/>
      <c r="X22" s="2500"/>
      <c r="Y22" s="2497"/>
      <c r="Z22" s="2499">
        <f t="shared" si="0"/>
        <v>0</v>
      </c>
    </row>
    <row r="23" spans="1:28" ht="15" customHeight="1">
      <c r="A23" s="1672" t="s">
        <v>507</v>
      </c>
      <c r="B23" s="2500">
        <v>0</v>
      </c>
      <c r="C23" s="2506"/>
      <c r="D23" s="2497"/>
      <c r="E23" s="2497"/>
      <c r="F23" s="2500"/>
      <c r="G23" s="2497"/>
      <c r="H23" s="2497"/>
      <c r="I23" s="2497"/>
      <c r="J23" s="2500"/>
      <c r="K23" s="2497"/>
      <c r="L23" s="2504"/>
      <c r="M23" s="2494"/>
      <c r="N23" s="2500"/>
      <c r="O23" s="2497"/>
      <c r="P23" s="2500"/>
      <c r="Q23" s="2497"/>
      <c r="R23" s="2500"/>
      <c r="S23" s="2497"/>
      <c r="T23" s="2500"/>
      <c r="U23" s="2497"/>
      <c r="V23" s="2503"/>
      <c r="W23" s="2497"/>
      <c r="X23" s="2504"/>
      <c r="Y23" s="2497"/>
      <c r="Z23" s="2499">
        <f t="shared" si="0"/>
        <v>0</v>
      </c>
    </row>
    <row r="24" spans="1:28" s="960" customFormat="1" ht="22.5" customHeight="1">
      <c r="A24" s="961" t="s">
        <v>156</v>
      </c>
      <c r="B24" s="962">
        <f>ROUND(SUM(B15:B23),0)</f>
        <v>436300060</v>
      </c>
      <c r="C24" s="963"/>
      <c r="D24" s="962">
        <f>ROUND(SUM(D15:D23),0)</f>
        <v>0</v>
      </c>
      <c r="E24" s="964"/>
      <c r="F24" s="962">
        <f>ROUND(SUM(F15:F23),0)</f>
        <v>0</v>
      </c>
      <c r="G24" s="964"/>
      <c r="H24" s="962">
        <f>ROUND(SUM(H15:H23),0)</f>
        <v>0</v>
      </c>
      <c r="I24" s="964"/>
      <c r="J24" s="962">
        <f>ROUND(SUM(J15:J23),0)</f>
        <v>0</v>
      </c>
      <c r="K24" s="966"/>
      <c r="L24" s="962">
        <f>ROUND(SUM(L15:L23),0)</f>
        <v>0</v>
      </c>
      <c r="M24" s="959"/>
      <c r="N24" s="962">
        <f>ROUND(SUM(N15:N23),0)</f>
        <v>0</v>
      </c>
      <c r="O24" s="964"/>
      <c r="P24" s="962">
        <f>ROUND(SUM(P15:P23),0)</f>
        <v>0</v>
      </c>
      <c r="Q24" s="964"/>
      <c r="R24" s="962">
        <f>ROUND(SUM(R15:R23),0)</f>
        <v>0</v>
      </c>
      <c r="S24" s="964"/>
      <c r="T24" s="962">
        <f>ROUND(SUM(T15:T23),0)</f>
        <v>0</v>
      </c>
      <c r="U24" s="964"/>
      <c r="V24" s="962">
        <f>ROUND(SUM(V15:V23),0)</f>
        <v>0</v>
      </c>
      <c r="W24" s="964"/>
      <c r="X24" s="962">
        <f>ROUND(SUM(X15:X23),0)</f>
        <v>0</v>
      </c>
      <c r="Y24" s="964"/>
      <c r="Z24" s="962">
        <f>ROUND(SUM(Z15:Z23),0)</f>
        <v>436300060</v>
      </c>
      <c r="AB24" s="767"/>
    </row>
    <row r="25" spans="1:28" ht="15" customHeight="1">
      <c r="A25" s="2493"/>
      <c r="B25" s="2497"/>
      <c r="C25" s="2498"/>
      <c r="D25" s="2497"/>
      <c r="E25" s="2497"/>
      <c r="F25" s="2497"/>
      <c r="G25" s="2497"/>
      <c r="H25" s="2497"/>
      <c r="I25" s="2497"/>
      <c r="J25" s="2497"/>
      <c r="K25" s="2497"/>
      <c r="L25" s="2497"/>
      <c r="M25" s="2494"/>
      <c r="N25" s="2497"/>
      <c r="O25" s="2497"/>
      <c r="P25" s="2497"/>
      <c r="Q25" s="2497"/>
      <c r="R25" s="2497"/>
      <c r="S25" s="2497"/>
      <c r="T25" s="2497"/>
      <c r="U25" s="2497"/>
      <c r="V25" s="2497"/>
      <c r="W25" s="2497"/>
      <c r="X25" s="2497"/>
      <c r="Y25" s="2497"/>
      <c r="Z25" s="2507"/>
    </row>
    <row r="26" spans="1:28" ht="15" customHeight="1">
      <c r="A26" s="961" t="s">
        <v>24</v>
      </c>
      <c r="B26" s="2497"/>
      <c r="C26" s="2498"/>
      <c r="D26" s="2497"/>
      <c r="E26" s="2497"/>
      <c r="F26" s="2497"/>
      <c r="G26" s="2497"/>
      <c r="H26" s="2497"/>
      <c r="I26" s="2497"/>
      <c r="J26" s="2497"/>
      <c r="K26" s="2497"/>
      <c r="L26" s="2497"/>
      <c r="M26" s="2494"/>
      <c r="N26" s="2497"/>
      <c r="O26" s="2497"/>
      <c r="P26" s="2497"/>
      <c r="Q26" s="2497"/>
      <c r="R26" s="2497"/>
      <c r="S26" s="2497"/>
      <c r="T26" s="2497"/>
      <c r="U26" s="2497"/>
      <c r="V26" s="2497"/>
      <c r="W26" s="2497"/>
      <c r="X26" s="2497"/>
      <c r="Y26" s="2497"/>
      <c r="Z26" s="2507"/>
    </row>
    <row r="27" spans="1:28" ht="15" customHeight="1">
      <c r="A27" s="1673" t="s">
        <v>508</v>
      </c>
      <c r="B27" s="2508">
        <v>321080063</v>
      </c>
      <c r="C27" s="2509"/>
      <c r="D27" s="2497"/>
      <c r="E27" s="2508"/>
      <c r="F27" s="2508"/>
      <c r="G27" s="2508"/>
      <c r="H27" s="2508"/>
      <c r="I27" s="2508"/>
      <c r="J27" s="2508"/>
      <c r="K27" s="2508"/>
      <c r="L27" s="2508"/>
      <c r="M27" s="2510"/>
      <c r="N27" s="2508"/>
      <c r="O27" s="2508"/>
      <c r="P27" s="2508"/>
      <c r="Q27" s="2508"/>
      <c r="R27" s="2508"/>
      <c r="S27" s="2508"/>
      <c r="T27" s="2508"/>
      <c r="U27" s="2508"/>
      <c r="V27" s="2508"/>
      <c r="W27" s="2508"/>
      <c r="X27" s="2508"/>
      <c r="Y27" s="2508"/>
      <c r="Z27" s="2499">
        <f>ROUND(SUM(B27:X27),0)</f>
        <v>321080063</v>
      </c>
    </row>
    <row r="28" spans="1:28" ht="15" customHeight="1">
      <c r="A28" s="1673" t="s">
        <v>509</v>
      </c>
      <c r="B28" s="2508">
        <v>2682</v>
      </c>
      <c r="C28" s="2509"/>
      <c r="D28" s="2497"/>
      <c r="E28" s="2508"/>
      <c r="F28" s="2508"/>
      <c r="G28" s="2508"/>
      <c r="H28" s="2508"/>
      <c r="I28" s="2508"/>
      <c r="J28" s="2508"/>
      <c r="K28" s="2508"/>
      <c r="L28" s="2508"/>
      <c r="M28" s="2510"/>
      <c r="N28" s="2511"/>
      <c r="O28" s="2508"/>
      <c r="P28" s="2512"/>
      <c r="Q28" s="2508"/>
      <c r="R28" s="2508"/>
      <c r="S28" s="2508"/>
      <c r="T28" s="2511"/>
      <c r="U28" s="2508"/>
      <c r="V28" s="2508"/>
      <c r="W28" s="2508"/>
      <c r="X28" s="2513"/>
      <c r="Y28" s="2508"/>
      <c r="Z28" s="2499">
        <f>ROUND(SUM(B28:X28),0)</f>
        <v>2682</v>
      </c>
      <c r="AB28" s="768"/>
    </row>
    <row r="29" spans="1:28" ht="15" customHeight="1">
      <c r="A29" s="1673" t="s">
        <v>510</v>
      </c>
      <c r="B29" s="2508">
        <v>471992</v>
      </c>
      <c r="C29" s="2509"/>
      <c r="D29" s="2497"/>
      <c r="E29" s="2508"/>
      <c r="F29" s="2508"/>
      <c r="G29" s="2508"/>
      <c r="H29" s="2508"/>
      <c r="I29" s="2508"/>
      <c r="J29" s="2508"/>
      <c r="K29" s="2508"/>
      <c r="L29" s="2508"/>
      <c r="M29" s="2510"/>
      <c r="N29" s="2511"/>
      <c r="O29" s="2508"/>
      <c r="P29" s="2512"/>
      <c r="Q29" s="2508"/>
      <c r="R29" s="2508"/>
      <c r="S29" s="2508"/>
      <c r="T29" s="2508"/>
      <c r="U29" s="2508"/>
      <c r="V29" s="2508"/>
      <c r="W29" s="2508"/>
      <c r="X29" s="2508"/>
      <c r="Y29" s="2508"/>
      <c r="Z29" s="2499">
        <f>ROUND(SUM(B29:X29),0)</f>
        <v>471992</v>
      </c>
    </row>
    <row r="30" spans="1:28" ht="15" customHeight="1">
      <c r="A30" s="1673" t="s">
        <v>511</v>
      </c>
      <c r="B30" s="2508">
        <v>955757</v>
      </c>
      <c r="C30" s="2509"/>
      <c r="D30" s="2497"/>
      <c r="E30" s="2508"/>
      <c r="F30" s="2513"/>
      <c r="G30" s="2508"/>
      <c r="H30" s="2508"/>
      <c r="I30" s="2508"/>
      <c r="J30" s="2508"/>
      <c r="K30" s="2508"/>
      <c r="L30" s="2508"/>
      <c r="M30" s="2510"/>
      <c r="N30" s="2511"/>
      <c r="O30" s="2508"/>
      <c r="P30" s="2512"/>
      <c r="Q30" s="2508"/>
      <c r="R30" s="2508"/>
      <c r="S30" s="2508"/>
      <c r="T30" s="2508"/>
      <c r="U30" s="2508"/>
      <c r="V30" s="2508"/>
      <c r="W30" s="2508"/>
      <c r="X30" s="2508"/>
      <c r="Y30" s="2508"/>
      <c r="Z30" s="2499">
        <f>ROUND(SUM(B30:X30),0)</f>
        <v>955757</v>
      </c>
    </row>
    <row r="31" spans="1:28" ht="15" customHeight="1">
      <c r="A31" s="1673" t="s">
        <v>512</v>
      </c>
      <c r="B31" s="2514">
        <v>0</v>
      </c>
      <c r="C31" s="2509"/>
      <c r="D31" s="2497"/>
      <c r="E31" s="2508"/>
      <c r="F31" s="2515"/>
      <c r="G31" s="2508"/>
      <c r="H31" s="2514"/>
      <c r="I31" s="2508"/>
      <c r="J31" s="2508"/>
      <c r="K31" s="2508"/>
      <c r="L31" s="2508"/>
      <c r="M31" s="2510"/>
      <c r="N31" s="2514"/>
      <c r="O31" s="2508"/>
      <c r="P31" s="2508"/>
      <c r="Q31" s="2508"/>
      <c r="R31" s="2513"/>
      <c r="S31" s="2508"/>
      <c r="T31" s="2515"/>
      <c r="U31" s="2508"/>
      <c r="V31" s="2515"/>
      <c r="W31" s="2508"/>
      <c r="X31" s="2513"/>
      <c r="Y31" s="2508"/>
      <c r="Z31" s="2499">
        <f>ROUND(SUM(B31:X31),0)</f>
        <v>0</v>
      </c>
    </row>
    <row r="32" spans="1:28" ht="22.5" customHeight="1">
      <c r="A32" s="967" t="s">
        <v>162</v>
      </c>
      <c r="B32" s="965">
        <f>ROUND(SUM(B27:B31),0)</f>
        <v>322510494</v>
      </c>
      <c r="C32" s="2509"/>
      <c r="D32" s="965">
        <f>ROUND(SUM(D27:D31),0)</f>
        <v>0</v>
      </c>
      <c r="E32" s="2508"/>
      <c r="F32" s="965">
        <f>ROUND(SUM(F27:F31),0)</f>
        <v>0</v>
      </c>
      <c r="G32" s="2508"/>
      <c r="H32" s="965">
        <f>ROUND(SUM(H27:H31),0)</f>
        <v>0</v>
      </c>
      <c r="I32" s="2508"/>
      <c r="J32" s="965">
        <f>ROUND(SUM(J27:J31),0)</f>
        <v>0</v>
      </c>
      <c r="K32" s="2508"/>
      <c r="L32" s="965">
        <f>ROUND(SUM(L27:L31),0)</f>
        <v>0</v>
      </c>
      <c r="M32" s="2510"/>
      <c r="N32" s="965">
        <f>ROUND(SUM(N27:N31),0)</f>
        <v>0</v>
      </c>
      <c r="O32" s="2508"/>
      <c r="P32" s="965">
        <f>ROUND(SUM(P27:P31),0)</f>
        <v>0</v>
      </c>
      <c r="Q32" s="2508"/>
      <c r="R32" s="965">
        <f>ROUND(SUM(R27:R31),0)</f>
        <v>0</v>
      </c>
      <c r="S32" s="2508"/>
      <c r="T32" s="965">
        <f>ROUND(SUM(T27:T31),0)</f>
        <v>0</v>
      </c>
      <c r="U32" s="2508"/>
      <c r="V32" s="965">
        <f>ROUND(SUM(V27:V31),0)</f>
        <v>0</v>
      </c>
      <c r="W32" s="2508"/>
      <c r="X32" s="965">
        <f>ROUND(SUM(X27:X31),0)</f>
        <v>0</v>
      </c>
      <c r="Y32" s="2508"/>
      <c r="Z32" s="965">
        <f>ROUND(SUM(Z27:Z31),0)</f>
        <v>322510494</v>
      </c>
    </row>
    <row r="33" spans="1:28" ht="15" customHeight="1">
      <c r="A33" s="967"/>
      <c r="B33" s="2508"/>
      <c r="C33" s="2509"/>
      <c r="D33" s="2508"/>
      <c r="E33" s="2508"/>
      <c r="F33" s="2514"/>
      <c r="G33" s="2508"/>
      <c r="H33" s="2514"/>
      <c r="I33" s="2508"/>
      <c r="J33" s="2508"/>
      <c r="K33" s="2508"/>
      <c r="L33" s="2513"/>
      <c r="M33" s="2510"/>
      <c r="N33" s="2513"/>
      <c r="O33" s="2508"/>
      <c r="P33" s="2512"/>
      <c r="Q33" s="2508"/>
      <c r="R33" s="2514"/>
      <c r="S33" s="2508"/>
      <c r="T33" s="2514"/>
      <c r="U33" s="2508"/>
      <c r="V33" s="2509"/>
      <c r="W33" s="2508"/>
      <c r="X33" s="2514"/>
      <c r="Y33" s="2508"/>
      <c r="Z33" s="2499"/>
    </row>
    <row r="34" spans="1:28" ht="15" customHeight="1">
      <c r="A34" s="968" t="s">
        <v>513</v>
      </c>
      <c r="B34" s="2514"/>
      <c r="C34" s="2516"/>
      <c r="D34" s="2514"/>
      <c r="E34" s="2508"/>
      <c r="F34" s="2513"/>
      <c r="G34" s="2508"/>
      <c r="H34" s="2514"/>
      <c r="I34" s="2508"/>
      <c r="J34" s="2514"/>
      <c r="K34" s="2508"/>
      <c r="L34" s="2514"/>
      <c r="M34" s="2510"/>
      <c r="N34" s="2514"/>
      <c r="O34" s="2508"/>
      <c r="P34" s="2512"/>
      <c r="Q34" s="2508"/>
      <c r="R34" s="2514"/>
      <c r="S34" s="2508"/>
      <c r="T34" s="2514"/>
      <c r="U34" s="2508"/>
      <c r="V34" s="2513"/>
      <c r="W34" s="2508"/>
      <c r="X34" s="2513"/>
      <c r="Y34" s="2508"/>
      <c r="Z34" s="2499"/>
    </row>
    <row r="35" spans="1:28" ht="15" customHeight="1">
      <c r="A35" s="1673" t="s">
        <v>514</v>
      </c>
      <c r="B35" s="2514">
        <v>0</v>
      </c>
      <c r="C35" s="2516"/>
      <c r="D35" s="2497"/>
      <c r="E35" s="2508"/>
      <c r="F35" s="2514"/>
      <c r="G35" s="2508"/>
      <c r="H35" s="2514"/>
      <c r="I35" s="2508"/>
      <c r="J35" s="2514"/>
      <c r="K35" s="2508"/>
      <c r="L35" s="2514"/>
      <c r="M35" s="2510"/>
      <c r="N35" s="2513"/>
      <c r="O35" s="2508"/>
      <c r="P35" s="2514"/>
      <c r="Q35" s="2508"/>
      <c r="R35" s="2515"/>
      <c r="S35" s="2508"/>
      <c r="T35" s="2515"/>
      <c r="U35" s="2508"/>
      <c r="V35" s="2515"/>
      <c r="W35" s="2508"/>
      <c r="X35" s="2515"/>
      <c r="Y35" s="2508"/>
      <c r="Z35" s="2499">
        <f t="shared" ref="Z35:Z40" si="1">ROUND(SUM(B35:X35),0)</f>
        <v>0</v>
      </c>
    </row>
    <row r="36" spans="1:28" ht="15" customHeight="1">
      <c r="A36" s="1673" t="s">
        <v>515</v>
      </c>
      <c r="B36" s="2514">
        <v>0</v>
      </c>
      <c r="C36" s="2516"/>
      <c r="D36" s="2497"/>
      <c r="E36" s="2508"/>
      <c r="F36" s="2514"/>
      <c r="G36" s="2508"/>
      <c r="H36" s="2514"/>
      <c r="I36" s="2508"/>
      <c r="J36" s="2514"/>
      <c r="K36" s="2508"/>
      <c r="L36" s="2514"/>
      <c r="M36" s="2510"/>
      <c r="N36" s="2514"/>
      <c r="O36" s="2508"/>
      <c r="P36" s="2514"/>
      <c r="Q36" s="2508"/>
      <c r="R36" s="2514"/>
      <c r="S36" s="2508"/>
      <c r="T36" s="2500"/>
      <c r="U36" s="2508"/>
      <c r="V36" s="2500"/>
      <c r="W36" s="2508"/>
      <c r="X36" s="2514"/>
      <c r="Y36" s="2508"/>
      <c r="Z36" s="2499">
        <f t="shared" si="1"/>
        <v>0</v>
      </c>
    </row>
    <row r="37" spans="1:28" ht="15" customHeight="1">
      <c r="A37" s="1673" t="s">
        <v>150</v>
      </c>
      <c r="B37" s="2514">
        <v>0</v>
      </c>
      <c r="C37" s="2516"/>
      <c r="D37" s="2497"/>
      <c r="E37" s="2508"/>
      <c r="F37" s="2514"/>
      <c r="G37" s="2508"/>
      <c r="H37" s="2514"/>
      <c r="I37" s="2508"/>
      <c r="J37" s="2515"/>
      <c r="K37" s="2508"/>
      <c r="L37" s="2513"/>
      <c r="M37" s="2510"/>
      <c r="N37" s="2514"/>
      <c r="O37" s="2508"/>
      <c r="P37" s="2514"/>
      <c r="Q37" s="2508"/>
      <c r="R37" s="2514"/>
      <c r="S37" s="2508"/>
      <c r="T37" s="2500"/>
      <c r="U37" s="2508"/>
      <c r="V37" s="2515"/>
      <c r="W37" s="2508"/>
      <c r="X37" s="2515"/>
      <c r="Y37" s="2508"/>
      <c r="Z37" s="2499">
        <f t="shared" si="1"/>
        <v>0</v>
      </c>
    </row>
    <row r="38" spans="1:28" ht="13.5" customHeight="1">
      <c r="A38" s="1673" t="s">
        <v>516</v>
      </c>
      <c r="B38" s="969"/>
      <c r="C38" s="969"/>
      <c r="D38" s="2497"/>
      <c r="E38" s="969"/>
      <c r="F38" s="969"/>
      <c r="G38" s="969"/>
      <c r="H38" s="969"/>
      <c r="I38" s="969"/>
      <c r="J38" s="969"/>
      <c r="K38" s="969"/>
      <c r="L38" s="969"/>
      <c r="M38" s="2510"/>
      <c r="N38" s="969"/>
      <c r="O38" s="969"/>
      <c r="P38" s="969"/>
      <c r="Q38" s="969"/>
      <c r="R38" s="969"/>
      <c r="S38" s="969"/>
      <c r="T38" s="969"/>
      <c r="U38" s="969"/>
      <c r="V38" s="969"/>
      <c r="W38" s="969"/>
      <c r="X38" s="969"/>
      <c r="Y38" s="969"/>
      <c r="Z38" s="2499"/>
    </row>
    <row r="39" spans="1:28" ht="13.5" customHeight="1">
      <c r="A39" s="1673" t="s">
        <v>517</v>
      </c>
      <c r="B39" s="2514">
        <v>0</v>
      </c>
      <c r="C39" s="2516"/>
      <c r="D39" s="2497"/>
      <c r="E39" s="2508"/>
      <c r="F39" s="2514"/>
      <c r="G39" s="2508"/>
      <c r="H39" s="2514"/>
      <c r="I39" s="2508"/>
      <c r="J39" s="2514"/>
      <c r="K39" s="2508"/>
      <c r="L39" s="2514"/>
      <c r="M39" s="2510"/>
      <c r="N39" s="2514"/>
      <c r="O39" s="2508"/>
      <c r="P39" s="2514"/>
      <c r="Q39" s="2508"/>
      <c r="R39" s="2514"/>
      <c r="S39" s="2508"/>
      <c r="T39" s="2500"/>
      <c r="U39" s="2508"/>
      <c r="V39" s="2500"/>
      <c r="W39" s="2508"/>
      <c r="X39" s="2515"/>
      <c r="Y39" s="2508"/>
      <c r="Z39" s="2499">
        <f t="shared" si="1"/>
        <v>0</v>
      </c>
    </row>
    <row r="40" spans="1:28" ht="13.5" customHeight="1">
      <c r="A40" s="1673" t="s">
        <v>518</v>
      </c>
      <c r="B40" s="2514">
        <v>15148000</v>
      </c>
      <c r="C40" s="2516"/>
      <c r="D40" s="2497"/>
      <c r="E40" s="2508"/>
      <c r="F40" s="2514"/>
      <c r="G40" s="2508"/>
      <c r="H40" s="2508"/>
      <c r="I40" s="2508"/>
      <c r="J40" s="2514"/>
      <c r="K40" s="2508"/>
      <c r="L40" s="2514"/>
      <c r="M40" s="2510"/>
      <c r="N40" s="2513"/>
      <c r="O40" s="2508"/>
      <c r="P40" s="2514"/>
      <c r="Q40" s="2508"/>
      <c r="R40" s="2514"/>
      <c r="S40" s="2508"/>
      <c r="T40" s="2500"/>
      <c r="U40" s="2508"/>
      <c r="V40" s="2500"/>
      <c r="W40" s="2508"/>
      <c r="X40" s="2515"/>
      <c r="Y40" s="2508"/>
      <c r="Z40" s="2499">
        <f t="shared" si="1"/>
        <v>15148000</v>
      </c>
    </row>
    <row r="41" spans="1:28" ht="15" customHeight="1">
      <c r="A41" s="1673" t="s">
        <v>519</v>
      </c>
      <c r="B41" s="2515">
        <v>1329292</v>
      </c>
      <c r="C41" s="2516"/>
      <c r="D41" s="2497"/>
      <c r="E41" s="2508"/>
      <c r="F41" s="2515"/>
      <c r="G41" s="2508"/>
      <c r="H41" s="2515"/>
      <c r="I41" s="2508"/>
      <c r="J41" s="2515"/>
      <c r="K41" s="2508"/>
      <c r="L41" s="2515"/>
      <c r="M41" s="2510"/>
      <c r="N41" s="2513"/>
      <c r="O41" s="2508"/>
      <c r="P41" s="2513"/>
      <c r="Q41" s="2508"/>
      <c r="R41" s="2513"/>
      <c r="S41" s="2508"/>
      <c r="T41" s="2513"/>
      <c r="U41" s="2508"/>
      <c r="V41" s="2515"/>
      <c r="W41" s="2508"/>
      <c r="X41" s="2515"/>
      <c r="Y41" s="2508"/>
      <c r="Z41" s="2499">
        <f>ROUND(SUM(B41:X41),0)</f>
        <v>1329292</v>
      </c>
    </row>
    <row r="42" spans="1:28" ht="22.5" customHeight="1">
      <c r="A42" s="961" t="s">
        <v>520</v>
      </c>
      <c r="B42" s="970">
        <f>ROUND(SUM(B35:B41),0)</f>
        <v>16477292</v>
      </c>
      <c r="C42" s="2501"/>
      <c r="D42" s="970">
        <f>ROUND(SUM(D35:D41),0)</f>
        <v>0</v>
      </c>
      <c r="E42" s="2497"/>
      <c r="F42" s="970">
        <f>ROUND(SUM(F35:F41),0)</f>
        <v>0</v>
      </c>
      <c r="G42" s="2497"/>
      <c r="H42" s="970">
        <f>ROUND(SUM(H35:H41),0)</f>
        <v>0</v>
      </c>
      <c r="I42" s="2497"/>
      <c r="J42" s="970">
        <f>ROUND(SUM(J35:J41),0)</f>
        <v>0</v>
      </c>
      <c r="K42" s="2497"/>
      <c r="L42" s="970">
        <f>ROUND(SUM(L35:L41),0)</f>
        <v>0</v>
      </c>
      <c r="M42" s="2494"/>
      <c r="N42" s="970">
        <f>ROUND(SUM(N35:N41),0)</f>
        <v>0</v>
      </c>
      <c r="O42" s="2497"/>
      <c r="P42" s="970">
        <f>ROUND(SUM(P35:P41),0)</f>
        <v>0</v>
      </c>
      <c r="Q42" s="2497"/>
      <c r="R42" s="970">
        <f>ROUND(SUM(R35:R41),0)</f>
        <v>0</v>
      </c>
      <c r="S42" s="2497"/>
      <c r="T42" s="970">
        <f>ROUND(SUM(T35:T41),0)</f>
        <v>0</v>
      </c>
      <c r="U42" s="2497"/>
      <c r="V42" s="970">
        <f>ROUND(SUM(V35:V41),0)</f>
        <v>0</v>
      </c>
      <c r="W42" s="2497"/>
      <c r="X42" s="970">
        <f>ROUND(SUM(X35:X41),0)</f>
        <v>0</v>
      </c>
      <c r="Y42" s="2497"/>
      <c r="Z42" s="970">
        <f>ROUND(SUM(Z35:Z41),0)</f>
        <v>16477292</v>
      </c>
    </row>
    <row r="43" spans="1:28" ht="15" customHeight="1">
      <c r="B43" s="2517"/>
      <c r="C43" s="2501"/>
      <c r="D43" s="2517"/>
      <c r="E43" s="2497"/>
      <c r="F43" s="2518"/>
      <c r="G43" s="2497"/>
      <c r="H43" s="2517"/>
      <c r="I43" s="2497"/>
      <c r="J43" s="2517"/>
      <c r="K43" s="2497"/>
      <c r="L43" s="2517"/>
      <c r="M43" s="2494"/>
      <c r="N43" s="2517"/>
      <c r="O43" s="2497"/>
      <c r="P43" s="2519"/>
      <c r="Q43" s="2497"/>
      <c r="R43" s="2517"/>
      <c r="S43" s="2497"/>
      <c r="T43" s="2517"/>
      <c r="U43" s="2497"/>
      <c r="V43" s="2518"/>
      <c r="W43" s="2497"/>
      <c r="X43" s="2520"/>
      <c r="Y43" s="2497"/>
      <c r="Z43" s="2521"/>
    </row>
    <row r="44" spans="1:28" s="960" customFormat="1" ht="20.25" customHeight="1">
      <c r="A44" s="961" t="s">
        <v>521</v>
      </c>
      <c r="B44" s="2522">
        <f>ROUND(B32+B42,0)</f>
        <v>338987786</v>
      </c>
      <c r="C44" s="963"/>
      <c r="D44" s="2522">
        <f>ROUND(D32+D42,0)</f>
        <v>0</v>
      </c>
      <c r="E44" s="964"/>
      <c r="F44" s="2522">
        <f>ROUND(F32+F42,0)</f>
        <v>0</v>
      </c>
      <c r="G44" s="964"/>
      <c r="H44" s="2522">
        <f>ROUND(H32+H42,0)</f>
        <v>0</v>
      </c>
      <c r="I44" s="964"/>
      <c r="J44" s="2522">
        <f>ROUND(J32+J42,0)</f>
        <v>0</v>
      </c>
      <c r="K44" s="963"/>
      <c r="L44" s="2522">
        <f>ROUND(L32+L42,0)</f>
        <v>0</v>
      </c>
      <c r="M44" s="959"/>
      <c r="N44" s="2522">
        <f>ROUND(N32+N42,0)</f>
        <v>0</v>
      </c>
      <c r="O44" s="964"/>
      <c r="P44" s="2522">
        <f>ROUND(P32+P42,0)</f>
        <v>0</v>
      </c>
      <c r="Q44" s="964"/>
      <c r="R44" s="2522">
        <f>ROUND(R32+R42,0)</f>
        <v>0</v>
      </c>
      <c r="S44" s="964"/>
      <c r="T44" s="2522">
        <f>ROUND(T32+T42,0)</f>
        <v>0</v>
      </c>
      <c r="U44" s="964"/>
      <c r="V44" s="2522">
        <f>ROUND(V32+V42,0)</f>
        <v>0</v>
      </c>
      <c r="W44" s="964"/>
      <c r="X44" s="2522">
        <f>ROUND(X32+X42,0)</f>
        <v>0</v>
      </c>
      <c r="Y44" s="964"/>
      <c r="Z44" s="2522">
        <f>ROUND(Z32+Z42,0)</f>
        <v>338987786</v>
      </c>
      <c r="AB44" s="767"/>
    </row>
    <row r="45" spans="1:28" ht="15" customHeight="1">
      <c r="A45" s="2493"/>
      <c r="B45" s="2495"/>
      <c r="C45" s="2495"/>
      <c r="D45" s="2495"/>
      <c r="E45" s="2494"/>
      <c r="F45" s="2495"/>
      <c r="G45" s="2494"/>
      <c r="H45" s="2495"/>
      <c r="I45" s="2494"/>
      <c r="J45" s="2523"/>
      <c r="K45" s="2495"/>
      <c r="L45" s="2523"/>
      <c r="M45" s="2494"/>
      <c r="N45" s="2523"/>
      <c r="O45" s="2494"/>
      <c r="P45" s="2523"/>
      <c r="Q45" s="2494"/>
      <c r="R45" s="2523"/>
      <c r="S45" s="2494"/>
      <c r="T45" s="2523"/>
      <c r="U45" s="2494"/>
      <c r="V45" s="2523"/>
      <c r="W45" s="2494"/>
      <c r="X45" s="2523"/>
      <c r="Y45" s="2494"/>
      <c r="Z45" s="2524"/>
    </row>
    <row r="46" spans="1:28" s="960" customFormat="1" ht="20.25" customHeight="1" thickBot="1">
      <c r="A46" s="968" t="s">
        <v>522</v>
      </c>
      <c r="B46" s="971">
        <f>ROUND(B12+B24-B44,0)</f>
        <v>174881047</v>
      </c>
      <c r="C46" s="957"/>
      <c r="D46" s="971">
        <f>ROUND(D12+D24-D44,0)</f>
        <v>0</v>
      </c>
      <c r="E46" s="2492"/>
      <c r="F46" s="971">
        <f>ROUND(F12+F24-F44,0)</f>
        <v>0</v>
      </c>
      <c r="G46" s="2492"/>
      <c r="H46" s="971">
        <f>ROUND(H12+H24-H44,0)</f>
        <v>0</v>
      </c>
      <c r="I46" s="2492"/>
      <c r="J46" s="971">
        <f>ROUND(J12+J24-J44,0)</f>
        <v>0</v>
      </c>
      <c r="K46" s="957"/>
      <c r="L46" s="971">
        <f>ROUND(L12+L24-L44,0)</f>
        <v>0</v>
      </c>
      <c r="M46" s="972"/>
      <c r="N46" s="971">
        <f>ROUND(N12+N24-N44,0)</f>
        <v>0</v>
      </c>
      <c r="O46" s="973"/>
      <c r="P46" s="971">
        <f>ROUND(P12+P24-P44,0)</f>
        <v>0</v>
      </c>
      <c r="Q46" s="973"/>
      <c r="R46" s="971">
        <f>ROUND(R12+R24-R44,0)</f>
        <v>0</v>
      </c>
      <c r="S46" s="973"/>
      <c r="T46" s="971">
        <f>ROUND(T12+T24-T44,0)</f>
        <v>0</v>
      </c>
      <c r="U46" s="973"/>
      <c r="V46" s="971">
        <f>ROUND(V12+V24-V44,0)</f>
        <v>0</v>
      </c>
      <c r="W46" s="973"/>
      <c r="X46" s="971">
        <f>ROUND(X12+X24-X44,0)</f>
        <v>0</v>
      </c>
      <c r="Y46" s="973"/>
      <c r="Z46" s="971">
        <f>ROUND(Z12+Z24-Z44,0)</f>
        <v>174881047</v>
      </c>
    </row>
    <row r="47" spans="1:28" ht="15" customHeight="1" thickTop="1">
      <c r="A47" s="2493"/>
      <c r="B47" s="2489"/>
      <c r="C47" s="2489"/>
      <c r="D47" s="2489"/>
      <c r="E47" s="2525"/>
      <c r="F47" s="2489"/>
      <c r="G47" s="2525"/>
      <c r="H47" s="2489"/>
      <c r="I47" s="2525"/>
      <c r="J47" s="2489"/>
      <c r="K47" s="2489"/>
      <c r="L47" s="2489"/>
      <c r="M47" s="2525"/>
      <c r="N47" s="2489"/>
      <c r="O47" s="2525"/>
      <c r="P47" s="2489"/>
      <c r="Q47" s="2525"/>
      <c r="R47" s="2489"/>
      <c r="S47" s="2525"/>
      <c r="T47" s="2489"/>
      <c r="U47" s="2525"/>
      <c r="V47" s="2489"/>
      <c r="W47" s="2525"/>
      <c r="X47" s="2489"/>
      <c r="Y47" s="2525"/>
      <c r="Z47" s="2524"/>
    </row>
    <row r="48" spans="1:28" ht="20.100000000000001" customHeight="1">
      <c r="A48" s="974"/>
      <c r="B48" s="2526"/>
      <c r="C48" s="2526"/>
      <c r="D48" s="2526"/>
      <c r="E48" s="2490"/>
      <c r="F48" s="2526"/>
      <c r="G48" s="2490"/>
      <c r="H48" s="2526"/>
      <c r="I48" s="2490"/>
      <c r="J48" s="2526"/>
      <c r="K48" s="2526"/>
      <c r="L48" s="2526"/>
      <c r="M48" s="2490"/>
      <c r="N48" s="2526"/>
      <c r="O48" s="2490"/>
      <c r="P48" s="2526"/>
      <c r="Q48" s="2490"/>
      <c r="R48" s="2526"/>
      <c r="S48" s="2490"/>
      <c r="T48" s="2526"/>
      <c r="U48" s="2490"/>
      <c r="V48" s="2526"/>
      <c r="W48" s="2490"/>
      <c r="X48" s="2526"/>
      <c r="Y48" s="2490"/>
      <c r="Z48" s="2496"/>
    </row>
    <row r="50" spans="1:26" ht="18" customHeight="1">
      <c r="A50" s="975"/>
      <c r="B50" s="2484"/>
      <c r="C50" s="2484"/>
      <c r="D50" s="2484"/>
      <c r="E50" s="938"/>
      <c r="F50" s="2484"/>
      <c r="G50" s="938"/>
      <c r="H50" s="2484"/>
      <c r="I50" s="938"/>
      <c r="J50" s="2484"/>
      <c r="K50" s="2484"/>
      <c r="L50" s="2484"/>
      <c r="M50" s="2490"/>
      <c r="N50" s="2484"/>
      <c r="O50" s="938"/>
      <c r="P50" s="2484"/>
      <c r="Q50" s="938"/>
      <c r="R50" s="2484"/>
      <c r="S50" s="938"/>
      <c r="T50" s="2484"/>
      <c r="U50" s="938"/>
      <c r="V50" s="2484"/>
      <c r="W50" s="938"/>
      <c r="X50" s="2484"/>
      <c r="Y50" s="938"/>
      <c r="Z50" s="2485"/>
    </row>
    <row r="51" spans="1:26" ht="20.100000000000001" customHeight="1">
      <c r="A51" s="2487"/>
      <c r="B51" s="2526"/>
      <c r="C51" s="2526"/>
      <c r="D51" s="2526"/>
      <c r="E51" s="2490"/>
      <c r="F51" s="2526"/>
      <c r="G51" s="2490"/>
      <c r="H51" s="2526"/>
      <c r="I51" s="2490"/>
      <c r="J51" s="2526"/>
      <c r="K51" s="2526"/>
      <c r="L51" s="2526"/>
      <c r="M51" s="2490"/>
      <c r="N51" s="2526"/>
      <c r="O51" s="2490"/>
      <c r="P51" s="2526"/>
      <c r="Q51" s="2490"/>
      <c r="R51" s="2526"/>
      <c r="S51" s="2490"/>
      <c r="T51" s="2526"/>
      <c r="U51" s="2490"/>
      <c r="V51" s="2526"/>
      <c r="W51" s="2490"/>
      <c r="X51" s="2526"/>
      <c r="Y51" s="2490"/>
      <c r="Z51" s="2496"/>
    </row>
    <row r="52" spans="1:26" ht="20.100000000000001" customHeight="1">
      <c r="A52" s="2487"/>
      <c r="B52" s="2526"/>
      <c r="C52" s="2526"/>
      <c r="D52" s="2526"/>
      <c r="E52" s="2490"/>
      <c r="F52" s="2526"/>
      <c r="G52" s="2490"/>
      <c r="H52" s="2526"/>
      <c r="I52" s="2490"/>
      <c r="J52" s="2526"/>
      <c r="K52" s="2526"/>
      <c r="L52" s="2526"/>
      <c r="M52" s="2490"/>
      <c r="N52" s="2526"/>
      <c r="O52" s="2490"/>
      <c r="P52" s="2526"/>
      <c r="Q52" s="2490"/>
      <c r="R52" s="2526"/>
      <c r="S52" s="2490"/>
      <c r="T52" s="2526"/>
      <c r="U52" s="2490"/>
      <c r="V52" s="2526"/>
      <c r="W52" s="2490"/>
      <c r="X52" s="2526"/>
      <c r="Y52" s="2490"/>
      <c r="Z52" s="2496"/>
    </row>
    <row r="53" spans="1:26" ht="20.100000000000001" customHeight="1">
      <c r="A53" s="935"/>
      <c r="B53" s="937"/>
      <c r="C53" s="937"/>
      <c r="D53" s="937"/>
      <c r="E53" s="938"/>
      <c r="F53" s="937"/>
      <c r="G53" s="938"/>
      <c r="H53" s="937"/>
      <c r="I53" s="938"/>
      <c r="J53" s="937"/>
      <c r="K53" s="937"/>
      <c r="L53" s="937"/>
      <c r="M53" s="938"/>
      <c r="N53" s="937"/>
      <c r="O53" s="938"/>
      <c r="P53" s="937"/>
      <c r="Q53" s="938"/>
      <c r="R53" s="937"/>
      <c r="S53" s="938"/>
      <c r="T53" s="937"/>
      <c r="U53" s="938"/>
      <c r="V53" s="937"/>
      <c r="W53" s="938"/>
      <c r="X53" s="937"/>
      <c r="Y53" s="938"/>
      <c r="Z53" s="769"/>
    </row>
    <row r="54" spans="1:26" ht="20.100000000000001" customHeight="1">
      <c r="A54" s="935"/>
      <c r="B54" s="937"/>
      <c r="C54" s="937"/>
      <c r="D54" s="937"/>
      <c r="E54" s="938"/>
      <c r="F54" s="937"/>
      <c r="G54" s="938"/>
      <c r="H54" s="937"/>
      <c r="I54" s="938"/>
      <c r="J54" s="937"/>
      <c r="K54" s="937"/>
      <c r="L54" s="937"/>
      <c r="M54" s="938"/>
      <c r="N54" s="937"/>
      <c r="O54" s="938"/>
      <c r="P54" s="937"/>
      <c r="Q54" s="938"/>
      <c r="R54" s="937"/>
      <c r="S54" s="938"/>
      <c r="T54" s="937"/>
      <c r="U54" s="938"/>
      <c r="V54" s="937"/>
      <c r="W54" s="938"/>
      <c r="X54" s="937"/>
      <c r="Y54" s="938"/>
      <c r="Z54" s="769"/>
    </row>
    <row r="55" spans="1:26" ht="20.100000000000001" customHeight="1">
      <c r="A55" s="935"/>
      <c r="B55" s="937"/>
      <c r="C55" s="937"/>
      <c r="D55" s="937"/>
      <c r="E55" s="938"/>
      <c r="F55" s="937"/>
      <c r="G55" s="938"/>
      <c r="H55" s="937"/>
      <c r="I55" s="938"/>
      <c r="J55" s="937"/>
      <c r="K55" s="937"/>
      <c r="L55" s="937"/>
      <c r="M55" s="938"/>
      <c r="N55" s="937"/>
      <c r="O55" s="938"/>
      <c r="P55" s="937"/>
      <c r="Q55" s="938"/>
      <c r="R55" s="937"/>
      <c r="S55" s="938"/>
      <c r="T55" s="937"/>
      <c r="U55" s="938"/>
      <c r="V55" s="937"/>
      <c r="W55" s="938"/>
      <c r="X55" s="937"/>
      <c r="Y55" s="938"/>
      <c r="Z55" s="769"/>
    </row>
    <row r="56" spans="1:26" ht="20.100000000000001" customHeight="1">
      <c r="A56" s="935"/>
      <c r="B56" s="937"/>
      <c r="C56" s="937"/>
      <c r="D56" s="937"/>
      <c r="E56" s="938"/>
      <c r="F56" s="937"/>
      <c r="G56" s="938"/>
      <c r="H56" s="937"/>
      <c r="I56" s="938"/>
      <c r="J56" s="937"/>
      <c r="K56" s="937"/>
      <c r="L56" s="937"/>
      <c r="M56" s="938"/>
      <c r="N56" s="937"/>
      <c r="O56" s="938"/>
      <c r="P56" s="937"/>
      <c r="Q56" s="938"/>
      <c r="R56" s="937"/>
      <c r="S56" s="938"/>
      <c r="T56" s="937"/>
      <c r="U56" s="938"/>
      <c r="V56" s="937"/>
      <c r="W56" s="938"/>
      <c r="X56" s="937"/>
      <c r="Y56" s="938"/>
      <c r="Z56" s="769"/>
    </row>
    <row r="57" spans="1:26" ht="20.100000000000001" customHeight="1">
      <c r="A57" s="935"/>
      <c r="B57" s="937"/>
      <c r="C57" s="937"/>
      <c r="D57" s="937"/>
      <c r="E57" s="938"/>
      <c r="F57" s="937"/>
      <c r="G57" s="938"/>
      <c r="H57" s="937"/>
      <c r="I57" s="938"/>
      <c r="J57" s="937"/>
      <c r="K57" s="937"/>
      <c r="L57" s="937"/>
      <c r="M57" s="938"/>
      <c r="N57" s="937"/>
      <c r="O57" s="938"/>
      <c r="P57" s="937"/>
      <c r="Q57" s="938"/>
      <c r="R57" s="937"/>
      <c r="S57" s="938"/>
      <c r="T57" s="937"/>
      <c r="U57" s="938"/>
      <c r="V57" s="937"/>
      <c r="W57" s="938"/>
      <c r="X57" s="937"/>
      <c r="Y57" s="938"/>
      <c r="Z57" s="769"/>
    </row>
    <row r="58" spans="1:26">
      <c r="A58" s="935"/>
      <c r="B58" s="937"/>
      <c r="C58" s="937"/>
      <c r="D58" s="937"/>
      <c r="E58" s="938"/>
      <c r="F58" s="937"/>
      <c r="G58" s="938"/>
      <c r="H58" s="937"/>
      <c r="I58" s="938"/>
      <c r="J58" s="937"/>
      <c r="K58" s="937"/>
      <c r="L58" s="937"/>
      <c r="M58" s="938"/>
      <c r="N58" s="937"/>
      <c r="O58" s="938"/>
      <c r="P58" s="937"/>
      <c r="Q58" s="938"/>
      <c r="R58" s="937"/>
      <c r="S58" s="938"/>
      <c r="T58" s="937"/>
      <c r="U58" s="938"/>
      <c r="V58" s="937"/>
      <c r="W58" s="938"/>
      <c r="X58" s="937"/>
      <c r="Y58" s="938"/>
      <c r="Z58" s="769"/>
    </row>
    <row r="59" spans="1:26">
      <c r="A59" s="935"/>
      <c r="B59" s="937"/>
      <c r="C59" s="937"/>
      <c r="D59" s="937"/>
      <c r="E59" s="938"/>
      <c r="F59" s="937"/>
      <c r="G59" s="938"/>
      <c r="H59" s="937"/>
      <c r="I59" s="938"/>
      <c r="J59" s="937"/>
      <c r="K59" s="937"/>
      <c r="L59" s="937"/>
      <c r="M59" s="938"/>
      <c r="N59" s="937"/>
      <c r="O59" s="938"/>
      <c r="P59" s="937"/>
      <c r="Q59" s="938"/>
      <c r="R59" s="937"/>
      <c r="S59" s="938"/>
      <c r="T59" s="937"/>
      <c r="U59" s="938"/>
      <c r="V59" s="937"/>
      <c r="W59" s="938"/>
      <c r="X59" s="937"/>
      <c r="Y59" s="938"/>
      <c r="Z59" s="769"/>
    </row>
    <row r="60" spans="1:26">
      <c r="A60" s="935"/>
      <c r="B60" s="937"/>
      <c r="C60" s="937"/>
      <c r="D60" s="937"/>
      <c r="E60" s="938"/>
      <c r="F60" s="937"/>
      <c r="G60" s="938"/>
      <c r="H60" s="937"/>
      <c r="I60" s="938"/>
      <c r="J60" s="937"/>
      <c r="K60" s="937"/>
      <c r="L60" s="937"/>
      <c r="M60" s="938"/>
      <c r="N60" s="937"/>
      <c r="O60" s="938"/>
      <c r="P60" s="937"/>
      <c r="Q60" s="938"/>
      <c r="R60" s="937"/>
      <c r="S60" s="938"/>
      <c r="T60" s="937"/>
      <c r="U60" s="938"/>
      <c r="V60" s="937"/>
      <c r="W60" s="938"/>
      <c r="X60" s="937"/>
      <c r="Y60" s="938"/>
      <c r="Z60" s="769"/>
    </row>
    <row r="61" spans="1:26">
      <c r="A61" s="935"/>
      <c r="B61" s="937"/>
      <c r="C61" s="937"/>
      <c r="D61" s="937"/>
      <c r="E61" s="938"/>
      <c r="F61" s="937"/>
      <c r="G61" s="938"/>
      <c r="H61" s="937"/>
      <c r="I61" s="938"/>
      <c r="J61" s="937"/>
      <c r="K61" s="937"/>
      <c r="L61" s="937"/>
      <c r="M61" s="938"/>
      <c r="N61" s="937"/>
      <c r="O61" s="938"/>
      <c r="P61" s="937"/>
      <c r="Q61" s="938"/>
      <c r="R61" s="937"/>
      <c r="S61" s="938"/>
      <c r="T61" s="937"/>
      <c r="U61" s="938"/>
      <c r="V61" s="937"/>
      <c r="W61" s="938"/>
      <c r="X61" s="937"/>
      <c r="Y61" s="938"/>
      <c r="Z61" s="769"/>
    </row>
    <row r="62" spans="1:26">
      <c r="A62" s="935"/>
      <c r="B62" s="937"/>
      <c r="C62" s="937"/>
      <c r="D62" s="937"/>
      <c r="E62" s="938"/>
      <c r="F62" s="937"/>
      <c r="G62" s="938"/>
      <c r="H62" s="937"/>
      <c r="I62" s="938"/>
      <c r="J62" s="937"/>
      <c r="K62" s="937"/>
      <c r="L62" s="937"/>
      <c r="M62" s="938"/>
      <c r="N62" s="937"/>
      <c r="O62" s="938"/>
      <c r="P62" s="937"/>
      <c r="Q62" s="938"/>
      <c r="R62" s="937"/>
      <c r="S62" s="938"/>
      <c r="T62" s="937"/>
      <c r="U62" s="938"/>
      <c r="V62" s="937"/>
      <c r="W62" s="938"/>
      <c r="X62" s="937"/>
      <c r="Y62" s="938"/>
      <c r="Z62" s="769"/>
    </row>
    <row r="63" spans="1:26">
      <c r="A63" s="935"/>
      <c r="B63" s="937"/>
      <c r="C63" s="937"/>
      <c r="D63" s="937"/>
      <c r="E63" s="938"/>
      <c r="F63" s="937"/>
      <c r="G63" s="938"/>
      <c r="H63" s="937"/>
      <c r="I63" s="938"/>
      <c r="J63" s="937"/>
      <c r="K63" s="937"/>
      <c r="L63" s="937"/>
      <c r="M63" s="938"/>
      <c r="N63" s="937"/>
      <c r="O63" s="938"/>
      <c r="P63" s="937"/>
      <c r="Q63" s="938"/>
      <c r="R63" s="937"/>
      <c r="S63" s="938"/>
      <c r="T63" s="937"/>
      <c r="U63" s="938"/>
      <c r="V63" s="937"/>
      <c r="W63" s="938"/>
      <c r="X63" s="937"/>
      <c r="Y63" s="938"/>
      <c r="Z63" s="769"/>
    </row>
    <row r="64" spans="1:26">
      <c r="A64" s="935"/>
      <c r="B64" s="937"/>
      <c r="C64" s="937"/>
      <c r="D64" s="937"/>
      <c r="E64" s="938"/>
      <c r="F64" s="937"/>
      <c r="G64" s="938"/>
      <c r="H64" s="937"/>
      <c r="I64" s="938"/>
      <c r="J64" s="937"/>
      <c r="K64" s="937"/>
      <c r="L64" s="937"/>
      <c r="M64" s="938"/>
      <c r="N64" s="937"/>
      <c r="O64" s="938"/>
      <c r="P64" s="937"/>
      <c r="Q64" s="938"/>
      <c r="R64" s="937"/>
      <c r="S64" s="938"/>
      <c r="T64" s="937"/>
      <c r="U64" s="938"/>
      <c r="V64" s="937"/>
      <c r="W64" s="938"/>
      <c r="X64" s="937"/>
      <c r="Y64" s="938"/>
      <c r="Z64" s="769"/>
    </row>
    <row r="65" spans="1:26">
      <c r="A65" s="935"/>
      <c r="B65" s="937"/>
      <c r="C65" s="937"/>
      <c r="D65" s="937"/>
      <c r="E65" s="938"/>
      <c r="F65" s="937"/>
      <c r="G65" s="938"/>
      <c r="H65" s="937"/>
      <c r="I65" s="938"/>
      <c r="J65" s="937"/>
      <c r="K65" s="937"/>
      <c r="L65" s="937"/>
      <c r="M65" s="938"/>
      <c r="N65" s="937"/>
      <c r="O65" s="938"/>
      <c r="P65" s="937"/>
      <c r="Q65" s="938"/>
      <c r="R65" s="937"/>
      <c r="S65" s="938"/>
      <c r="T65" s="937"/>
      <c r="U65" s="938"/>
      <c r="V65" s="937"/>
      <c r="W65" s="938"/>
      <c r="X65" s="937"/>
      <c r="Y65" s="938"/>
      <c r="Z65" s="769"/>
    </row>
    <row r="66" spans="1:26">
      <c r="A66" s="935"/>
      <c r="B66" s="937"/>
      <c r="C66" s="937"/>
      <c r="D66" s="937"/>
      <c r="E66" s="938"/>
      <c r="F66" s="937"/>
      <c r="G66" s="938"/>
      <c r="H66" s="937"/>
      <c r="I66" s="938"/>
      <c r="J66" s="937"/>
      <c r="K66" s="937"/>
      <c r="L66" s="937"/>
      <c r="M66" s="938"/>
      <c r="N66" s="937"/>
      <c r="O66" s="938"/>
      <c r="P66" s="937"/>
      <c r="Q66" s="938"/>
      <c r="R66" s="937"/>
      <c r="S66" s="938"/>
      <c r="T66" s="937"/>
      <c r="U66" s="938"/>
      <c r="V66" s="937"/>
      <c r="W66" s="938"/>
      <c r="X66" s="937"/>
      <c r="Y66" s="938"/>
      <c r="Z66" s="769"/>
    </row>
    <row r="67" spans="1:26">
      <c r="A67" s="935"/>
      <c r="B67" s="937"/>
      <c r="C67" s="937"/>
      <c r="D67" s="937"/>
      <c r="E67" s="938"/>
      <c r="F67" s="937"/>
      <c r="G67" s="938"/>
      <c r="H67" s="937"/>
      <c r="I67" s="938"/>
      <c r="J67" s="937"/>
      <c r="K67" s="937"/>
      <c r="L67" s="937"/>
      <c r="M67" s="938"/>
      <c r="N67" s="937"/>
      <c r="O67" s="938"/>
      <c r="P67" s="937"/>
      <c r="Q67" s="938"/>
      <c r="R67" s="937"/>
      <c r="S67" s="938"/>
      <c r="T67" s="937"/>
      <c r="U67" s="938"/>
      <c r="V67" s="937"/>
      <c r="W67" s="938"/>
      <c r="X67" s="937"/>
      <c r="Y67" s="938"/>
      <c r="Z67" s="769"/>
    </row>
    <row r="68" spans="1:26">
      <c r="A68" s="935"/>
      <c r="B68" s="937"/>
      <c r="C68" s="937"/>
      <c r="D68" s="937"/>
      <c r="E68" s="938"/>
      <c r="F68" s="937"/>
      <c r="G68" s="938"/>
      <c r="H68" s="937"/>
      <c r="I68" s="938"/>
      <c r="J68" s="937"/>
      <c r="K68" s="937"/>
      <c r="L68" s="937"/>
      <c r="M68" s="938"/>
      <c r="N68" s="937"/>
      <c r="O68" s="938"/>
      <c r="P68" s="937"/>
      <c r="Q68" s="938"/>
      <c r="R68" s="937"/>
      <c r="S68" s="938"/>
      <c r="T68" s="937"/>
      <c r="U68" s="938"/>
      <c r="V68" s="937"/>
      <c r="W68" s="938"/>
      <c r="X68" s="937"/>
      <c r="Y68" s="938"/>
      <c r="Z68" s="769"/>
    </row>
    <row r="69" spans="1:26">
      <c r="A69" s="935"/>
      <c r="B69" s="937"/>
      <c r="C69" s="937"/>
      <c r="D69" s="937"/>
      <c r="E69" s="938"/>
      <c r="F69" s="937"/>
      <c r="G69" s="938"/>
      <c r="H69" s="937"/>
      <c r="I69" s="938"/>
      <c r="J69" s="937"/>
      <c r="K69" s="937"/>
      <c r="L69" s="937"/>
      <c r="M69" s="938"/>
      <c r="N69" s="937"/>
      <c r="O69" s="938"/>
      <c r="P69" s="937"/>
      <c r="Q69" s="938"/>
      <c r="R69" s="937"/>
      <c r="S69" s="938"/>
      <c r="T69" s="937"/>
      <c r="U69" s="938"/>
      <c r="V69" s="937"/>
      <c r="W69" s="938"/>
      <c r="X69" s="937"/>
      <c r="Y69" s="938"/>
      <c r="Z69" s="769"/>
    </row>
    <row r="70" spans="1:26">
      <c r="A70" s="935"/>
      <c r="B70" s="937"/>
      <c r="C70" s="937"/>
      <c r="D70" s="937"/>
      <c r="E70" s="938"/>
      <c r="F70" s="937"/>
      <c r="G70" s="938"/>
      <c r="H70" s="937"/>
      <c r="I70" s="938"/>
      <c r="J70" s="937"/>
      <c r="K70" s="937"/>
      <c r="L70" s="937"/>
      <c r="M70" s="938"/>
      <c r="N70" s="937"/>
      <c r="O70" s="938"/>
      <c r="P70" s="937"/>
      <c r="Q70" s="938"/>
      <c r="R70" s="937"/>
      <c r="S70" s="938"/>
      <c r="T70" s="937"/>
      <c r="U70" s="938"/>
      <c r="V70" s="937"/>
      <c r="W70" s="938"/>
      <c r="X70" s="937"/>
      <c r="Y70" s="938"/>
      <c r="Z70" s="769"/>
    </row>
    <row r="71" spans="1:26">
      <c r="A71" s="935"/>
      <c r="B71" s="937"/>
      <c r="C71" s="937"/>
      <c r="D71" s="937"/>
      <c r="E71" s="938"/>
      <c r="F71" s="937"/>
      <c r="G71" s="938"/>
      <c r="H71" s="937"/>
      <c r="I71" s="938"/>
      <c r="J71" s="937"/>
      <c r="K71" s="937"/>
      <c r="L71" s="937"/>
      <c r="M71" s="938"/>
      <c r="N71" s="937"/>
      <c r="O71" s="938"/>
      <c r="P71" s="937"/>
      <c r="Q71" s="938"/>
      <c r="R71" s="937"/>
      <c r="S71" s="938"/>
      <c r="T71" s="937"/>
      <c r="U71" s="938"/>
      <c r="V71" s="937"/>
      <c r="W71" s="938"/>
      <c r="X71" s="937"/>
      <c r="Y71" s="938"/>
      <c r="Z71" s="769"/>
    </row>
    <row r="72" spans="1:26">
      <c r="A72" s="935"/>
      <c r="B72" s="937"/>
      <c r="C72" s="937"/>
      <c r="D72" s="937"/>
      <c r="E72" s="938"/>
      <c r="F72" s="937"/>
      <c r="G72" s="938"/>
      <c r="H72" s="937"/>
      <c r="I72" s="938"/>
      <c r="J72" s="937"/>
      <c r="K72" s="937"/>
      <c r="L72" s="937"/>
      <c r="M72" s="938"/>
      <c r="N72" s="937"/>
      <c r="O72" s="938"/>
      <c r="P72" s="937"/>
      <c r="Q72" s="938"/>
      <c r="R72" s="937"/>
      <c r="S72" s="938"/>
      <c r="T72" s="937"/>
      <c r="U72" s="938"/>
      <c r="V72" s="937"/>
      <c r="W72" s="938"/>
      <c r="X72" s="937"/>
      <c r="Y72" s="938"/>
      <c r="Z72" s="769"/>
    </row>
    <row r="73" spans="1:26">
      <c r="A73" s="935"/>
      <c r="B73" s="937"/>
      <c r="C73" s="937"/>
      <c r="D73" s="937"/>
      <c r="E73" s="938"/>
      <c r="F73" s="937"/>
      <c r="G73" s="938"/>
      <c r="H73" s="937"/>
      <c r="I73" s="938"/>
      <c r="J73" s="937"/>
      <c r="K73" s="937"/>
      <c r="L73" s="937"/>
      <c r="M73" s="938"/>
      <c r="N73" s="937"/>
      <c r="O73" s="938"/>
      <c r="P73" s="937"/>
      <c r="Q73" s="938"/>
      <c r="R73" s="937"/>
      <c r="S73" s="938"/>
      <c r="T73" s="937"/>
      <c r="U73" s="938"/>
      <c r="V73" s="937"/>
      <c r="W73" s="938"/>
      <c r="X73" s="937"/>
      <c r="Y73" s="938"/>
      <c r="Z73" s="769"/>
    </row>
    <row r="74" spans="1:26">
      <c r="A74" s="935"/>
      <c r="B74" s="937"/>
      <c r="C74" s="937"/>
      <c r="D74" s="937"/>
      <c r="E74" s="938"/>
      <c r="F74" s="937"/>
      <c r="G74" s="938"/>
      <c r="H74" s="937"/>
      <c r="I74" s="938"/>
      <c r="J74" s="937"/>
      <c r="K74" s="937"/>
      <c r="L74" s="937"/>
      <c r="M74" s="938"/>
      <c r="N74" s="937"/>
      <c r="O74" s="938"/>
      <c r="P74" s="937"/>
      <c r="Q74" s="938"/>
      <c r="R74" s="937"/>
      <c r="S74" s="938"/>
      <c r="T74" s="937"/>
      <c r="U74" s="938"/>
      <c r="V74" s="937"/>
      <c r="W74" s="938"/>
      <c r="X74" s="937"/>
      <c r="Y74" s="938"/>
      <c r="Z74" s="769"/>
    </row>
    <row r="75" spans="1:26">
      <c r="A75" s="935"/>
      <c r="B75" s="937"/>
      <c r="C75" s="937"/>
      <c r="D75" s="937"/>
      <c r="E75" s="938"/>
      <c r="F75" s="937"/>
      <c r="G75" s="938"/>
      <c r="H75" s="937"/>
      <c r="I75" s="938"/>
      <c r="J75" s="937"/>
      <c r="K75" s="937"/>
      <c r="L75" s="937"/>
      <c r="M75" s="938"/>
      <c r="N75" s="937"/>
      <c r="O75" s="938"/>
      <c r="P75" s="937"/>
      <c r="Q75" s="938"/>
      <c r="R75" s="937"/>
      <c r="S75" s="938"/>
      <c r="T75" s="937"/>
      <c r="U75" s="938"/>
      <c r="V75" s="937"/>
      <c r="W75" s="938"/>
      <c r="X75" s="937"/>
      <c r="Y75" s="938"/>
      <c r="Z75" s="769"/>
    </row>
    <row r="76" spans="1:26">
      <c r="A76" s="935"/>
      <c r="B76" s="937"/>
      <c r="C76" s="937"/>
      <c r="D76" s="937"/>
      <c r="E76" s="938"/>
      <c r="F76" s="937"/>
      <c r="G76" s="938"/>
      <c r="H76" s="937"/>
      <c r="I76" s="938"/>
      <c r="J76" s="937"/>
      <c r="K76" s="937"/>
      <c r="L76" s="937"/>
      <c r="M76" s="938"/>
      <c r="N76" s="937"/>
      <c r="O76" s="938"/>
      <c r="P76" s="937"/>
      <c r="Q76" s="938"/>
      <c r="R76" s="937"/>
      <c r="S76" s="938"/>
      <c r="T76" s="937"/>
      <c r="U76" s="938"/>
      <c r="V76" s="937"/>
      <c r="W76" s="938"/>
      <c r="X76" s="937"/>
      <c r="Y76" s="938"/>
      <c r="Z76" s="769"/>
    </row>
    <row r="77" spans="1:26">
      <c r="A77" s="935"/>
      <c r="B77" s="937"/>
      <c r="C77" s="937"/>
      <c r="D77" s="937"/>
      <c r="E77" s="938"/>
      <c r="F77" s="937"/>
      <c r="G77" s="938"/>
      <c r="H77" s="937"/>
      <c r="I77" s="938"/>
      <c r="J77" s="937"/>
      <c r="K77" s="937"/>
      <c r="L77" s="937"/>
      <c r="M77" s="938"/>
      <c r="N77" s="937"/>
      <c r="O77" s="938"/>
      <c r="P77" s="937"/>
      <c r="Q77" s="938"/>
      <c r="R77" s="937"/>
      <c r="S77" s="938"/>
      <c r="T77" s="937"/>
      <c r="U77" s="938"/>
      <c r="V77" s="937"/>
      <c r="W77" s="938"/>
      <c r="X77" s="937"/>
      <c r="Y77" s="938"/>
      <c r="Z77" s="769"/>
    </row>
    <row r="78" spans="1:26">
      <c r="A78" s="935"/>
      <c r="B78" s="937"/>
      <c r="C78" s="937"/>
      <c r="D78" s="937"/>
      <c r="E78" s="938"/>
      <c r="F78" s="937"/>
      <c r="G78" s="938"/>
      <c r="H78" s="937"/>
      <c r="I78" s="938"/>
      <c r="J78" s="937"/>
      <c r="K78" s="937"/>
      <c r="L78" s="937"/>
      <c r="M78" s="938"/>
      <c r="N78" s="937"/>
      <c r="O78" s="938"/>
      <c r="P78" s="937"/>
      <c r="Q78" s="938"/>
      <c r="R78" s="937"/>
      <c r="S78" s="938"/>
      <c r="T78" s="937"/>
      <c r="U78" s="938"/>
      <c r="V78" s="937"/>
      <c r="W78" s="938"/>
      <c r="X78" s="937"/>
      <c r="Y78" s="938"/>
      <c r="Z78" s="769"/>
    </row>
    <row r="79" spans="1:26">
      <c r="A79" s="935"/>
      <c r="B79" s="937"/>
      <c r="C79" s="937"/>
      <c r="D79" s="937"/>
      <c r="E79" s="938"/>
      <c r="F79" s="937"/>
      <c r="G79" s="938"/>
      <c r="H79" s="937"/>
      <c r="I79" s="938"/>
      <c r="J79" s="937"/>
      <c r="K79" s="937"/>
      <c r="L79" s="937"/>
      <c r="M79" s="938"/>
      <c r="N79" s="937"/>
      <c r="O79" s="938"/>
      <c r="P79" s="937"/>
      <c r="Q79" s="938"/>
      <c r="R79" s="937"/>
      <c r="S79" s="938"/>
      <c r="T79" s="937"/>
      <c r="U79" s="938"/>
      <c r="V79" s="937"/>
      <c r="W79" s="938"/>
      <c r="X79" s="937"/>
      <c r="Y79" s="938"/>
      <c r="Z79" s="769"/>
    </row>
    <row r="80" spans="1:26">
      <c r="A80" s="935"/>
      <c r="B80" s="937"/>
      <c r="C80" s="937"/>
      <c r="D80" s="937"/>
      <c r="E80" s="938"/>
      <c r="F80" s="937"/>
      <c r="G80" s="938"/>
      <c r="H80" s="937"/>
      <c r="I80" s="938"/>
      <c r="J80" s="937"/>
      <c r="K80" s="937"/>
      <c r="L80" s="937"/>
      <c r="M80" s="938"/>
      <c r="N80" s="937"/>
      <c r="O80" s="938"/>
      <c r="P80" s="937"/>
      <c r="Q80" s="938"/>
      <c r="R80" s="937"/>
      <c r="S80" s="938"/>
      <c r="T80" s="937"/>
      <c r="U80" s="938"/>
      <c r="V80" s="937"/>
      <c r="W80" s="938"/>
      <c r="X80" s="937"/>
      <c r="Y80" s="938"/>
      <c r="Z80" s="769"/>
    </row>
    <row r="81" spans="1:26">
      <c r="A81" s="935"/>
      <c r="B81" s="937"/>
      <c r="C81" s="937"/>
      <c r="D81" s="937"/>
      <c r="E81" s="938"/>
      <c r="F81" s="937"/>
      <c r="G81" s="938"/>
      <c r="H81" s="937"/>
      <c r="I81" s="938"/>
      <c r="J81" s="937"/>
      <c r="K81" s="937"/>
      <c r="L81" s="937"/>
      <c r="M81" s="938"/>
      <c r="N81" s="937"/>
      <c r="O81" s="938"/>
      <c r="P81" s="937"/>
      <c r="Q81" s="938"/>
      <c r="R81" s="937"/>
      <c r="S81" s="938"/>
      <c r="T81" s="937"/>
      <c r="U81" s="938"/>
      <c r="V81" s="937"/>
      <c r="W81" s="938"/>
      <c r="X81" s="937"/>
      <c r="Y81" s="938"/>
      <c r="Z81" s="769"/>
    </row>
    <row r="82" spans="1:26">
      <c r="A82" s="935"/>
      <c r="B82" s="937"/>
      <c r="C82" s="937"/>
      <c r="D82" s="937"/>
      <c r="E82" s="938"/>
      <c r="F82" s="937"/>
      <c r="G82" s="938"/>
      <c r="H82" s="937"/>
      <c r="I82" s="938"/>
      <c r="J82" s="937"/>
      <c r="K82" s="937"/>
      <c r="L82" s="937"/>
      <c r="M82" s="938"/>
      <c r="N82" s="937"/>
      <c r="O82" s="938"/>
      <c r="P82" s="937"/>
      <c r="Q82" s="938"/>
      <c r="R82" s="937"/>
      <c r="S82" s="938"/>
      <c r="T82" s="937"/>
      <c r="U82" s="938"/>
      <c r="V82" s="937"/>
      <c r="W82" s="938"/>
      <c r="X82" s="937"/>
      <c r="Y82" s="938"/>
      <c r="Z82" s="769"/>
    </row>
    <row r="83" spans="1:26">
      <c r="A83" s="935"/>
      <c r="B83" s="937"/>
      <c r="C83" s="937"/>
      <c r="D83" s="937"/>
      <c r="E83" s="938"/>
      <c r="F83" s="937"/>
      <c r="G83" s="938"/>
      <c r="H83" s="937"/>
      <c r="I83" s="938"/>
      <c r="J83" s="937"/>
      <c r="K83" s="937"/>
      <c r="L83" s="937"/>
      <c r="M83" s="938"/>
      <c r="N83" s="937"/>
      <c r="O83" s="938"/>
      <c r="P83" s="937"/>
      <c r="Q83" s="938"/>
      <c r="R83" s="937"/>
      <c r="S83" s="938"/>
      <c r="T83" s="937"/>
      <c r="U83" s="938"/>
      <c r="V83" s="937"/>
      <c r="W83" s="938"/>
      <c r="X83" s="937"/>
      <c r="Y83" s="938"/>
      <c r="Z83" s="769"/>
    </row>
    <row r="84" spans="1:26">
      <c r="A84" s="935"/>
      <c r="B84" s="937"/>
      <c r="C84" s="937"/>
      <c r="D84" s="937"/>
      <c r="E84" s="938"/>
      <c r="F84" s="937"/>
      <c r="G84" s="938"/>
      <c r="H84" s="937"/>
      <c r="I84" s="938"/>
      <c r="J84" s="937"/>
      <c r="K84" s="937"/>
      <c r="L84" s="937"/>
      <c r="M84" s="938"/>
      <c r="N84" s="937"/>
      <c r="O84" s="938"/>
      <c r="P84" s="937"/>
      <c r="Q84" s="938"/>
      <c r="R84" s="937"/>
      <c r="S84" s="938"/>
      <c r="T84" s="937"/>
      <c r="U84" s="938"/>
      <c r="V84" s="937"/>
      <c r="W84" s="938"/>
      <c r="X84" s="937"/>
      <c r="Y84" s="938"/>
      <c r="Z84" s="769"/>
    </row>
    <row r="85" spans="1:26">
      <c r="A85" s="935"/>
      <c r="B85" s="937"/>
      <c r="C85" s="937"/>
      <c r="D85" s="937"/>
      <c r="E85" s="938"/>
      <c r="F85" s="937"/>
      <c r="G85" s="938"/>
      <c r="H85" s="937"/>
      <c r="I85" s="938"/>
      <c r="J85" s="937"/>
      <c r="K85" s="937"/>
      <c r="L85" s="937"/>
      <c r="M85" s="938"/>
      <c r="N85" s="937"/>
      <c r="O85" s="938"/>
      <c r="P85" s="937"/>
      <c r="Q85" s="938"/>
      <c r="R85" s="937"/>
      <c r="S85" s="938"/>
      <c r="T85" s="937"/>
      <c r="U85" s="938"/>
      <c r="V85" s="937"/>
      <c r="W85" s="938"/>
      <c r="X85" s="937"/>
      <c r="Y85" s="938"/>
      <c r="Z85" s="769"/>
    </row>
    <row r="86" spans="1:26">
      <c r="A86" s="935"/>
      <c r="B86" s="937"/>
      <c r="C86" s="937"/>
      <c r="D86" s="937"/>
      <c r="E86" s="938"/>
      <c r="F86" s="937"/>
      <c r="G86" s="938"/>
      <c r="H86" s="937"/>
      <c r="I86" s="938"/>
      <c r="J86" s="937"/>
      <c r="K86" s="937"/>
      <c r="L86" s="937"/>
      <c r="M86" s="938"/>
      <c r="N86" s="937"/>
      <c r="O86" s="938"/>
      <c r="P86" s="937"/>
      <c r="Q86" s="938"/>
      <c r="R86" s="937"/>
      <c r="S86" s="938"/>
      <c r="T86" s="937"/>
      <c r="U86" s="938"/>
      <c r="V86" s="937"/>
      <c r="W86" s="938"/>
      <c r="X86" s="937"/>
      <c r="Y86" s="938"/>
      <c r="Z86" s="769"/>
    </row>
    <row r="87" spans="1:26">
      <c r="A87" s="935"/>
      <c r="B87" s="937"/>
      <c r="C87" s="937"/>
      <c r="D87" s="937"/>
      <c r="E87" s="938"/>
      <c r="F87" s="937"/>
      <c r="G87" s="938"/>
      <c r="H87" s="937"/>
      <c r="I87" s="938"/>
      <c r="J87" s="937"/>
      <c r="K87" s="937"/>
      <c r="L87" s="937"/>
      <c r="M87" s="938"/>
      <c r="N87" s="937"/>
      <c r="O87" s="938"/>
      <c r="P87" s="937"/>
      <c r="Q87" s="938"/>
      <c r="R87" s="937"/>
      <c r="S87" s="938"/>
      <c r="T87" s="937"/>
      <c r="U87" s="938"/>
      <c r="V87" s="937"/>
      <c r="W87" s="938"/>
      <c r="X87" s="937"/>
      <c r="Y87" s="938"/>
      <c r="Z87" s="769"/>
    </row>
    <row r="88" spans="1:26">
      <c r="A88" s="935"/>
      <c r="B88" s="937"/>
      <c r="C88" s="937"/>
      <c r="D88" s="937"/>
      <c r="E88" s="938"/>
      <c r="F88" s="937"/>
      <c r="G88" s="938"/>
      <c r="H88" s="937"/>
      <c r="I88" s="938"/>
      <c r="J88" s="937"/>
      <c r="K88" s="937"/>
      <c r="L88" s="937"/>
      <c r="M88" s="938"/>
      <c r="N88" s="937"/>
      <c r="O88" s="938"/>
      <c r="P88" s="937"/>
      <c r="Q88" s="938"/>
      <c r="R88" s="937"/>
      <c r="S88" s="938"/>
      <c r="T88" s="937"/>
      <c r="U88" s="938"/>
      <c r="V88" s="937"/>
      <c r="W88" s="938"/>
      <c r="X88" s="937"/>
      <c r="Y88" s="938"/>
      <c r="Z88" s="769"/>
    </row>
    <row r="89" spans="1:26">
      <c r="A89" s="935"/>
      <c r="B89" s="937"/>
      <c r="C89" s="937"/>
      <c r="D89" s="937"/>
      <c r="E89" s="938"/>
      <c r="F89" s="937"/>
      <c r="G89" s="938"/>
      <c r="H89" s="937"/>
      <c r="I89" s="938"/>
      <c r="J89" s="937"/>
      <c r="K89" s="937"/>
      <c r="L89" s="937"/>
      <c r="M89" s="938"/>
      <c r="N89" s="937"/>
      <c r="O89" s="938"/>
      <c r="P89" s="937"/>
      <c r="Q89" s="938"/>
      <c r="R89" s="937"/>
      <c r="S89" s="938"/>
      <c r="T89" s="937"/>
      <c r="U89" s="938"/>
      <c r="V89" s="937"/>
      <c r="W89" s="938"/>
      <c r="X89" s="937"/>
      <c r="Y89" s="938"/>
      <c r="Z89" s="769"/>
    </row>
    <row r="90" spans="1:26">
      <c r="A90" s="935"/>
      <c r="B90" s="937"/>
      <c r="C90" s="937"/>
      <c r="D90" s="937"/>
      <c r="E90" s="938"/>
      <c r="F90" s="937"/>
      <c r="G90" s="938"/>
      <c r="H90" s="937"/>
      <c r="I90" s="938"/>
      <c r="J90" s="937"/>
      <c r="K90" s="937"/>
      <c r="L90" s="937"/>
      <c r="M90" s="938"/>
      <c r="N90" s="937"/>
      <c r="O90" s="938"/>
      <c r="P90" s="937"/>
      <c r="Q90" s="938"/>
      <c r="R90" s="937"/>
      <c r="S90" s="938"/>
      <c r="T90" s="937"/>
      <c r="U90" s="938"/>
      <c r="V90" s="937"/>
      <c r="W90" s="938"/>
      <c r="X90" s="937"/>
      <c r="Y90" s="938"/>
      <c r="Z90" s="769"/>
    </row>
    <row r="91" spans="1:26">
      <c r="A91" s="935"/>
      <c r="B91" s="937"/>
      <c r="C91" s="937"/>
      <c r="D91" s="937"/>
      <c r="E91" s="938"/>
      <c r="F91" s="937"/>
      <c r="G91" s="938"/>
      <c r="H91" s="937"/>
      <c r="I91" s="938"/>
      <c r="J91" s="937"/>
      <c r="K91" s="937"/>
      <c r="L91" s="937"/>
      <c r="M91" s="938"/>
      <c r="N91" s="937"/>
      <c r="O91" s="938"/>
      <c r="P91" s="937"/>
      <c r="Q91" s="938"/>
      <c r="R91" s="937"/>
      <c r="S91" s="938"/>
      <c r="T91" s="937"/>
      <c r="U91" s="938"/>
      <c r="V91" s="937"/>
      <c r="W91" s="938"/>
      <c r="X91" s="937"/>
      <c r="Y91" s="938"/>
      <c r="Z91" s="769"/>
    </row>
    <row r="92" spans="1:26">
      <c r="A92" s="935"/>
      <c r="B92" s="937"/>
      <c r="C92" s="937"/>
      <c r="D92" s="937"/>
      <c r="E92" s="938"/>
      <c r="F92" s="937"/>
      <c r="G92" s="938"/>
      <c r="H92" s="937"/>
      <c r="I92" s="938"/>
      <c r="J92" s="937"/>
      <c r="K92" s="937"/>
      <c r="L92" s="937"/>
      <c r="M92" s="938"/>
      <c r="N92" s="937"/>
      <c r="O92" s="938"/>
      <c r="P92" s="937"/>
      <c r="Q92" s="938"/>
      <c r="R92" s="937"/>
      <c r="S92" s="938"/>
      <c r="T92" s="937"/>
      <c r="U92" s="938"/>
      <c r="V92" s="937"/>
      <c r="W92" s="938"/>
      <c r="X92" s="937"/>
      <c r="Y92" s="938"/>
      <c r="Z92" s="769"/>
    </row>
    <row r="93" spans="1:26">
      <c r="A93" s="935"/>
      <c r="B93" s="937"/>
      <c r="C93" s="937"/>
      <c r="D93" s="937"/>
      <c r="E93" s="938"/>
      <c r="F93" s="937"/>
      <c r="G93" s="938"/>
      <c r="H93" s="937"/>
      <c r="I93" s="938"/>
      <c r="J93" s="937"/>
      <c r="K93" s="937"/>
      <c r="L93" s="937"/>
      <c r="M93" s="938"/>
      <c r="N93" s="937"/>
      <c r="O93" s="938"/>
      <c r="P93" s="937"/>
      <c r="Q93" s="938"/>
      <c r="R93" s="937"/>
      <c r="S93" s="938"/>
      <c r="T93" s="937"/>
      <c r="U93" s="938"/>
      <c r="V93" s="937"/>
      <c r="W93" s="938"/>
      <c r="X93" s="937"/>
      <c r="Y93" s="938"/>
      <c r="Z93" s="769"/>
    </row>
    <row r="94" spans="1:26">
      <c r="A94" s="935"/>
      <c r="B94" s="937"/>
      <c r="C94" s="937"/>
      <c r="D94" s="937"/>
      <c r="E94" s="938"/>
      <c r="F94" s="937"/>
      <c r="G94" s="938"/>
      <c r="H94" s="937"/>
      <c r="I94" s="938"/>
      <c r="J94" s="937"/>
      <c r="K94" s="937"/>
      <c r="L94" s="937"/>
      <c r="M94" s="938"/>
      <c r="N94" s="937"/>
      <c r="O94" s="938"/>
      <c r="P94" s="937"/>
      <c r="Q94" s="938"/>
      <c r="R94" s="937"/>
      <c r="S94" s="938"/>
      <c r="T94" s="937"/>
      <c r="U94" s="938"/>
      <c r="V94" s="937"/>
      <c r="W94" s="938"/>
      <c r="X94" s="937"/>
      <c r="Y94" s="938"/>
      <c r="Z94" s="769"/>
    </row>
    <row r="95" spans="1:26">
      <c r="A95" s="935"/>
      <c r="B95" s="937"/>
      <c r="C95" s="937"/>
      <c r="D95" s="937"/>
      <c r="E95" s="938"/>
      <c r="F95" s="937"/>
      <c r="G95" s="938"/>
      <c r="H95" s="937"/>
      <c r="I95" s="938"/>
      <c r="J95" s="937"/>
      <c r="K95" s="937"/>
      <c r="L95" s="937"/>
      <c r="M95" s="938"/>
      <c r="N95" s="937"/>
      <c r="O95" s="938"/>
      <c r="P95" s="937"/>
      <c r="Q95" s="938"/>
      <c r="R95" s="937"/>
      <c r="S95" s="938"/>
      <c r="T95" s="937"/>
      <c r="U95" s="938"/>
      <c r="V95" s="937"/>
      <c r="W95" s="938"/>
      <c r="X95" s="937"/>
      <c r="Y95" s="938"/>
      <c r="Z95" s="769"/>
    </row>
  </sheetData>
  <customSheetViews>
    <customSheetView guid="{8EE6466D-211E-4E05-9F84-CC0A1C6F79F4}" scale="60" showGridLines="0" outlineSymbols="0" fitToPage="1">
      <selection activeCell="C4" sqref="C4"/>
      <colBreaks count="1" manualBreakCount="1">
        <brk id="30" max="54" man="1"/>
      </colBreaks>
      <pageMargins left="0.1" right="0.1" top="0.75" bottom="0.25" header="0" footer="0.25"/>
      <pageSetup scale="43" orientation="landscape" r:id="rId1"/>
      <headerFooter scaleWithDoc="0" alignWithMargins="0">
        <oddHeader xml:space="preserve">&amp;L&amp;14 </oddHeader>
        <oddFooter>&amp;C&amp;8 47</oddFooter>
      </headerFooter>
    </customSheetView>
  </customSheetViews>
  <pageMargins left="0.1" right="0.1" top="0.75" bottom="0.25" header="0" footer="0.25"/>
  <pageSetup scale="40" firstPageNumber="47" orientation="landscape" useFirstPageNumber="1" r:id="rId2"/>
  <headerFooter scaleWithDoc="0" alignWithMargins="0">
    <oddHeader xml:space="preserve">&amp;L&amp;14 </oddHeader>
    <oddFooter>&amp;C&amp;8&amp;P</oddFooter>
  </headerFooter>
  <colBreaks count="1" manualBreakCount="1">
    <brk id="30"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H114"/>
  <sheetViews>
    <sheetView zoomScale="90" zoomScaleNormal="90" workbookViewId="0"/>
  </sheetViews>
  <sheetFormatPr defaultColWidth="8.90625" defaultRowHeight="13.2"/>
  <cols>
    <col min="1" max="1" width="46.1796875" style="1817" customWidth="1"/>
    <col min="2" max="2" width="1.1796875" style="1817" customWidth="1"/>
    <col min="3" max="3" width="20" style="3188" customWidth="1"/>
    <col min="4" max="4" width="0.1796875" style="1817" customWidth="1"/>
    <col min="5" max="5" width="20" style="1818" customWidth="1"/>
    <col min="6" max="6" width="0.54296875" style="1818" customWidth="1"/>
    <col min="7" max="7" width="20" style="1818" customWidth="1"/>
    <col min="8" max="8" width="0.81640625" style="1818" customWidth="1"/>
    <col min="9" max="16384" width="8.90625" style="1817"/>
  </cols>
  <sheetData>
    <row r="1" spans="1:8" ht="15">
      <c r="A1" s="1172" t="s">
        <v>1103</v>
      </c>
      <c r="C1" s="1817"/>
      <c r="G1" s="3312"/>
    </row>
    <row r="2" spans="1:8" ht="15">
      <c r="A2" s="3046"/>
      <c r="C2" s="1817"/>
      <c r="G2" s="3312"/>
    </row>
    <row r="3" spans="1:8" s="1832" customFormat="1">
      <c r="A3" s="3047" t="s">
        <v>523</v>
      </c>
      <c r="B3" s="3047"/>
      <c r="C3" s="3190"/>
      <c r="D3" s="3048"/>
      <c r="E3" s="2845"/>
      <c r="F3" s="2845"/>
      <c r="G3" s="3313" t="s">
        <v>524</v>
      </c>
      <c r="H3" s="2845"/>
    </row>
    <row r="4" spans="1:8" s="1832" customFormat="1">
      <c r="A4" s="3047" t="s">
        <v>525</v>
      </c>
      <c r="B4" s="3047"/>
      <c r="C4" s="3190"/>
      <c r="D4" s="3048"/>
      <c r="E4" s="2845"/>
      <c r="F4" s="2845"/>
      <c r="G4" s="3314"/>
      <c r="H4" s="2845"/>
    </row>
    <row r="5" spans="1:8" s="1832" customFormat="1">
      <c r="A5" s="3047" t="s">
        <v>526</v>
      </c>
      <c r="B5" s="3047"/>
      <c r="C5" s="3190"/>
      <c r="D5" s="3048"/>
      <c r="E5" s="2845"/>
      <c r="F5" s="2845"/>
      <c r="G5" s="3314"/>
      <c r="H5" s="2845"/>
    </row>
    <row r="6" spans="1:8" s="1832" customFormat="1">
      <c r="A6" s="3049" t="s">
        <v>1472</v>
      </c>
      <c r="B6" s="3049"/>
      <c r="C6" s="3050"/>
      <c r="D6" s="3051"/>
      <c r="E6" s="2845"/>
      <c r="F6" s="2845"/>
      <c r="G6" s="3314"/>
      <c r="H6" s="2845"/>
    </row>
    <row r="7" spans="1:8">
      <c r="C7" s="1820"/>
      <c r="G7" s="2846"/>
    </row>
    <row r="8" spans="1:8" ht="27" customHeight="1">
      <c r="A8" s="3052" t="s">
        <v>527</v>
      </c>
      <c r="B8" s="3053"/>
      <c r="C8" s="3191" t="s">
        <v>1019</v>
      </c>
      <c r="D8" s="2847"/>
      <c r="E8" s="2848" t="s">
        <v>1511</v>
      </c>
      <c r="F8" s="2846"/>
      <c r="G8" s="3315" t="s">
        <v>1512</v>
      </c>
      <c r="H8" s="2846"/>
    </row>
    <row r="9" spans="1:8" s="1832" customFormat="1">
      <c r="A9" s="3208" t="s">
        <v>1407</v>
      </c>
      <c r="B9" s="1817"/>
      <c r="C9" s="3192">
        <v>4095000</v>
      </c>
      <c r="D9" s="3055"/>
      <c r="E9" s="3056"/>
      <c r="F9" s="3056"/>
      <c r="G9" s="3192"/>
      <c r="H9" s="3056"/>
    </row>
    <row r="10" spans="1:8" s="1832" customFormat="1">
      <c r="A10" s="3209" t="s">
        <v>1408</v>
      </c>
      <c r="B10" s="1817"/>
      <c r="C10" s="3193"/>
      <c r="D10" s="3057"/>
      <c r="E10" s="3058">
        <v>142518</v>
      </c>
      <c r="F10" s="3059"/>
      <c r="G10" s="3058">
        <f>ROUND(SUM(E10),0)</f>
        <v>142518</v>
      </c>
      <c r="H10" s="3058"/>
    </row>
    <row r="11" spans="1:8" s="1832" customFormat="1">
      <c r="A11" s="3054" t="s">
        <v>528</v>
      </c>
      <c r="B11" s="3053"/>
      <c r="C11" s="3316">
        <v>144408082</v>
      </c>
      <c r="D11" s="2849"/>
      <c r="E11" s="3059"/>
      <c r="F11" s="3059"/>
      <c r="G11" s="3059"/>
      <c r="H11" s="3059"/>
    </row>
    <row r="12" spans="1:8" s="1832" customFormat="1">
      <c r="A12" s="1817" t="s">
        <v>529</v>
      </c>
      <c r="B12" s="3060"/>
      <c r="C12" s="3317"/>
      <c r="D12" s="2850"/>
      <c r="E12" s="3059">
        <v>0</v>
      </c>
      <c r="F12" s="3059"/>
      <c r="G12" s="3059">
        <f t="shared" ref="G12:G75" si="0">ROUND(SUM(E12),0)</f>
        <v>0</v>
      </c>
      <c r="H12" s="3059"/>
    </row>
    <row r="13" spans="1:8" s="1832" customFormat="1">
      <c r="A13" s="1817" t="s">
        <v>530</v>
      </c>
      <c r="B13" s="3060"/>
      <c r="C13" s="3317"/>
      <c r="D13" s="2850"/>
      <c r="E13" s="3059">
        <v>0</v>
      </c>
      <c r="F13" s="3059"/>
      <c r="G13" s="3059">
        <f t="shared" si="0"/>
        <v>0</v>
      </c>
      <c r="H13" s="3059"/>
    </row>
    <row r="14" spans="1:8" s="1832" customFormat="1">
      <c r="A14" s="1817" t="s">
        <v>531</v>
      </c>
      <c r="B14" s="3060"/>
      <c r="C14" s="3317"/>
      <c r="D14" s="2850"/>
      <c r="E14" s="3061">
        <v>149428</v>
      </c>
      <c r="F14" s="3061"/>
      <c r="G14" s="3059">
        <f t="shared" si="0"/>
        <v>149428</v>
      </c>
      <c r="H14" s="3059"/>
    </row>
    <row r="15" spans="1:8" s="1832" customFormat="1">
      <c r="A15" s="1817" t="s">
        <v>532</v>
      </c>
      <c r="B15" s="3060"/>
      <c r="C15" s="3317"/>
      <c r="D15" s="2850"/>
      <c r="E15" s="3059">
        <v>0</v>
      </c>
      <c r="F15" s="3059"/>
      <c r="G15" s="3059">
        <f t="shared" si="0"/>
        <v>0</v>
      </c>
      <c r="H15" s="3059"/>
    </row>
    <row r="16" spans="1:8" s="1832" customFormat="1">
      <c r="A16" s="1817" t="s">
        <v>533</v>
      </c>
      <c r="B16" s="3060"/>
      <c r="C16" s="3317"/>
      <c r="D16" s="2850"/>
      <c r="E16" s="3059">
        <v>0</v>
      </c>
      <c r="F16" s="3059"/>
      <c r="G16" s="3059">
        <f t="shared" si="0"/>
        <v>0</v>
      </c>
      <c r="H16" s="3059"/>
    </row>
    <row r="17" spans="1:8" s="1832" customFormat="1">
      <c r="A17" s="1817" t="s">
        <v>534</v>
      </c>
      <c r="B17" s="3060"/>
      <c r="C17" s="3317"/>
      <c r="D17" s="2850"/>
      <c r="E17" s="3059">
        <v>0</v>
      </c>
      <c r="F17" s="3059"/>
      <c r="G17" s="3059">
        <f>ROUND(SUM(E17),0)</f>
        <v>0</v>
      </c>
      <c r="H17" s="3059"/>
    </row>
    <row r="18" spans="1:8" s="1832" customFormat="1">
      <c r="A18" s="1817" t="s">
        <v>535</v>
      </c>
      <c r="B18" s="3060"/>
      <c r="C18" s="3317"/>
      <c r="D18" s="2850"/>
      <c r="E18" s="3059">
        <v>0</v>
      </c>
      <c r="F18" s="3059"/>
      <c r="G18" s="3059">
        <f t="shared" si="0"/>
        <v>0</v>
      </c>
      <c r="H18" s="3059"/>
    </row>
    <row r="19" spans="1:8" s="1832" customFormat="1">
      <c r="A19" s="1817" t="s">
        <v>536</v>
      </c>
      <c r="B19" s="3060"/>
      <c r="C19" s="3317"/>
      <c r="D19" s="2850"/>
      <c r="E19" s="3059">
        <v>0</v>
      </c>
      <c r="F19" s="3059"/>
      <c r="G19" s="3059">
        <f t="shared" si="0"/>
        <v>0</v>
      </c>
      <c r="H19" s="3059"/>
    </row>
    <row r="20" spans="1:8" s="1832" customFormat="1">
      <c r="A20" s="1817" t="s">
        <v>1110</v>
      </c>
      <c r="B20" s="3060"/>
      <c r="C20" s="3317"/>
      <c r="D20" s="2850"/>
      <c r="E20" s="3059">
        <v>0</v>
      </c>
      <c r="F20" s="3059"/>
      <c r="G20" s="3059">
        <f t="shared" si="0"/>
        <v>0</v>
      </c>
      <c r="H20" s="3059"/>
    </row>
    <row r="21" spans="1:8" s="1832" customFormat="1">
      <c r="A21" s="1817" t="s">
        <v>537</v>
      </c>
      <c r="B21" s="3060"/>
      <c r="C21" s="3317"/>
      <c r="D21" s="2850"/>
      <c r="E21" s="3059">
        <v>0</v>
      </c>
      <c r="F21" s="3059"/>
      <c r="G21" s="3059">
        <f t="shared" si="0"/>
        <v>0</v>
      </c>
      <c r="H21" s="3059"/>
    </row>
    <row r="22" spans="1:8" s="1832" customFormat="1">
      <c r="A22" s="1817" t="s">
        <v>538</v>
      </c>
      <c r="B22" s="3060"/>
      <c r="C22" s="3317"/>
      <c r="D22" s="2850"/>
      <c r="E22" s="3059">
        <v>0</v>
      </c>
      <c r="F22" s="3059"/>
      <c r="G22" s="3059">
        <f t="shared" si="0"/>
        <v>0</v>
      </c>
      <c r="H22" s="3059"/>
    </row>
    <row r="23" spans="1:8" s="1832" customFormat="1">
      <c r="A23" s="1817" t="s">
        <v>539</v>
      </c>
      <c r="B23" s="3060"/>
      <c r="C23" s="3317"/>
      <c r="D23" s="2850"/>
      <c r="E23" s="3059">
        <v>0</v>
      </c>
      <c r="F23" s="3059"/>
      <c r="G23" s="3059">
        <f t="shared" si="0"/>
        <v>0</v>
      </c>
      <c r="H23" s="3059"/>
    </row>
    <row r="24" spans="1:8" s="1832" customFormat="1">
      <c r="A24" s="1817" t="s">
        <v>540</v>
      </c>
      <c r="B24" s="3060"/>
      <c r="C24" s="3317"/>
      <c r="D24" s="2850"/>
      <c r="E24" s="3059">
        <v>0</v>
      </c>
      <c r="F24" s="3059"/>
      <c r="G24" s="3059">
        <f t="shared" si="0"/>
        <v>0</v>
      </c>
      <c r="H24" s="3059"/>
    </row>
    <row r="25" spans="1:8" s="1832" customFormat="1">
      <c r="A25" s="1817" t="s">
        <v>541</v>
      </c>
      <c r="B25" s="3060"/>
      <c r="C25" s="3317"/>
      <c r="D25" s="2850"/>
      <c r="E25" s="3059">
        <v>0</v>
      </c>
      <c r="F25" s="3059"/>
      <c r="G25" s="3059">
        <f t="shared" si="0"/>
        <v>0</v>
      </c>
      <c r="H25" s="3059"/>
    </row>
    <row r="26" spans="1:8" s="1832" customFormat="1">
      <c r="A26" s="1817" t="s">
        <v>542</v>
      </c>
      <c r="B26" s="3060"/>
      <c r="C26" s="3317"/>
      <c r="D26" s="2850"/>
      <c r="E26" s="3059">
        <v>0</v>
      </c>
      <c r="F26" s="3059"/>
      <c r="G26" s="3059">
        <f t="shared" si="0"/>
        <v>0</v>
      </c>
      <c r="H26" s="3059"/>
    </row>
    <row r="27" spans="1:8" s="1832" customFormat="1">
      <c r="A27" s="1817" t="s">
        <v>543</v>
      </c>
      <c r="B27" s="3060"/>
      <c r="C27" s="3317"/>
      <c r="D27" s="2850"/>
      <c r="E27" s="3059">
        <v>0</v>
      </c>
      <c r="F27" s="3059"/>
      <c r="G27" s="3059">
        <f t="shared" si="0"/>
        <v>0</v>
      </c>
      <c r="H27" s="3059"/>
    </row>
    <row r="28" spans="1:8" s="1832" customFormat="1">
      <c r="A28" s="1817" t="s">
        <v>544</v>
      </c>
      <c r="B28" s="3060"/>
      <c r="C28" s="3317"/>
      <c r="D28" s="2850"/>
      <c r="E28" s="3059">
        <v>0</v>
      </c>
      <c r="F28" s="3059"/>
      <c r="G28" s="3059">
        <f t="shared" si="0"/>
        <v>0</v>
      </c>
      <c r="H28" s="3059"/>
    </row>
    <row r="29" spans="1:8" s="1832" customFormat="1">
      <c r="A29" s="3054" t="s">
        <v>545</v>
      </c>
      <c r="B29" s="3062"/>
      <c r="C29" s="3316">
        <v>992662000</v>
      </c>
      <c r="D29" s="3063"/>
      <c r="E29" s="3059"/>
      <c r="F29" s="3059"/>
      <c r="G29" s="3059"/>
      <c r="H29" s="3059"/>
    </row>
    <row r="30" spans="1:8" s="1832" customFormat="1">
      <c r="A30" s="1817" t="s">
        <v>546</v>
      </c>
      <c r="B30" s="1817" t="s">
        <v>16</v>
      </c>
      <c r="C30" s="3210"/>
      <c r="D30" s="3064"/>
      <c r="E30" s="3061">
        <v>16852573</v>
      </c>
      <c r="F30" s="3061"/>
      <c r="G30" s="3059">
        <f t="shared" si="0"/>
        <v>16852573</v>
      </c>
      <c r="H30" s="3059"/>
    </row>
    <row r="31" spans="1:8" s="1832" customFormat="1">
      <c r="A31" s="3054" t="s">
        <v>547</v>
      </c>
      <c r="B31" s="3065"/>
      <c r="C31" s="3316">
        <v>225000</v>
      </c>
      <c r="D31" s="3066"/>
      <c r="E31" s="3059"/>
      <c r="F31" s="3059"/>
      <c r="G31" s="3059"/>
      <c r="H31" s="3059"/>
    </row>
    <row r="32" spans="1:8" s="1832" customFormat="1">
      <c r="A32" s="1817" t="s">
        <v>548</v>
      </c>
      <c r="B32" s="1817" t="s">
        <v>16</v>
      </c>
      <c r="C32" s="3210"/>
      <c r="D32" s="3064"/>
      <c r="E32" s="3059">
        <v>0</v>
      </c>
      <c r="F32" s="3059"/>
      <c r="G32" s="3059">
        <f t="shared" si="0"/>
        <v>0</v>
      </c>
      <c r="H32" s="3059"/>
    </row>
    <row r="33" spans="1:8" s="1832" customFormat="1">
      <c r="A33" s="3054" t="s">
        <v>1409</v>
      </c>
      <c r="B33" s="3067"/>
      <c r="C33" s="3316">
        <v>283964000</v>
      </c>
      <c r="D33" s="3068"/>
      <c r="E33" s="3059"/>
      <c r="F33" s="3059"/>
      <c r="G33" s="3059"/>
      <c r="H33" s="3059"/>
    </row>
    <row r="34" spans="1:8" s="1832" customFormat="1">
      <c r="A34" s="1817" t="s">
        <v>1410</v>
      </c>
      <c r="B34" s="1817" t="s">
        <v>16</v>
      </c>
      <c r="C34" s="3210"/>
      <c r="D34" s="3064"/>
      <c r="E34" s="3069">
        <v>3416672</v>
      </c>
      <c r="F34" s="3069"/>
      <c r="G34" s="3059">
        <f t="shared" si="0"/>
        <v>3416672</v>
      </c>
      <c r="H34" s="3059"/>
    </row>
    <row r="35" spans="1:8" s="1832" customFormat="1">
      <c r="A35" s="3054" t="s">
        <v>549</v>
      </c>
      <c r="B35" s="3055"/>
      <c r="C35" s="3316">
        <v>1656797714</v>
      </c>
      <c r="D35" s="3070"/>
      <c r="E35" s="3071"/>
      <c r="F35" s="3071"/>
      <c r="G35" s="3059"/>
      <c r="H35" s="3059"/>
    </row>
    <row r="36" spans="1:8">
      <c r="A36" s="1817" t="s">
        <v>550</v>
      </c>
      <c r="C36" s="3210"/>
      <c r="D36" s="3064"/>
      <c r="E36" s="3059">
        <v>0</v>
      </c>
      <c r="F36" s="3059"/>
      <c r="G36" s="3059">
        <f t="shared" si="0"/>
        <v>0</v>
      </c>
      <c r="H36" s="3059"/>
    </row>
    <row r="37" spans="1:8">
      <c r="A37" s="1817" t="s">
        <v>551</v>
      </c>
      <c r="C37" s="3210"/>
      <c r="D37" s="3064"/>
      <c r="E37" s="3059">
        <v>5729</v>
      </c>
      <c r="F37" s="3059"/>
      <c r="G37" s="3059">
        <f t="shared" si="0"/>
        <v>5729</v>
      </c>
      <c r="H37" s="3059"/>
    </row>
    <row r="38" spans="1:8">
      <c r="A38" s="1817" t="s">
        <v>552</v>
      </c>
      <c r="C38" s="3210"/>
      <c r="D38" s="3064"/>
      <c r="E38" s="3059">
        <v>0</v>
      </c>
      <c r="F38" s="3059"/>
      <c r="G38" s="3059">
        <f t="shared" si="0"/>
        <v>0</v>
      </c>
      <c r="H38" s="3059"/>
    </row>
    <row r="39" spans="1:8">
      <c r="A39" s="1817" t="s">
        <v>553</v>
      </c>
      <c r="C39" s="3210"/>
      <c r="D39" s="3064"/>
      <c r="E39" s="3059">
        <v>0</v>
      </c>
      <c r="F39" s="3059"/>
      <c r="G39" s="3059">
        <f t="shared" si="0"/>
        <v>0</v>
      </c>
      <c r="H39" s="3059"/>
    </row>
    <row r="40" spans="1:8">
      <c r="A40" s="1817" t="s">
        <v>1111</v>
      </c>
      <c r="C40" s="3210"/>
      <c r="D40" s="3064"/>
      <c r="E40" s="3059">
        <v>0</v>
      </c>
      <c r="F40" s="3059"/>
      <c r="G40" s="3059">
        <f t="shared" si="0"/>
        <v>0</v>
      </c>
      <c r="H40" s="3059"/>
    </row>
    <row r="41" spans="1:8">
      <c r="A41" s="1817" t="s">
        <v>554</v>
      </c>
      <c r="C41" s="3210"/>
      <c r="D41" s="3064"/>
      <c r="E41" s="3059">
        <v>0</v>
      </c>
      <c r="F41" s="3059"/>
      <c r="G41" s="3059">
        <f t="shared" si="0"/>
        <v>0</v>
      </c>
      <c r="H41" s="3059"/>
    </row>
    <row r="42" spans="1:8">
      <c r="A42" s="1817" t="s">
        <v>555</v>
      </c>
      <c r="C42" s="3210"/>
      <c r="D42" s="3064"/>
      <c r="E42" s="3059">
        <v>0</v>
      </c>
      <c r="F42" s="3059"/>
      <c r="G42" s="3059">
        <f t="shared" si="0"/>
        <v>0</v>
      </c>
      <c r="H42" s="3059"/>
    </row>
    <row r="43" spans="1:8">
      <c r="A43" s="1817" t="s">
        <v>1112</v>
      </c>
      <c r="C43" s="3210"/>
      <c r="D43" s="3064"/>
      <c r="E43" s="3059">
        <v>0</v>
      </c>
      <c r="F43" s="3059"/>
      <c r="G43" s="3059">
        <f t="shared" si="0"/>
        <v>0</v>
      </c>
      <c r="H43" s="3059"/>
    </row>
    <row r="44" spans="1:8">
      <c r="A44" s="1817" t="s">
        <v>556</v>
      </c>
      <c r="C44" s="3210"/>
      <c r="D44" s="3064"/>
      <c r="E44" s="3059">
        <v>19600000</v>
      </c>
      <c r="F44" s="3059"/>
      <c r="G44" s="3059">
        <f t="shared" si="0"/>
        <v>19600000</v>
      </c>
      <c r="H44" s="3059"/>
    </row>
    <row r="45" spans="1:8">
      <c r="A45" s="1817" t="s">
        <v>557</v>
      </c>
      <c r="C45" s="3210"/>
      <c r="D45" s="3064"/>
      <c r="E45" s="3069">
        <v>16864</v>
      </c>
      <c r="F45" s="3069"/>
      <c r="G45" s="3059">
        <f t="shared" si="0"/>
        <v>16864</v>
      </c>
      <c r="H45" s="3059"/>
    </row>
    <row r="46" spans="1:8">
      <c r="A46" s="1817" t="s">
        <v>558</v>
      </c>
      <c r="C46" s="3210"/>
      <c r="D46" s="3064"/>
      <c r="E46" s="3069">
        <v>78841</v>
      </c>
      <c r="F46" s="3069"/>
      <c r="G46" s="3059">
        <f t="shared" si="0"/>
        <v>78841</v>
      </c>
      <c r="H46" s="3059"/>
    </row>
    <row r="47" spans="1:8">
      <c r="A47" s="1817" t="s">
        <v>559</v>
      </c>
      <c r="C47" s="3210"/>
      <c r="D47" s="3064"/>
      <c r="E47" s="3059">
        <v>0</v>
      </c>
      <c r="F47" s="3059"/>
      <c r="G47" s="3059">
        <f t="shared" si="0"/>
        <v>0</v>
      </c>
      <c r="H47" s="3059"/>
    </row>
    <row r="48" spans="1:8">
      <c r="A48" s="1817" t="s">
        <v>1114</v>
      </c>
      <c r="C48" s="3210"/>
      <c r="D48" s="3064"/>
      <c r="E48" s="3069">
        <v>0</v>
      </c>
      <c r="F48" s="3069"/>
      <c r="G48" s="3059">
        <f t="shared" si="0"/>
        <v>0</v>
      </c>
      <c r="H48" s="3059"/>
    </row>
    <row r="49" spans="1:8">
      <c r="A49" s="3209" t="s">
        <v>1342</v>
      </c>
      <c r="C49" s="3210"/>
      <c r="D49" s="3064"/>
      <c r="E49" s="3069">
        <v>0</v>
      </c>
      <c r="F49" s="3069"/>
      <c r="G49" s="3059">
        <f t="shared" si="0"/>
        <v>0</v>
      </c>
      <c r="H49" s="3059"/>
    </row>
    <row r="50" spans="1:8">
      <c r="A50" s="1817" t="s">
        <v>560</v>
      </c>
      <c r="C50" s="3210"/>
      <c r="D50" s="3064"/>
      <c r="E50" s="3059">
        <v>0</v>
      </c>
      <c r="F50" s="3059"/>
      <c r="G50" s="3059">
        <f t="shared" si="0"/>
        <v>0</v>
      </c>
      <c r="H50" s="3059"/>
    </row>
    <row r="51" spans="1:8">
      <c r="A51" s="1817" t="s">
        <v>561</v>
      </c>
      <c r="C51" s="3210"/>
      <c r="D51" s="3064"/>
      <c r="E51" s="3059">
        <v>0</v>
      </c>
      <c r="F51" s="3059"/>
      <c r="G51" s="3059">
        <f t="shared" si="0"/>
        <v>0</v>
      </c>
      <c r="H51" s="3059"/>
    </row>
    <row r="52" spans="1:8">
      <c r="A52" s="1817" t="s">
        <v>562</v>
      </c>
      <c r="C52" s="3210"/>
      <c r="D52" s="3064"/>
      <c r="E52" s="3069">
        <v>0</v>
      </c>
      <c r="F52" s="3069"/>
      <c r="G52" s="3059">
        <f t="shared" si="0"/>
        <v>0</v>
      </c>
      <c r="H52" s="3059"/>
    </row>
    <row r="53" spans="1:8">
      <c r="A53" s="1817" t="s">
        <v>563</v>
      </c>
      <c r="C53" s="3210"/>
      <c r="D53" s="3064"/>
      <c r="E53" s="3069">
        <v>0</v>
      </c>
      <c r="F53" s="3069"/>
      <c r="G53" s="3059">
        <f t="shared" si="0"/>
        <v>0</v>
      </c>
      <c r="H53" s="3059"/>
    </row>
    <row r="54" spans="1:8">
      <c r="A54" s="1817" t="s">
        <v>564</v>
      </c>
      <c r="C54" s="3210"/>
      <c r="D54" s="3064"/>
      <c r="E54" s="3059">
        <v>0</v>
      </c>
      <c r="F54" s="3059"/>
      <c r="G54" s="3059">
        <f t="shared" si="0"/>
        <v>0</v>
      </c>
      <c r="H54" s="3059"/>
    </row>
    <row r="55" spans="1:8">
      <c r="A55" s="1817" t="s">
        <v>565</v>
      </c>
      <c r="C55" s="3210"/>
      <c r="D55" s="3064"/>
      <c r="E55" s="3059">
        <v>0</v>
      </c>
      <c r="F55" s="3059"/>
      <c r="G55" s="3059">
        <f t="shared" si="0"/>
        <v>0</v>
      </c>
      <c r="H55" s="3059"/>
    </row>
    <row r="56" spans="1:8">
      <c r="A56" s="1817" t="s">
        <v>566</v>
      </c>
      <c r="C56" s="3210"/>
      <c r="D56" s="3064"/>
      <c r="E56" s="3059">
        <v>207340</v>
      </c>
      <c r="F56" s="3059"/>
      <c r="G56" s="3059">
        <f t="shared" si="0"/>
        <v>207340</v>
      </c>
      <c r="H56" s="3059"/>
    </row>
    <row r="57" spans="1:8">
      <c r="A57" s="1817" t="s">
        <v>567</v>
      </c>
      <c r="C57" s="3210"/>
      <c r="D57" s="3064"/>
      <c r="E57" s="3059">
        <v>21777000</v>
      </c>
      <c r="F57" s="3059"/>
      <c r="G57" s="3059">
        <f t="shared" si="0"/>
        <v>21777000</v>
      </c>
      <c r="H57" s="3059"/>
    </row>
    <row r="58" spans="1:8">
      <c r="A58" s="1817" t="s">
        <v>568</v>
      </c>
      <c r="C58" s="3210"/>
      <c r="D58" s="3064"/>
      <c r="E58" s="3059">
        <v>0</v>
      </c>
      <c r="F58" s="3059"/>
      <c r="G58" s="3059">
        <f t="shared" si="0"/>
        <v>0</v>
      </c>
      <c r="H58" s="3059"/>
    </row>
    <row r="59" spans="1:8">
      <c r="A59" s="1817" t="s">
        <v>569</v>
      </c>
      <c r="C59" s="3210"/>
      <c r="D59" s="3064"/>
      <c r="E59" s="3069">
        <v>47950</v>
      </c>
      <c r="F59" s="3069"/>
      <c r="G59" s="3059">
        <f t="shared" si="0"/>
        <v>47950</v>
      </c>
      <c r="H59" s="3059"/>
    </row>
    <row r="60" spans="1:8">
      <c r="A60" s="1817" t="s">
        <v>570</v>
      </c>
      <c r="C60" s="3210"/>
      <c r="D60" s="3064"/>
      <c r="E60" s="3069">
        <v>232207</v>
      </c>
      <c r="F60" s="3069"/>
      <c r="G60" s="3059">
        <f t="shared" si="0"/>
        <v>232207</v>
      </c>
      <c r="H60" s="3059"/>
    </row>
    <row r="61" spans="1:8">
      <c r="A61" s="1817" t="s">
        <v>571</v>
      </c>
      <c r="C61" s="3210"/>
      <c r="D61" s="3064"/>
      <c r="E61" s="3059">
        <v>0</v>
      </c>
      <c r="F61" s="3059"/>
      <c r="G61" s="3059">
        <f t="shared" si="0"/>
        <v>0</v>
      </c>
      <c r="H61" s="3059"/>
    </row>
    <row r="62" spans="1:8">
      <c r="A62" s="1817" t="s">
        <v>572</v>
      </c>
      <c r="C62" s="3210"/>
      <c r="D62" s="3064"/>
      <c r="E62" s="3059">
        <v>0</v>
      </c>
      <c r="F62" s="3059"/>
      <c r="G62" s="3059">
        <f t="shared" si="0"/>
        <v>0</v>
      </c>
      <c r="H62" s="3059"/>
    </row>
    <row r="63" spans="1:8">
      <c r="A63" s="1817" t="s">
        <v>573</v>
      </c>
      <c r="C63" s="3210"/>
      <c r="D63" s="3064"/>
      <c r="E63" s="3059">
        <v>0</v>
      </c>
      <c r="F63" s="3059"/>
      <c r="G63" s="3059">
        <f t="shared" si="0"/>
        <v>0</v>
      </c>
      <c r="H63" s="3059"/>
    </row>
    <row r="64" spans="1:8">
      <c r="A64" s="1817" t="s">
        <v>1016</v>
      </c>
      <c r="C64" s="3210"/>
      <c r="D64" s="3064"/>
      <c r="E64" s="3059">
        <v>0</v>
      </c>
      <c r="F64" s="3059"/>
      <c r="G64" s="3059">
        <f t="shared" si="0"/>
        <v>0</v>
      </c>
      <c r="H64" s="3059"/>
    </row>
    <row r="65" spans="1:8">
      <c r="A65" s="3054" t="s">
        <v>574</v>
      </c>
      <c r="B65" s="3039"/>
      <c r="C65" s="3316">
        <v>26993428000</v>
      </c>
      <c r="D65" s="3072"/>
      <c r="E65" s="3059"/>
      <c r="F65" s="3061"/>
      <c r="G65" s="3059"/>
      <c r="H65" s="3059"/>
    </row>
    <row r="66" spans="1:8">
      <c r="A66" s="1817" t="s">
        <v>1113</v>
      </c>
      <c r="B66" s="3038"/>
      <c r="C66" s="3317"/>
      <c r="D66" s="3064"/>
      <c r="E66" s="3059">
        <v>0</v>
      </c>
      <c r="F66" s="3059"/>
      <c r="G66" s="3059">
        <f t="shared" si="0"/>
        <v>0</v>
      </c>
      <c r="H66" s="3059"/>
    </row>
    <row r="67" spans="1:8">
      <c r="A67" s="1817" t="s">
        <v>575</v>
      </c>
      <c r="B67" s="3038"/>
      <c r="C67" s="3317"/>
      <c r="D67" s="3073"/>
      <c r="E67" s="3059">
        <v>0</v>
      </c>
      <c r="F67" s="3059"/>
      <c r="G67" s="3059">
        <f t="shared" si="0"/>
        <v>0</v>
      </c>
      <c r="H67" s="3059"/>
    </row>
    <row r="68" spans="1:8">
      <c r="A68" s="1817" t="s">
        <v>576</v>
      </c>
      <c r="B68" s="3038"/>
      <c r="C68" s="3317"/>
      <c r="D68" s="3073"/>
      <c r="E68" s="3059">
        <v>0</v>
      </c>
      <c r="F68" s="3059"/>
      <c r="G68" s="3059">
        <f t="shared" si="0"/>
        <v>0</v>
      </c>
      <c r="H68" s="3059"/>
    </row>
    <row r="69" spans="1:8">
      <c r="A69" s="1817" t="s">
        <v>577</v>
      </c>
      <c r="B69" s="3074"/>
      <c r="C69" s="3317"/>
      <c r="D69" s="3073"/>
      <c r="E69" s="3059">
        <v>0</v>
      </c>
      <c r="F69" s="3059"/>
      <c r="G69" s="3059">
        <f t="shared" si="0"/>
        <v>0</v>
      </c>
      <c r="H69" s="3059"/>
    </row>
    <row r="70" spans="1:8">
      <c r="A70" s="3075" t="s">
        <v>578</v>
      </c>
      <c r="B70" s="3076"/>
      <c r="C70" s="3317"/>
      <c r="D70" s="3073"/>
      <c r="E70" s="3059">
        <v>0</v>
      </c>
      <c r="F70" s="3059"/>
      <c r="G70" s="3059">
        <f t="shared" si="0"/>
        <v>0</v>
      </c>
      <c r="H70" s="3059"/>
    </row>
    <row r="71" spans="1:8">
      <c r="A71" s="1817" t="s">
        <v>579</v>
      </c>
      <c r="B71" s="3038"/>
      <c r="C71" s="3317"/>
      <c r="D71" s="3064"/>
      <c r="E71" s="3059">
        <v>0</v>
      </c>
      <c r="F71" s="3059"/>
      <c r="G71" s="3059">
        <f t="shared" si="0"/>
        <v>0</v>
      </c>
      <c r="H71" s="3059"/>
    </row>
    <row r="72" spans="1:8">
      <c r="A72" s="1821" t="s">
        <v>580</v>
      </c>
      <c r="B72" s="3077"/>
      <c r="C72" s="3317"/>
      <c r="D72" s="3078"/>
      <c r="E72" s="3061">
        <v>0</v>
      </c>
      <c r="F72" s="3061"/>
      <c r="G72" s="3059">
        <f t="shared" si="0"/>
        <v>0</v>
      </c>
      <c r="H72" s="3059"/>
    </row>
    <row r="73" spans="1:8">
      <c r="A73" s="1817" t="s">
        <v>581</v>
      </c>
      <c r="B73" s="3079"/>
      <c r="C73" s="3317"/>
      <c r="D73" s="3057"/>
      <c r="E73" s="3059">
        <v>260000000</v>
      </c>
      <c r="F73" s="3059"/>
      <c r="G73" s="3059">
        <f t="shared" si="0"/>
        <v>260000000</v>
      </c>
      <c r="H73" s="3059"/>
    </row>
    <row r="74" spans="1:8">
      <c r="A74" s="1817" t="s">
        <v>582</v>
      </c>
      <c r="B74" s="3080"/>
      <c r="C74" s="3317"/>
      <c r="D74" s="3081"/>
      <c r="E74" s="3059">
        <v>0</v>
      </c>
      <c r="F74" s="3059"/>
      <c r="G74" s="3059">
        <f t="shared" si="0"/>
        <v>0</v>
      </c>
      <c r="H74" s="3059"/>
    </row>
    <row r="75" spans="1:8">
      <c r="A75" s="1817" t="s">
        <v>583</v>
      </c>
      <c r="B75" s="3080"/>
      <c r="C75" s="3317"/>
      <c r="D75" s="3081"/>
      <c r="E75" s="3059">
        <v>0</v>
      </c>
      <c r="F75" s="3059"/>
      <c r="G75" s="3059">
        <f t="shared" si="0"/>
        <v>0</v>
      </c>
      <c r="H75" s="3059"/>
    </row>
    <row r="76" spans="1:8">
      <c r="A76" s="1817" t="s">
        <v>584</v>
      </c>
      <c r="B76" s="3080"/>
      <c r="C76" s="3317"/>
      <c r="D76" s="3081"/>
      <c r="E76" s="3059">
        <v>0</v>
      </c>
      <c r="F76" s="3059"/>
      <c r="G76" s="3059">
        <f t="shared" ref="G76:G90" si="1">ROUND(SUM(E76),0)</f>
        <v>0</v>
      </c>
      <c r="H76" s="3059"/>
    </row>
    <row r="77" spans="1:8">
      <c r="A77" s="1817" t="s">
        <v>1018</v>
      </c>
      <c r="B77" s="3080"/>
      <c r="C77" s="3317"/>
      <c r="D77" s="3081"/>
      <c r="E77" s="3059">
        <v>0</v>
      </c>
      <c r="F77" s="3059"/>
      <c r="G77" s="3059">
        <f t="shared" si="1"/>
        <v>0</v>
      </c>
      <c r="H77" s="3059"/>
    </row>
    <row r="78" spans="1:8">
      <c r="A78" s="1817" t="s">
        <v>1017</v>
      </c>
      <c r="B78" s="3080"/>
      <c r="C78" s="3317"/>
      <c r="D78" s="3081"/>
      <c r="E78" s="3059">
        <v>0</v>
      </c>
      <c r="F78" s="3059"/>
      <c r="G78" s="3059">
        <f t="shared" si="1"/>
        <v>0</v>
      </c>
      <c r="H78" s="3059"/>
    </row>
    <row r="79" spans="1:8">
      <c r="A79" s="1817" t="s">
        <v>585</v>
      </c>
      <c r="B79" s="3080"/>
      <c r="C79" s="3317"/>
      <c r="D79" s="3081"/>
      <c r="E79" s="3059">
        <v>0</v>
      </c>
      <c r="F79" s="3059"/>
      <c r="G79" s="3059">
        <f t="shared" si="1"/>
        <v>0</v>
      </c>
      <c r="H79" s="3059"/>
    </row>
    <row r="80" spans="1:8">
      <c r="A80" s="3054" t="s">
        <v>586</v>
      </c>
      <c r="B80" s="3082"/>
      <c r="C80" s="3316">
        <v>20327000</v>
      </c>
      <c r="D80" s="3083"/>
      <c r="E80" s="3059"/>
      <c r="F80" s="3059"/>
      <c r="G80" s="3059"/>
      <c r="H80" s="3059"/>
    </row>
    <row r="81" spans="1:8">
      <c r="A81" s="1817" t="s">
        <v>587</v>
      </c>
      <c r="B81" s="3084"/>
      <c r="C81" s="3317"/>
      <c r="D81" s="3083"/>
      <c r="E81" s="3059">
        <v>68916</v>
      </c>
      <c r="F81" s="3059"/>
      <c r="G81" s="3059">
        <f t="shared" si="1"/>
        <v>68916</v>
      </c>
      <c r="H81" s="3059"/>
    </row>
    <row r="82" spans="1:8">
      <c r="A82" s="3054" t="s">
        <v>588</v>
      </c>
      <c r="B82" s="3085"/>
      <c r="C82" s="3316">
        <v>46736975</v>
      </c>
      <c r="D82" s="3064"/>
      <c r="E82" s="3059"/>
      <c r="F82" s="3059"/>
      <c r="G82" s="3059"/>
      <c r="H82" s="3059"/>
    </row>
    <row r="83" spans="1:8">
      <c r="A83" s="1817" t="s">
        <v>589</v>
      </c>
      <c r="B83" s="3087"/>
      <c r="C83" s="3317"/>
      <c r="D83" s="3064"/>
      <c r="E83" s="3061">
        <v>1242263</v>
      </c>
      <c r="F83" s="3061"/>
      <c r="G83" s="3059">
        <f t="shared" si="1"/>
        <v>1242263</v>
      </c>
      <c r="H83" s="3059"/>
    </row>
    <row r="84" spans="1:8">
      <c r="A84" s="3054" t="s">
        <v>590</v>
      </c>
      <c r="B84" s="3088"/>
      <c r="C84" s="3316">
        <v>6748101</v>
      </c>
      <c r="D84" s="3089"/>
      <c r="E84" s="3059"/>
      <c r="F84" s="3059"/>
      <c r="G84" s="3059"/>
      <c r="H84" s="3059"/>
    </row>
    <row r="85" spans="1:8">
      <c r="A85" s="1817" t="s">
        <v>591</v>
      </c>
      <c r="B85" s="3090"/>
      <c r="C85" s="3211"/>
      <c r="D85" s="3089"/>
      <c r="E85" s="3059">
        <v>0</v>
      </c>
      <c r="F85" s="3059"/>
      <c r="G85" s="3059">
        <f t="shared" si="1"/>
        <v>0</v>
      </c>
      <c r="H85" s="3059"/>
    </row>
    <row r="86" spans="1:8">
      <c r="A86" s="1817" t="s">
        <v>592</v>
      </c>
      <c r="B86" s="3090"/>
      <c r="C86" s="3211"/>
      <c r="D86" s="3089"/>
      <c r="E86" s="3059">
        <v>0</v>
      </c>
      <c r="F86" s="3059"/>
      <c r="G86" s="3059">
        <f t="shared" si="1"/>
        <v>0</v>
      </c>
      <c r="H86" s="3059"/>
    </row>
    <row r="87" spans="1:8">
      <c r="A87" s="1817" t="s">
        <v>593</v>
      </c>
      <c r="B87" s="3090"/>
      <c r="C87" s="3212"/>
      <c r="D87" s="3089"/>
      <c r="E87" s="3059">
        <v>0</v>
      </c>
      <c r="F87" s="3059"/>
      <c r="G87" s="3059">
        <f t="shared" si="1"/>
        <v>0</v>
      </c>
      <c r="H87" s="3059"/>
    </row>
    <row r="88" spans="1:8">
      <c r="A88" s="1817" t="s">
        <v>594</v>
      </c>
      <c r="B88" s="1821"/>
      <c r="C88" s="3212"/>
      <c r="D88" s="3073"/>
      <c r="E88" s="3059">
        <v>0</v>
      </c>
      <c r="F88" s="3059"/>
      <c r="G88" s="3059">
        <f t="shared" si="1"/>
        <v>0</v>
      </c>
      <c r="H88" s="3059"/>
    </row>
    <row r="89" spans="1:8">
      <c r="A89" s="3208" t="s">
        <v>1513</v>
      </c>
      <c r="B89" s="3209"/>
      <c r="C89" s="3318">
        <v>4095000</v>
      </c>
      <c r="D89" s="3073"/>
      <c r="E89" s="3059"/>
      <c r="F89" s="3059"/>
      <c r="G89" s="3059"/>
      <c r="H89" s="3059"/>
    </row>
    <row r="90" spans="1:8">
      <c r="A90" s="3209" t="s">
        <v>1514</v>
      </c>
      <c r="B90" s="3209"/>
      <c r="C90" s="3212"/>
      <c r="D90" s="3073"/>
      <c r="E90" s="3059">
        <v>0</v>
      </c>
      <c r="F90" s="3059"/>
      <c r="G90" s="3059">
        <f t="shared" si="1"/>
        <v>0</v>
      </c>
      <c r="H90" s="3059"/>
    </row>
    <row r="91" spans="1:8">
      <c r="A91" s="3091" t="s">
        <v>58</v>
      </c>
      <c r="B91" s="3092"/>
      <c r="C91" s="3093">
        <f>ROUND(SUM(C9:C90),0)</f>
        <v>30153486872</v>
      </c>
      <c r="D91" s="3094"/>
      <c r="E91" s="3095">
        <f>ROUND(SUM(E9:E90),0)</f>
        <v>323838301</v>
      </c>
      <c r="F91" s="3095"/>
      <c r="G91" s="3095">
        <f>ROUND(SUM(G9:G90),0)</f>
        <v>323838301</v>
      </c>
      <c r="H91" s="3059"/>
    </row>
    <row r="92" spans="1:8" ht="26.4">
      <c r="A92" s="3096" t="s">
        <v>595</v>
      </c>
      <c r="B92" s="3097"/>
      <c r="C92" s="3098">
        <v>89000</v>
      </c>
      <c r="D92" s="3099"/>
      <c r="E92" s="3086"/>
      <c r="F92" s="3086"/>
      <c r="G92" s="3319"/>
      <c r="H92" s="3059"/>
    </row>
    <row r="93" spans="1:8">
      <c r="A93" s="3100" t="s">
        <v>596</v>
      </c>
      <c r="B93" s="3097"/>
      <c r="C93" s="3194"/>
      <c r="D93" s="3099"/>
      <c r="E93" s="3059">
        <v>-1329292</v>
      </c>
      <c r="F93" s="3059"/>
      <c r="G93" s="3101">
        <f>ROUND(SUM(E93),0)</f>
        <v>-1329292</v>
      </c>
      <c r="H93" s="3059"/>
    </row>
    <row r="94" spans="1:8">
      <c r="A94" s="3100" t="s">
        <v>597</v>
      </c>
      <c r="B94" s="3102"/>
      <c r="C94" s="3098"/>
      <c r="D94" s="3103"/>
      <c r="E94" s="3059">
        <v>1485</v>
      </c>
      <c r="F94" s="3050"/>
      <c r="G94" s="3101">
        <f>ROUND(SUM(E94),0)</f>
        <v>1485</v>
      </c>
      <c r="H94" s="3059"/>
    </row>
    <row r="95" spans="1:8" ht="13.8" thickBot="1">
      <c r="A95" s="3091" t="s">
        <v>1442</v>
      </c>
      <c r="B95" s="3039"/>
      <c r="C95" s="3195">
        <f>ROUND(SUM(C91:C94),0)</f>
        <v>30153575872</v>
      </c>
      <c r="D95" s="3104"/>
      <c r="E95" s="3105">
        <f>ROUND(SUM(E91:E94),0)</f>
        <v>322510494</v>
      </c>
      <c r="F95" s="3106"/>
      <c r="G95" s="3105">
        <f>ROUND(SUM(G91:G94),0)</f>
        <v>322510494</v>
      </c>
      <c r="H95" s="3059"/>
    </row>
    <row r="96" spans="1:8" ht="13.8" thickTop="1">
      <c r="A96" s="3107"/>
      <c r="B96" s="3040"/>
      <c r="C96" s="3196"/>
      <c r="D96" s="1822"/>
      <c r="E96" s="3108"/>
      <c r="F96" s="3108"/>
      <c r="G96" s="3320"/>
      <c r="H96" s="3095"/>
    </row>
    <row r="97" spans="1:8" s="1832" customFormat="1">
      <c r="A97" s="3109" t="s">
        <v>1515</v>
      </c>
      <c r="B97" s="3040"/>
      <c r="C97" s="3040"/>
      <c r="D97" s="1822"/>
      <c r="E97" s="3108"/>
      <c r="F97" s="3108"/>
      <c r="G97" s="3320"/>
      <c r="H97" s="3086"/>
    </row>
    <row r="98" spans="1:8" s="1832" customFormat="1">
      <c r="A98" s="3109" t="s">
        <v>1102</v>
      </c>
      <c r="B98" s="3040"/>
      <c r="C98" s="3040"/>
      <c r="D98" s="1822"/>
      <c r="E98" s="3108"/>
      <c r="F98" s="3108"/>
      <c r="G98" s="3320"/>
      <c r="H98" s="3059"/>
    </row>
    <row r="99" spans="1:8" s="1832" customFormat="1">
      <c r="A99" s="3110" t="s">
        <v>1066</v>
      </c>
      <c r="B99" s="3111"/>
      <c r="C99" s="3197"/>
      <c r="D99" s="1820"/>
      <c r="E99" s="3108"/>
      <c r="F99" s="3108"/>
      <c r="G99" s="3321"/>
      <c r="H99" s="3059"/>
    </row>
    <row r="100" spans="1:8" s="1832" customFormat="1">
      <c r="A100" s="3112" t="s">
        <v>1067</v>
      </c>
      <c r="B100" s="1822"/>
      <c r="C100" s="1822"/>
      <c r="D100" s="3090"/>
      <c r="E100" s="3037"/>
      <c r="F100" s="3037"/>
      <c r="G100" s="3312"/>
      <c r="H100" s="3050"/>
    </row>
    <row r="101" spans="1:8" s="1832" customFormat="1">
      <c r="A101" s="3112" t="s">
        <v>1068</v>
      </c>
      <c r="B101" s="1824"/>
      <c r="C101" s="3198"/>
      <c r="D101" s="1825"/>
      <c r="E101" s="3037"/>
      <c r="F101" s="3037"/>
      <c r="G101" s="3101"/>
      <c r="H101" s="3106"/>
    </row>
    <row r="102" spans="1:8">
      <c r="A102" s="3107"/>
      <c r="B102" s="3040"/>
      <c r="C102" s="3196"/>
      <c r="D102" s="1822"/>
      <c r="E102" s="3108"/>
      <c r="F102" s="3108"/>
      <c r="G102" s="3108"/>
      <c r="H102" s="3108"/>
    </row>
    <row r="103" spans="1:8">
      <c r="B103" s="1824"/>
      <c r="C103" s="3199"/>
      <c r="D103" s="1825"/>
      <c r="E103" s="3179"/>
      <c r="F103" s="3179"/>
      <c r="G103" s="3179"/>
      <c r="H103" s="3179"/>
    </row>
    <row r="104" spans="1:8">
      <c r="B104" s="3180"/>
      <c r="C104" s="3237"/>
      <c r="D104" s="3181"/>
      <c r="E104" s="3181"/>
      <c r="F104" s="3181"/>
      <c r="G104" s="3181"/>
      <c r="H104" s="3181"/>
    </row>
    <row r="105" spans="1:8">
      <c r="B105" s="1833"/>
      <c r="C105" s="3238"/>
      <c r="D105" s="1826"/>
      <c r="E105" s="1823"/>
      <c r="F105" s="1823"/>
      <c r="G105" s="1823"/>
      <c r="H105" s="1823"/>
    </row>
    <row r="106" spans="1:8">
      <c r="B106" s="1833"/>
      <c r="C106" s="3238"/>
      <c r="D106" s="1826"/>
      <c r="E106" s="1823"/>
      <c r="F106" s="1823"/>
      <c r="G106" s="1823"/>
      <c r="H106" s="1823"/>
    </row>
    <row r="107" spans="1:8">
      <c r="A107" s="1821"/>
      <c r="B107" s="1822"/>
      <c r="C107" s="1822"/>
    </row>
    <row r="108" spans="1:8">
      <c r="A108" s="1821"/>
      <c r="B108" s="1822"/>
      <c r="C108" s="1822"/>
    </row>
    <row r="109" spans="1:8">
      <c r="C109" s="1817"/>
    </row>
    <row r="110" spans="1:8">
      <c r="A110" s="1822"/>
      <c r="B110" s="1827"/>
      <c r="C110" s="1827"/>
      <c r="D110" s="1827"/>
      <c r="E110" s="1819"/>
      <c r="F110" s="1819"/>
      <c r="G110" s="1819"/>
      <c r="H110" s="1819"/>
    </row>
    <row r="111" spans="1:8" ht="12.75" customHeight="1">
      <c r="A111" s="1822"/>
      <c r="B111" s="1827"/>
      <c r="C111" s="1827"/>
      <c r="D111" s="1827"/>
      <c r="E111" s="1819"/>
      <c r="F111" s="1819"/>
      <c r="G111" s="1819"/>
      <c r="H111" s="1819"/>
    </row>
    <row r="112" spans="1:8" ht="12.75" customHeight="1">
      <c r="A112" s="1822"/>
      <c r="B112" s="1827"/>
      <c r="C112" s="3189"/>
      <c r="D112" s="1827"/>
      <c r="E112" s="1819"/>
      <c r="F112" s="1819"/>
      <c r="G112" s="1819"/>
      <c r="H112" s="1819"/>
    </row>
    <row r="113" spans="1:8" ht="12.75" customHeight="1">
      <c r="A113" s="1822"/>
      <c r="B113" s="1827"/>
      <c r="C113" s="3189"/>
      <c r="D113" s="1827"/>
      <c r="E113" s="1819"/>
      <c r="F113" s="1819"/>
      <c r="G113" s="1819"/>
      <c r="H113" s="1819"/>
    </row>
    <row r="114" spans="1:8">
      <c r="A114" s="1822"/>
      <c r="B114" s="1827"/>
      <c r="C114" s="3189"/>
    </row>
  </sheetData>
  <customSheetViews>
    <customSheetView guid="{8EE6466D-211E-4E05-9F84-CC0A1C6F79F4}" scale="60" showGridLines="0" printArea="1" view="pageBreakPreview">
      <selection activeCell="M1" sqref="M1:M1048576"/>
      <rowBreaks count="1" manualBreakCount="1">
        <brk id="56" max="12" man="1"/>
      </rowBreaks>
      <pageMargins left="0.25" right="0.25" top="0.5" bottom="0.25" header="0.5" footer="0.25"/>
      <printOptions horizontalCentered="1" verticalCentered="1"/>
      <pageSetup scale="69" firstPageNumber="48" fitToHeight="2" orientation="landscape" useFirstPageNumber="1" r:id="rId1"/>
      <headerFooter scaleWithDoc="0" alignWithMargins="0">
        <oddFooter>&amp;C&amp;8&amp;P</oddFooter>
      </headerFooter>
    </customSheetView>
  </customSheetViews>
  <printOptions horizontalCentered="1" verticalCentered="1"/>
  <pageMargins left="0.25" right="0.25" top="0.5" bottom="0.25" header="0.5" footer="0.25"/>
  <pageSetup scale="61" firstPageNumber="48" fitToHeight="2" orientation="landscape" useFirstPageNumber="1" r:id="rId2"/>
  <headerFooter scaleWithDoc="0" alignWithMargins="0">
    <oddFooter>&amp;C&amp;8&amp;P</oddFooter>
  </headerFooter>
  <rowBreaks count="1" manualBreakCount="1">
    <brk id="56" max="1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55"/>
  <sheetViews>
    <sheetView zoomScale="90" zoomScaleNormal="90" workbookViewId="0"/>
  </sheetViews>
  <sheetFormatPr defaultColWidth="8.90625" defaultRowHeight="15" customHeight="1"/>
  <cols>
    <col min="1" max="1" width="55.08984375" style="2437" customWidth="1"/>
    <col min="2" max="2" width="4.6328125" style="2437" customWidth="1"/>
    <col min="3" max="3" width="19" style="2438" customWidth="1"/>
    <col min="4" max="4" width="1.81640625" style="2438" customWidth="1"/>
    <col min="5" max="5" width="1.6328125" style="2439" customWidth="1"/>
    <col min="6" max="6" width="19" style="2439" customWidth="1"/>
    <col min="7" max="10" width="8.90625" style="2438"/>
    <col min="11" max="16384" width="8.90625" style="2437"/>
  </cols>
  <sheetData>
    <row r="1" spans="1:10" ht="15" customHeight="1">
      <c r="A1" s="1172" t="s">
        <v>1103</v>
      </c>
    </row>
    <row r="2" spans="1:10" ht="15" customHeight="1">
      <c r="A2" s="2440"/>
    </row>
    <row r="3" spans="1:10" ht="15" customHeight="1">
      <c r="F3" s="2580" t="s">
        <v>598</v>
      </c>
    </row>
    <row r="4" spans="1:10" ht="18" customHeight="1">
      <c r="A4" s="2441" t="s">
        <v>523</v>
      </c>
      <c r="B4" s="2442"/>
      <c r="C4" s="2442"/>
      <c r="D4" s="2442"/>
      <c r="E4" s="2582"/>
      <c r="F4" s="2582"/>
    </row>
    <row r="5" spans="1:10" ht="18" customHeight="1">
      <c r="A5" s="2441" t="s">
        <v>1001</v>
      </c>
      <c r="B5" s="2441"/>
      <c r="C5" s="2441"/>
      <c r="D5" s="3285"/>
      <c r="E5" s="2581"/>
      <c r="F5" s="2563"/>
    </row>
    <row r="6" spans="1:10" ht="18" customHeight="1">
      <c r="A6" s="3433" t="s">
        <v>1459</v>
      </c>
      <c r="B6" s="3434"/>
      <c r="C6" s="3434"/>
      <c r="D6" s="3286"/>
      <c r="E6" s="2581"/>
      <c r="F6" s="2563"/>
    </row>
    <row r="7" spans="1:10" ht="15" customHeight="1">
      <c r="A7" s="3435"/>
      <c r="B7" s="3435"/>
      <c r="C7" s="3435"/>
      <c r="D7" s="3287"/>
      <c r="E7" s="2583"/>
      <c r="F7" s="2583"/>
    </row>
    <row r="8" spans="1:10" ht="15" customHeight="1">
      <c r="A8" s="2445"/>
      <c r="B8" s="2446"/>
      <c r="C8" s="2447"/>
      <c r="D8" s="2443"/>
      <c r="E8" s="2584"/>
      <c r="F8" s="2448"/>
    </row>
    <row r="9" spans="1:10" s="2451" customFormat="1" ht="15" customHeight="1">
      <c r="A9" s="2449"/>
      <c r="B9" s="2449"/>
      <c r="C9" s="3379">
        <v>2016</v>
      </c>
      <c r="D9" s="3155"/>
      <c r="E9" s="2450"/>
      <c r="F9" s="2450"/>
      <c r="G9" s="2436"/>
      <c r="H9" s="2436"/>
      <c r="I9" s="2436"/>
      <c r="J9" s="2436"/>
    </row>
    <row r="10" spans="1:10" ht="15" customHeight="1">
      <c r="A10" s="2452"/>
      <c r="B10" s="2452"/>
      <c r="C10" s="2453" t="s">
        <v>1474</v>
      </c>
      <c r="D10" s="2453"/>
      <c r="E10" s="2444"/>
      <c r="F10" s="2453" t="s">
        <v>1475</v>
      </c>
    </row>
    <row r="11" spans="1:10" ht="15" customHeight="1">
      <c r="A11" s="2452"/>
      <c r="B11" s="2452"/>
      <c r="C11" s="2455"/>
      <c r="D11" s="2454"/>
      <c r="E11" s="2444"/>
      <c r="F11" s="2455"/>
    </row>
    <row r="12" spans="1:10" s="2451" customFormat="1" ht="15" customHeight="1">
      <c r="A12" s="2456" t="s">
        <v>498</v>
      </c>
      <c r="B12" s="2456"/>
      <c r="C12" s="2457">
        <v>299817850.44</v>
      </c>
      <c r="D12" s="2457"/>
      <c r="E12" s="2458"/>
      <c r="F12" s="2585">
        <f>+C12</f>
        <v>299817850.44</v>
      </c>
      <c r="G12" s="2436"/>
      <c r="H12" s="2436"/>
      <c r="I12" s="2436"/>
      <c r="J12" s="2436"/>
    </row>
    <row r="13" spans="1:10" ht="15" customHeight="1">
      <c r="A13" s="2456"/>
      <c r="B13" s="2452"/>
      <c r="C13" s="2454"/>
      <c r="D13" s="2454"/>
      <c r="E13" s="2459"/>
      <c r="F13" s="2462"/>
    </row>
    <row r="14" spans="1:10" ht="15" customHeight="1">
      <c r="A14" s="2456" t="s">
        <v>15</v>
      </c>
      <c r="B14" s="2452"/>
      <c r="C14" s="2460"/>
      <c r="D14" s="2460"/>
      <c r="E14" s="2461"/>
      <c r="F14" s="2462"/>
    </row>
    <row r="15" spans="1:10" ht="15" customHeight="1">
      <c r="A15" s="2452" t="s">
        <v>600</v>
      </c>
      <c r="B15" s="2452"/>
      <c r="C15" s="2419">
        <v>170871621.06999999</v>
      </c>
      <c r="D15" s="2460"/>
      <c r="E15" s="2461"/>
      <c r="F15" s="2462">
        <f t="shared" ref="F15:F21" si="0">SUM(C15:C15)</f>
        <v>170871621.06999999</v>
      </c>
    </row>
    <row r="16" spans="1:10" ht="15" customHeight="1">
      <c r="A16" s="2452" t="s">
        <v>601</v>
      </c>
      <c r="B16" s="2452"/>
      <c r="C16" s="2419">
        <v>52262700.68</v>
      </c>
      <c r="D16" s="2460"/>
      <c r="E16" s="2461"/>
      <c r="F16" s="2462">
        <f t="shared" si="0"/>
        <v>52262700.68</v>
      </c>
    </row>
    <row r="17" spans="1:15" ht="15" customHeight="1">
      <c r="A17" s="2452" t="s">
        <v>602</v>
      </c>
      <c r="B17" s="2452"/>
      <c r="C17" s="2419">
        <v>5901113.3700000001</v>
      </c>
      <c r="D17" s="2460"/>
      <c r="E17" s="2461"/>
      <c r="F17" s="2462">
        <f t="shared" si="0"/>
        <v>5901113.3700000001</v>
      </c>
    </row>
    <row r="18" spans="1:15" ht="15" customHeight="1">
      <c r="A18" s="2452" t="s">
        <v>603</v>
      </c>
      <c r="B18" s="2452"/>
      <c r="C18" s="2419">
        <v>28693939</v>
      </c>
      <c r="D18" s="2460"/>
      <c r="E18" s="2461"/>
      <c r="F18" s="2462">
        <f t="shared" si="0"/>
        <v>28693939</v>
      </c>
    </row>
    <row r="19" spans="1:15" s="2805" customFormat="1" ht="18" customHeight="1">
      <c r="A19" s="2806" t="s">
        <v>604</v>
      </c>
      <c r="B19" s="2452"/>
      <c r="C19" s="1571">
        <v>0</v>
      </c>
      <c r="D19" s="2460"/>
      <c r="E19" s="2461"/>
      <c r="F19" s="2462">
        <f t="shared" si="0"/>
        <v>0</v>
      </c>
      <c r="G19" s="2454"/>
      <c r="H19" s="2454"/>
      <c r="I19" s="2454"/>
      <c r="J19" s="2454"/>
    </row>
    <row r="20" spans="1:15" ht="15" customHeight="1">
      <c r="A20" s="2452" t="s">
        <v>605</v>
      </c>
      <c r="B20" s="2452"/>
      <c r="C20" s="2419">
        <v>12366.83</v>
      </c>
      <c r="D20" s="2460"/>
      <c r="E20" s="2461"/>
      <c r="F20" s="2462">
        <f t="shared" si="0"/>
        <v>12366.83</v>
      </c>
    </row>
    <row r="21" spans="1:15" ht="15" customHeight="1">
      <c r="A21" s="2452" t="s">
        <v>606</v>
      </c>
      <c r="B21" s="2452"/>
      <c r="C21" s="2463">
        <v>216408.16</v>
      </c>
      <c r="D21" s="2460"/>
      <c r="E21" s="2464"/>
      <c r="F21" s="2462">
        <f t="shared" si="0"/>
        <v>216408.16</v>
      </c>
      <c r="G21" s="2439"/>
    </row>
    <row r="22" spans="1:15" s="2451" customFormat="1" ht="15.6">
      <c r="A22" s="2456" t="s">
        <v>156</v>
      </c>
      <c r="B22" s="2456"/>
      <c r="C22" s="2465">
        <f>ROUND(SUM(C15:C21),2)</f>
        <v>257958149.11000001</v>
      </c>
      <c r="D22" s="2466"/>
      <c r="E22" s="2467"/>
      <c r="F22" s="2468">
        <f>ROUND(SUM(F15:F21),2)</f>
        <v>257958149.11000001</v>
      </c>
      <c r="G22" s="2470"/>
      <c r="H22" s="2436"/>
      <c r="I22" s="2436"/>
      <c r="J22" s="2436"/>
    </row>
    <row r="23" spans="1:15" ht="15" customHeight="1">
      <c r="A23" s="2452"/>
      <c r="B23" s="2452"/>
      <c r="C23" s="2460"/>
      <c r="D23" s="2460"/>
      <c r="E23" s="2461"/>
      <c r="F23" s="2462"/>
    </row>
    <row r="24" spans="1:15" ht="15" customHeight="1">
      <c r="A24" s="2456" t="s">
        <v>1061</v>
      </c>
      <c r="B24" s="2452"/>
      <c r="C24" s="2471"/>
      <c r="D24" s="2460"/>
      <c r="E24" s="2461"/>
      <c r="F24" s="2462"/>
    </row>
    <row r="25" spans="1:15" ht="15" customHeight="1">
      <c r="A25" s="2472" t="s">
        <v>607</v>
      </c>
      <c r="B25" s="2452"/>
      <c r="C25" s="2460">
        <v>0</v>
      </c>
      <c r="D25" s="2460"/>
      <c r="E25" s="2461"/>
      <c r="F25" s="2462">
        <f>SUM(C25:C25)</f>
        <v>0</v>
      </c>
    </row>
    <row r="26" spans="1:15" ht="15" customHeight="1">
      <c r="A26" s="2472" t="s">
        <v>608</v>
      </c>
      <c r="B26" s="2452"/>
      <c r="C26" s="2460">
        <v>0</v>
      </c>
      <c r="D26" s="2460"/>
      <c r="E26" s="2461"/>
      <c r="F26" s="2462">
        <f>SUM(C26:C26)</f>
        <v>0</v>
      </c>
    </row>
    <row r="27" spans="1:15" ht="15" customHeight="1">
      <c r="A27" s="2472" t="s">
        <v>609</v>
      </c>
      <c r="B27" s="2452"/>
      <c r="C27" s="2460">
        <v>0</v>
      </c>
      <c r="D27" s="2460"/>
      <c r="E27" s="2464"/>
      <c r="F27" s="2462">
        <f>SUM(C27:C27)</f>
        <v>0</v>
      </c>
    </row>
    <row r="28" spans="1:15" ht="15.6">
      <c r="A28" s="2442" t="s">
        <v>1115</v>
      </c>
      <c r="B28" s="2456"/>
      <c r="C28" s="2468">
        <v>0</v>
      </c>
      <c r="D28" s="2466"/>
      <c r="E28" s="2467"/>
      <c r="F28" s="2468">
        <f>ROUND(SUM(F25:F27),2)</f>
        <v>0</v>
      </c>
    </row>
    <row r="29" spans="1:15" ht="15" customHeight="1">
      <c r="A29" s="2452"/>
      <c r="B29" s="2452"/>
      <c r="C29" s="2460"/>
      <c r="D29" s="2460"/>
      <c r="E29" s="2461"/>
      <c r="F29" s="2462"/>
    </row>
    <row r="30" spans="1:15" ht="15" customHeight="1">
      <c r="A30" s="2456" t="s">
        <v>610</v>
      </c>
      <c r="B30" s="2456"/>
      <c r="C30" s="2466">
        <f>ROUND(+C22+C28,2)</f>
        <v>257958149.11000001</v>
      </c>
      <c r="D30" s="2466"/>
      <c r="E30" s="2473"/>
      <c r="F30" s="2469">
        <f>ROUND(+F22+F28,2)</f>
        <v>257958149.11000001</v>
      </c>
    </row>
    <row r="31" spans="1:15" ht="15" customHeight="1">
      <c r="A31" s="2452"/>
      <c r="B31" s="2452"/>
      <c r="C31" s="2474"/>
      <c r="D31" s="2460"/>
      <c r="E31" s="2461"/>
      <c r="F31" s="2474"/>
      <c r="G31" s="2439"/>
      <c r="H31" s="2439"/>
      <c r="I31" s="2439"/>
      <c r="J31" s="2439"/>
      <c r="K31" s="2475"/>
      <c r="L31" s="2475"/>
      <c r="M31" s="2475"/>
      <c r="N31" s="2475"/>
      <c r="O31" s="2475"/>
    </row>
    <row r="32" spans="1:15" ht="15" customHeight="1">
      <c r="A32" s="2456" t="s">
        <v>47</v>
      </c>
      <c r="B32" s="2452"/>
      <c r="C32" s="2462"/>
      <c r="D32" s="2462"/>
      <c r="E32" s="2461"/>
      <c r="F32" s="2462"/>
      <c r="G32" s="2439"/>
      <c r="H32" s="2439"/>
      <c r="I32" s="2439"/>
      <c r="J32" s="2439"/>
      <c r="K32" s="2475"/>
      <c r="L32" s="2475"/>
      <c r="M32" s="2475"/>
      <c r="N32" s="2475"/>
      <c r="O32" s="2475"/>
    </row>
    <row r="33" spans="1:15" ht="15" customHeight="1">
      <c r="A33" s="2456" t="s">
        <v>1002</v>
      </c>
      <c r="B33" s="2452"/>
      <c r="C33" s="2462"/>
      <c r="D33" s="2462"/>
      <c r="E33" s="2461"/>
      <c r="F33" s="2462"/>
      <c r="G33" s="2439"/>
      <c r="H33" s="2439"/>
      <c r="I33" s="2439"/>
      <c r="J33" s="2439"/>
      <c r="K33" s="2475"/>
      <c r="L33" s="2475"/>
      <c r="M33" s="2475"/>
      <c r="N33" s="2475"/>
      <c r="O33" s="2475"/>
    </row>
    <row r="34" spans="1:15" ht="15" customHeight="1">
      <c r="A34" s="2452" t="s">
        <v>611</v>
      </c>
      <c r="B34" s="2452"/>
      <c r="C34" s="2419">
        <v>0</v>
      </c>
      <c r="D34" s="2462"/>
      <c r="E34" s="2461"/>
      <c r="F34" s="2462">
        <f>SUM(C34:C34)</f>
        <v>0</v>
      </c>
      <c r="G34" s="2439"/>
      <c r="H34" s="2439"/>
      <c r="I34" s="2439"/>
      <c r="J34" s="2439"/>
      <c r="K34" s="2475"/>
      <c r="L34" s="2475"/>
      <c r="M34" s="2475"/>
      <c r="N34" s="2475"/>
      <c r="O34" s="2475"/>
    </row>
    <row r="35" spans="1:15" ht="15" customHeight="1">
      <c r="A35" s="2472" t="s">
        <v>612</v>
      </c>
      <c r="B35" s="2452"/>
      <c r="C35" s="2419">
        <v>3535981</v>
      </c>
      <c r="D35" s="2462"/>
      <c r="E35" s="2461"/>
      <c r="F35" s="2462">
        <f>SUM(C35:C35)</f>
        <v>3535981</v>
      </c>
      <c r="G35" s="2439"/>
      <c r="H35" s="2439"/>
      <c r="I35" s="2439"/>
      <c r="J35" s="2439"/>
      <c r="K35" s="2475"/>
      <c r="L35" s="2475"/>
      <c r="M35" s="2475"/>
      <c r="N35" s="2475"/>
      <c r="O35" s="2475"/>
    </row>
    <row r="36" spans="1:15" ht="15" customHeight="1">
      <c r="A36" s="2456" t="s">
        <v>613</v>
      </c>
      <c r="B36" s="2452"/>
      <c r="C36" s="2462"/>
      <c r="D36" s="2462"/>
      <c r="E36" s="2461"/>
      <c r="F36" s="2462"/>
      <c r="G36" s="2439"/>
      <c r="H36" s="2439"/>
      <c r="I36" s="2439"/>
      <c r="J36" s="2439"/>
      <c r="K36" s="2475"/>
      <c r="L36" s="2475"/>
      <c r="M36" s="2475"/>
      <c r="N36" s="2475"/>
      <c r="O36" s="2475"/>
    </row>
    <row r="37" spans="1:15" ht="15" customHeight="1">
      <c r="A37" s="2408" t="s">
        <v>614</v>
      </c>
      <c r="B37" s="2452"/>
      <c r="C37" s="2476">
        <v>0</v>
      </c>
      <c r="D37" s="2462"/>
      <c r="E37" s="2461"/>
      <c r="F37" s="2462">
        <f>SUM(C37:C37)</f>
        <v>0</v>
      </c>
      <c r="G37" s="2439"/>
      <c r="H37" s="2439"/>
      <c r="I37" s="2439"/>
      <c r="J37" s="2439"/>
      <c r="K37" s="2475"/>
      <c r="L37" s="2475"/>
      <c r="M37" s="2475"/>
      <c r="N37" s="2475"/>
      <c r="O37" s="2475"/>
    </row>
    <row r="38" spans="1:15" s="2451" customFormat="1" ht="15.6">
      <c r="A38" s="2456" t="s">
        <v>615</v>
      </c>
      <c r="B38" s="2456"/>
      <c r="C38" s="3156">
        <f>ROUND(SUM(C34:C37),2)</f>
        <v>3535981</v>
      </c>
      <c r="D38" s="2466"/>
      <c r="E38" s="2467"/>
      <c r="F38" s="2468">
        <f>ROUND(SUM(F34:F37),2)</f>
        <v>3535981</v>
      </c>
      <c r="G38" s="2470"/>
      <c r="H38" s="2470"/>
      <c r="I38" s="2470"/>
      <c r="J38" s="2470"/>
      <c r="K38" s="2477"/>
      <c r="L38" s="2477"/>
      <c r="M38" s="2477"/>
      <c r="N38" s="2477"/>
      <c r="O38" s="2477"/>
    </row>
    <row r="39" spans="1:15" ht="15" customHeight="1">
      <c r="A39" s="2452"/>
      <c r="B39" s="2452"/>
      <c r="C39" s="2460"/>
      <c r="D39" s="2460"/>
      <c r="E39" s="2461"/>
      <c r="F39" s="2462"/>
      <c r="G39" s="2439"/>
      <c r="H39" s="2439"/>
      <c r="I39" s="2439"/>
      <c r="J39" s="2439"/>
      <c r="K39" s="2475"/>
      <c r="L39" s="2475"/>
      <c r="M39" s="2475"/>
      <c r="N39" s="2475"/>
      <c r="O39" s="2475"/>
    </row>
    <row r="40" spans="1:15" ht="15" customHeight="1">
      <c r="A40" s="2456" t="s">
        <v>1062</v>
      </c>
      <c r="B40" s="2452"/>
      <c r="C40" s="2460"/>
      <c r="D40" s="2460"/>
      <c r="E40" s="2461"/>
      <c r="F40" s="2462"/>
      <c r="G40" s="2439"/>
      <c r="H40" s="2439"/>
      <c r="I40" s="2439"/>
      <c r="J40" s="2439"/>
      <c r="K40" s="2475"/>
      <c r="L40" s="2475"/>
      <c r="M40" s="2475"/>
      <c r="N40" s="2475"/>
      <c r="O40" s="2475"/>
    </row>
    <row r="41" spans="1:15" ht="15" customHeight="1">
      <c r="A41" s="2452" t="s">
        <v>611</v>
      </c>
      <c r="B41" s="2452"/>
      <c r="C41" s="2409">
        <v>0</v>
      </c>
      <c r="D41" s="2460"/>
      <c r="E41" s="2461"/>
      <c r="F41" s="2462">
        <f>SUM(C41:C41)</f>
        <v>0</v>
      </c>
      <c r="G41" s="2439"/>
      <c r="H41" s="2439"/>
      <c r="I41" s="2439"/>
      <c r="J41" s="2439"/>
      <c r="K41" s="2475"/>
      <c r="L41" s="2475"/>
      <c r="M41" s="2475"/>
      <c r="N41" s="2475"/>
      <c r="O41" s="2475"/>
    </row>
    <row r="42" spans="1:15" ht="15" customHeight="1">
      <c r="A42" s="2452" t="s">
        <v>616</v>
      </c>
      <c r="B42" s="2452"/>
      <c r="C42" s="2460">
        <v>0</v>
      </c>
      <c r="D42" s="2460"/>
      <c r="E42" s="2461"/>
      <c r="F42" s="2462">
        <f>SUM(C42:C42)</f>
        <v>0</v>
      </c>
      <c r="G42" s="2439"/>
      <c r="H42" s="2439"/>
      <c r="I42" s="2439"/>
      <c r="J42" s="2439"/>
      <c r="K42" s="2475"/>
      <c r="L42" s="2475"/>
      <c r="M42" s="2475"/>
      <c r="N42" s="2475"/>
      <c r="O42" s="2475"/>
    </row>
    <row r="43" spans="1:15" ht="15" customHeight="1">
      <c r="A43" s="2456" t="s">
        <v>1063</v>
      </c>
      <c r="B43" s="2452"/>
      <c r="C43" s="2460"/>
      <c r="D43" s="2460"/>
      <c r="E43" s="2461"/>
      <c r="F43" s="2462"/>
      <c r="G43" s="2439"/>
      <c r="H43" s="2439"/>
      <c r="I43" s="2439"/>
      <c r="J43" s="2439"/>
      <c r="K43" s="2475"/>
      <c r="L43" s="2475"/>
      <c r="M43" s="2475"/>
      <c r="N43" s="2475"/>
      <c r="O43" s="2475"/>
    </row>
    <row r="44" spans="1:15" ht="15" customHeight="1">
      <c r="A44" s="2472" t="s">
        <v>614</v>
      </c>
      <c r="B44" s="2452"/>
      <c r="C44" s="2419">
        <v>-360140376.79000002</v>
      </c>
      <c r="D44" s="2460"/>
      <c r="E44" s="2461"/>
      <c r="F44" s="2462">
        <f>SUM(C44:C44)</f>
        <v>-360140376.79000002</v>
      </c>
      <c r="G44" s="2439"/>
      <c r="H44" s="2439"/>
      <c r="I44" s="2439"/>
      <c r="J44" s="2439"/>
      <c r="K44" s="2475"/>
      <c r="L44" s="2475"/>
      <c r="M44" s="2475"/>
      <c r="N44" s="2475"/>
      <c r="O44" s="2475"/>
    </row>
    <row r="45" spans="1:15" ht="15" customHeight="1">
      <c r="A45" s="2452" t="s">
        <v>617</v>
      </c>
      <c r="B45" s="2452"/>
      <c r="C45" s="2419">
        <v>0</v>
      </c>
      <c r="D45" s="2460"/>
      <c r="E45" s="2461"/>
      <c r="F45" s="2462">
        <f>SUM(C45:C45)</f>
        <v>0</v>
      </c>
      <c r="G45" s="2439"/>
      <c r="H45" s="2439"/>
      <c r="I45" s="2439"/>
      <c r="J45" s="2439"/>
      <c r="K45" s="2475"/>
      <c r="L45" s="2475"/>
      <c r="M45" s="2475"/>
      <c r="N45" s="2475"/>
      <c r="O45" s="2475"/>
    </row>
    <row r="46" spans="1:15" ht="15" customHeight="1">
      <c r="A46" s="2452" t="s">
        <v>618</v>
      </c>
      <c r="B46" s="2452"/>
      <c r="C46" s="2478">
        <v>0</v>
      </c>
      <c r="D46" s="2460"/>
      <c r="E46" s="2461"/>
      <c r="F46" s="2462">
        <f>SUM(C46:C46)</f>
        <v>0</v>
      </c>
      <c r="G46" s="2439"/>
      <c r="H46" s="2439"/>
      <c r="I46" s="2439"/>
      <c r="J46" s="2439"/>
      <c r="K46" s="2475"/>
      <c r="L46" s="2475"/>
      <c r="M46" s="2475"/>
      <c r="N46" s="2475"/>
      <c r="O46" s="2475"/>
    </row>
    <row r="47" spans="1:15" ht="15.6">
      <c r="A47" s="2456" t="s">
        <v>619</v>
      </c>
      <c r="B47" s="2456"/>
      <c r="C47" s="3156">
        <f>ROUND(SUM(C41:C46),2)</f>
        <v>-360140376.79000002</v>
      </c>
      <c r="D47" s="2466"/>
      <c r="E47" s="2467"/>
      <c r="F47" s="2468">
        <f>ROUND(SUM(F41:F46),2)</f>
        <v>-360140376.79000002</v>
      </c>
      <c r="G47" s="2439"/>
      <c r="H47" s="2439"/>
      <c r="I47" s="2439"/>
      <c r="J47" s="2439"/>
      <c r="K47" s="2475"/>
      <c r="L47" s="2475"/>
      <c r="M47" s="2475"/>
      <c r="N47" s="2475"/>
      <c r="O47" s="2475"/>
    </row>
    <row r="48" spans="1:15" ht="15" customHeight="1">
      <c r="A48" s="2452"/>
      <c r="B48" s="2452"/>
      <c r="C48" s="2460"/>
      <c r="D48" s="2460"/>
      <c r="E48" s="2461"/>
      <c r="F48" s="2462"/>
      <c r="G48" s="2439"/>
      <c r="H48" s="2439"/>
      <c r="I48" s="2439"/>
      <c r="J48" s="2439"/>
      <c r="K48" s="2475"/>
      <c r="L48" s="2475"/>
      <c r="M48" s="2475"/>
      <c r="N48" s="2475"/>
      <c r="O48" s="2475"/>
    </row>
    <row r="49" spans="1:15" ht="15" customHeight="1">
      <c r="A49" s="2456" t="s">
        <v>620</v>
      </c>
      <c r="B49" s="2452"/>
      <c r="C49" s="2460"/>
      <c r="D49" s="2460"/>
      <c r="E49" s="2461"/>
      <c r="F49" s="2462"/>
      <c r="G49" s="2439"/>
      <c r="H49" s="2439"/>
      <c r="I49" s="2439"/>
      <c r="J49" s="2439"/>
      <c r="K49" s="2475"/>
      <c r="L49" s="2475"/>
      <c r="M49" s="2475"/>
      <c r="N49" s="2475"/>
      <c r="O49" s="2475"/>
    </row>
    <row r="50" spans="1:15" ht="15" customHeight="1">
      <c r="A50" s="2456" t="s">
        <v>621</v>
      </c>
      <c r="B50" s="2452"/>
      <c r="C50" s="2465">
        <f>ROUND(+C30+C38+C47,2)</f>
        <v>-98646246.680000007</v>
      </c>
      <c r="D50" s="2469"/>
      <c r="E50" s="2473"/>
      <c r="F50" s="2465">
        <f>ROUND(+F30+F38+F47,2)</f>
        <v>-98646246.680000007</v>
      </c>
      <c r="G50" s="2439"/>
      <c r="H50" s="2439"/>
      <c r="I50" s="2439"/>
      <c r="J50" s="2439"/>
      <c r="K50" s="2475"/>
      <c r="L50" s="2475"/>
      <c r="M50" s="2475"/>
      <c r="N50" s="2475"/>
      <c r="O50" s="2475"/>
    </row>
    <row r="51" spans="1:15" ht="15" customHeight="1">
      <c r="A51" s="2452"/>
      <c r="B51" s="2452"/>
      <c r="C51" s="2454"/>
      <c r="D51" s="2444"/>
      <c r="E51" s="2479"/>
      <c r="F51" s="2462"/>
      <c r="G51" s="2439"/>
      <c r="H51" s="2439"/>
      <c r="I51" s="2439"/>
      <c r="J51" s="2439"/>
      <c r="K51" s="2475"/>
      <c r="L51" s="2475"/>
      <c r="M51" s="2475"/>
      <c r="N51" s="2475"/>
      <c r="O51" s="2475"/>
    </row>
    <row r="52" spans="1:15" s="2451" customFormat="1" ht="21" customHeight="1" thickBot="1">
      <c r="A52" s="2456" t="s">
        <v>622</v>
      </c>
      <c r="B52" s="2456"/>
      <c r="C52" s="2585">
        <f>ROUND(C12+C50,2)</f>
        <v>201171603.75999999</v>
      </c>
      <c r="D52" s="2457"/>
      <c r="E52" s="2480"/>
      <c r="F52" s="2585">
        <f>ROUND(F12+F50,2)</f>
        <v>201171603.75999999</v>
      </c>
      <c r="G52" s="2436"/>
      <c r="H52" s="2436"/>
      <c r="I52" s="2436"/>
      <c r="J52" s="2436"/>
    </row>
    <row r="53" spans="1:15" ht="15" customHeight="1" thickTop="1">
      <c r="A53" s="2452" t="s">
        <v>16</v>
      </c>
      <c r="B53" s="2452"/>
      <c r="C53" s="2481"/>
      <c r="D53" s="2454"/>
      <c r="E53" s="2444"/>
      <c r="F53" s="2481"/>
    </row>
    <row r="54" spans="1:15" ht="15" customHeight="1">
      <c r="A54" s="2433" t="s">
        <v>623</v>
      </c>
    </row>
    <row r="55" spans="1:15" ht="15" customHeight="1">
      <c r="A55" s="2482"/>
    </row>
  </sheetData>
  <customSheetViews>
    <customSheetView guid="{8EE6466D-211E-4E05-9F84-CC0A1C6F79F4}" scale="78" showGridLines="0" fitToPage="1">
      <selection activeCell="G11" sqref="G11"/>
      <pageMargins left="0.24" right="0.24" top="0.5" bottom="0.5" header="0.18" footer="0.25"/>
      <printOptions horizontalCentered="1" verticalCentered="1"/>
      <pageSetup scale="58" orientation="landscape" r:id="rId1"/>
      <headerFooter scaleWithDoc="0" alignWithMargins="0">
        <oddFooter>&amp;C&amp;8 52</oddFooter>
      </headerFooter>
    </customSheetView>
  </customSheetViews>
  <mergeCells count="2">
    <mergeCell ref="A6:C6"/>
    <mergeCell ref="A7:C7"/>
  </mergeCells>
  <printOptions horizontalCentered="1" verticalCentered="1"/>
  <pageMargins left="0.24" right="0.24" top="0.5" bottom="0.5" header="0.18" footer="0.25"/>
  <pageSetup scale="60" firstPageNumber="50" orientation="landscape" useFirstPageNumber="1" r:id="rId2"/>
  <headerFooter scaleWithDoc="0"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U196"/>
  <sheetViews>
    <sheetView zoomScale="90" zoomScaleNormal="90" workbookViewId="0"/>
  </sheetViews>
  <sheetFormatPr defaultColWidth="8.90625" defaultRowHeight="15.6"/>
  <cols>
    <col min="1" max="1" width="3.54296875" style="1158" customWidth="1"/>
    <col min="2" max="2" width="8.453125" style="1243" customWidth="1"/>
    <col min="3" max="3" width="12.1796875" style="1243" customWidth="1"/>
    <col min="4" max="4" width="15" style="1041" customWidth="1"/>
    <col min="5" max="5" width="14.08984375" style="1038" customWidth="1"/>
    <col min="6" max="6" width="7.54296875" style="1158" customWidth="1"/>
    <col min="7" max="7" width="14" style="1158" customWidth="1"/>
    <col min="8" max="8" width="9.08984375" style="1030" customWidth="1"/>
    <col min="9" max="9" width="5.54296875" style="1037" customWidth="1"/>
    <col min="10" max="10" width="9.36328125" style="1037" customWidth="1"/>
    <col min="11" max="11" width="8.36328125" style="1038" customWidth="1"/>
    <col min="12" max="12" width="3.90625" style="1038" customWidth="1"/>
    <col min="13" max="14" width="12.1796875" style="1038" customWidth="1"/>
    <col min="15" max="15" width="12.453125" style="1242" customWidth="1"/>
    <col min="16" max="16" width="11.6328125" style="1242" customWidth="1"/>
    <col min="17" max="17" width="8" style="1242" customWidth="1"/>
    <col min="18" max="18" width="3.6328125" style="1242" customWidth="1"/>
    <col min="19" max="19" width="13.1796875" style="1242" customWidth="1"/>
    <col min="20" max="20" width="12.08984375" style="1242" customWidth="1"/>
    <col min="21" max="21" width="12.1796875" style="1242" customWidth="1"/>
    <col min="22" max="16384" width="8.90625" style="1242"/>
  </cols>
  <sheetData>
    <row r="1" spans="1:20">
      <c r="A1" s="1172" t="s">
        <v>1103</v>
      </c>
    </row>
    <row r="2" spans="1:20">
      <c r="A2" s="1026" t="s">
        <v>887</v>
      </c>
      <c r="B2" s="1027"/>
      <c r="C2" s="1028"/>
      <c r="D2" s="1029"/>
      <c r="E2" s="1030"/>
      <c r="F2" s="1030"/>
      <c r="G2" s="1030"/>
      <c r="I2" s="1031"/>
      <c r="J2" s="1031"/>
      <c r="K2" s="1030"/>
      <c r="L2" s="1030"/>
      <c r="M2" s="1030"/>
      <c r="N2" s="1032"/>
      <c r="O2" s="1033"/>
      <c r="P2" s="1776" t="s">
        <v>1096</v>
      </c>
      <c r="Q2" s="1034"/>
      <c r="R2" s="1034"/>
      <c r="S2" s="1035"/>
      <c r="T2" s="1036"/>
    </row>
    <row r="3" spans="1:20" ht="12.75" customHeight="1">
      <c r="A3" s="1027"/>
      <c r="B3" s="1027"/>
      <c r="C3" s="1028"/>
      <c r="D3" s="1029"/>
      <c r="E3" s="1030"/>
      <c r="F3" s="1030"/>
      <c r="G3" s="1030"/>
      <c r="I3" s="1243"/>
      <c r="J3" s="1243"/>
      <c r="K3" s="1041"/>
      <c r="M3" s="1158"/>
      <c r="N3" s="1158"/>
      <c r="P3" s="1777" t="s">
        <v>1500</v>
      </c>
      <c r="T3" s="1036"/>
    </row>
    <row r="4" spans="1:20" ht="9" customHeight="1">
      <c r="H4" s="2836"/>
      <c r="I4" s="2842"/>
      <c r="J4" s="2842"/>
      <c r="K4" s="2843"/>
      <c r="L4" s="2840"/>
      <c r="M4" s="2841"/>
      <c r="N4" s="2841"/>
      <c r="O4" s="2838"/>
      <c r="P4" s="1777"/>
      <c r="Q4" s="2838"/>
      <c r="T4" s="1036"/>
    </row>
    <row r="5" spans="1:20" ht="13.5" customHeight="1">
      <c r="T5" s="1036"/>
    </row>
    <row r="6" spans="1:20" ht="13.5" customHeight="1">
      <c r="A6" s="1039" t="s">
        <v>888</v>
      </c>
      <c r="B6" s="3137" t="s">
        <v>889</v>
      </c>
      <c r="C6" s="3137"/>
      <c r="D6" s="3137"/>
      <c r="E6" s="1051"/>
      <c r="F6" s="1051"/>
      <c r="G6" s="1051"/>
      <c r="H6" s="1051"/>
      <c r="I6" s="3334" t="s">
        <v>1346</v>
      </c>
      <c r="J6" s="3334"/>
      <c r="K6" s="1051"/>
      <c r="L6" s="1051"/>
      <c r="M6" s="1051"/>
      <c r="N6" s="1051"/>
      <c r="O6" s="3335"/>
      <c r="P6" s="3333"/>
      <c r="Q6" s="2838"/>
    </row>
    <row r="7" spans="1:20" ht="13.5" customHeight="1">
      <c r="A7" s="1039"/>
      <c r="B7" s="3137" t="s">
        <v>890</v>
      </c>
      <c r="C7" s="3137"/>
      <c r="D7" s="3137"/>
      <c r="E7" s="1051"/>
      <c r="F7" s="1051"/>
      <c r="G7" s="1051"/>
      <c r="H7" s="1051"/>
      <c r="I7" s="1252"/>
      <c r="J7" s="1252"/>
      <c r="K7" s="3324"/>
      <c r="L7" s="3324"/>
      <c r="M7" s="3324"/>
      <c r="N7" s="3324"/>
      <c r="O7" s="3335"/>
      <c r="P7" s="3335"/>
      <c r="Q7" s="2838"/>
    </row>
    <row r="8" spans="1:20" ht="12.9" customHeight="1">
      <c r="A8" s="1039"/>
      <c r="B8" s="3137" t="s">
        <v>891</v>
      </c>
      <c r="C8" s="3137"/>
      <c r="D8" s="3137"/>
      <c r="E8" s="1051"/>
      <c r="F8" s="1051"/>
      <c r="G8" s="1051"/>
      <c r="H8" s="1051"/>
      <c r="I8" s="3336"/>
      <c r="J8" s="3336" t="s">
        <v>901</v>
      </c>
      <c r="K8" s="3327"/>
      <c r="L8" s="1051"/>
      <c r="M8" s="3335"/>
      <c r="N8" s="3324"/>
      <c r="O8" s="3330">
        <v>1594.3</v>
      </c>
      <c r="P8" s="1051" t="s">
        <v>893</v>
      </c>
    </row>
    <row r="9" spans="1:20" ht="12.75" customHeight="1">
      <c r="A9" s="1039"/>
      <c r="B9" s="3137" t="s">
        <v>892</v>
      </c>
      <c r="C9" s="3137"/>
      <c r="D9" s="3137"/>
      <c r="E9" s="1051"/>
      <c r="F9" s="1051"/>
      <c r="G9" s="1051"/>
      <c r="H9" s="1051"/>
      <c r="I9" s="3336"/>
      <c r="J9" s="3336" t="s">
        <v>902</v>
      </c>
      <c r="K9" s="3327"/>
      <c r="L9" s="1051"/>
      <c r="M9" s="3335"/>
      <c r="N9" s="3324"/>
      <c r="O9" s="3328">
        <v>247</v>
      </c>
      <c r="P9" s="3335"/>
    </row>
    <row r="10" spans="1:20" ht="12.75" customHeight="1">
      <c r="B10" s="3329"/>
      <c r="C10" s="3329"/>
      <c r="D10" s="3323"/>
      <c r="E10" s="3324"/>
      <c r="F10" s="3337"/>
      <c r="G10" s="3325"/>
      <c r="H10" s="1051"/>
      <c r="I10" s="3336"/>
      <c r="J10" s="3336" t="s">
        <v>903</v>
      </c>
      <c r="K10" s="3327"/>
      <c r="L10" s="1051"/>
      <c r="M10" s="3335"/>
      <c r="N10" s="3324"/>
      <c r="O10" s="3328">
        <v>195.8</v>
      </c>
      <c r="P10" s="3335"/>
    </row>
    <row r="11" spans="1:20" ht="12.75" customHeight="1">
      <c r="A11" s="1030"/>
      <c r="B11" s="3137"/>
      <c r="C11" s="3336" t="s">
        <v>949</v>
      </c>
      <c r="D11" s="3327"/>
      <c r="E11" s="1051"/>
      <c r="F11" s="3327">
        <v>44.2</v>
      </c>
      <c r="G11" s="1051" t="s">
        <v>893</v>
      </c>
      <c r="H11" s="1051"/>
      <c r="I11" s="1252"/>
      <c r="J11" s="3336" t="s">
        <v>904</v>
      </c>
      <c r="K11" s="3327"/>
      <c r="L11" s="1051"/>
      <c r="M11" s="3335"/>
      <c r="N11" s="3324"/>
      <c r="O11" s="3328">
        <v>74</v>
      </c>
      <c r="P11" s="3335"/>
    </row>
    <row r="12" spans="1:20" ht="12.75" customHeight="1">
      <c r="A12" s="1030"/>
      <c r="B12" s="3336"/>
      <c r="C12" s="3336" t="s">
        <v>1143</v>
      </c>
      <c r="D12" s="3338"/>
      <c r="E12" s="1051"/>
      <c r="F12" s="3339">
        <v>24.2</v>
      </c>
      <c r="G12" s="1051"/>
      <c r="H12" s="1051"/>
      <c r="I12" s="1252"/>
      <c r="J12" s="3336"/>
      <c r="K12" s="3324"/>
      <c r="L12" s="3324"/>
      <c r="M12" s="3324"/>
      <c r="N12" s="3324"/>
      <c r="O12" s="3335"/>
      <c r="P12" s="3328"/>
      <c r="Q12" s="2838"/>
    </row>
    <row r="13" spans="1:20" ht="12.75" customHeight="1">
      <c r="A13" s="1030"/>
      <c r="B13" s="3336"/>
      <c r="C13" s="3336" t="s">
        <v>894</v>
      </c>
      <c r="D13" s="3338"/>
      <c r="E13" s="1051"/>
      <c r="F13" s="2796">
        <v>144.30000000000001</v>
      </c>
      <c r="G13" s="1051"/>
      <c r="H13" s="1051"/>
      <c r="I13" s="1051" t="s">
        <v>1138</v>
      </c>
      <c r="J13" s="3336"/>
      <c r="K13" s="1051"/>
      <c r="L13" s="1051"/>
      <c r="M13" s="1051"/>
      <c r="N13" s="1051"/>
      <c r="O13" s="3328"/>
      <c r="P13" s="3335"/>
      <c r="Q13" s="2838"/>
      <c r="T13" s="1030"/>
    </row>
    <row r="14" spans="1:20" ht="12.75" customHeight="1">
      <c r="A14" s="1030"/>
      <c r="B14" s="3336"/>
      <c r="C14" s="3336" t="s">
        <v>895</v>
      </c>
      <c r="D14" s="3338"/>
      <c r="E14" s="1051"/>
      <c r="F14" s="2796">
        <v>10.8</v>
      </c>
      <c r="G14" s="3325"/>
      <c r="H14" s="1051"/>
      <c r="I14" s="1051" t="s">
        <v>1139</v>
      </c>
      <c r="J14" s="3336"/>
      <c r="K14" s="1051"/>
      <c r="L14" s="1051"/>
      <c r="M14" s="1051"/>
      <c r="N14" s="1051"/>
      <c r="O14" s="3328"/>
      <c r="P14" s="3335"/>
      <c r="Q14" s="2838"/>
      <c r="T14" s="1043"/>
    </row>
    <row r="15" spans="1:20" ht="12.75" customHeight="1">
      <c r="A15" s="1030"/>
      <c r="B15" s="3336"/>
      <c r="C15" s="3336" t="s">
        <v>1144</v>
      </c>
      <c r="D15" s="3338"/>
      <c r="E15" s="1051"/>
      <c r="F15" s="2796">
        <v>458.1</v>
      </c>
      <c r="G15" s="1051"/>
      <c r="H15" s="1051"/>
      <c r="I15" s="1051" t="s">
        <v>1525</v>
      </c>
      <c r="J15" s="3336"/>
      <c r="K15" s="1051"/>
      <c r="L15" s="1051"/>
      <c r="M15" s="1051"/>
      <c r="N15" s="1051"/>
      <c r="O15" s="3328"/>
      <c r="P15" s="3335"/>
      <c r="T15" s="1043"/>
    </row>
    <row r="16" spans="1:20" ht="12.75" customHeight="1">
      <c r="A16" s="1030"/>
      <c r="B16" s="3336"/>
      <c r="C16" s="3336" t="s">
        <v>950</v>
      </c>
      <c r="D16" s="3338"/>
      <c r="E16" s="1051"/>
      <c r="F16" s="3339">
        <v>184.7</v>
      </c>
      <c r="G16" s="1051"/>
      <c r="H16" s="1051"/>
      <c r="I16" s="1252"/>
      <c r="J16" s="1252"/>
      <c r="K16" s="3324"/>
      <c r="L16" s="3324"/>
      <c r="M16" s="3324"/>
      <c r="N16" s="3324"/>
      <c r="O16" s="3335"/>
      <c r="P16" s="3335"/>
      <c r="R16" s="1030"/>
    </row>
    <row r="17" spans="1:19" ht="12.75" customHeight="1">
      <c r="A17" s="1030"/>
      <c r="B17" s="3336"/>
      <c r="C17" s="3336" t="s">
        <v>896</v>
      </c>
      <c r="D17" s="3340"/>
      <c r="E17" s="1051"/>
      <c r="F17" s="3339">
        <v>509.9</v>
      </c>
      <c r="G17" s="1051"/>
      <c r="H17" s="1051"/>
      <c r="I17" s="1252"/>
      <c r="J17" s="1252"/>
      <c r="K17" s="3324"/>
      <c r="L17" s="3324"/>
      <c r="M17" s="3324"/>
      <c r="N17" s="3324"/>
      <c r="O17" s="3335"/>
      <c r="P17" s="3335"/>
    </row>
    <row r="18" spans="1:19" ht="12.75" customHeight="1">
      <c r="A18" s="1030"/>
      <c r="B18" s="3336"/>
      <c r="C18" s="3336" t="s">
        <v>1521</v>
      </c>
      <c r="D18" s="3340"/>
      <c r="E18" s="1051"/>
      <c r="F18" s="2796">
        <v>24.8</v>
      </c>
      <c r="G18" s="1051"/>
      <c r="H18" s="1051"/>
      <c r="I18" s="3334" t="s">
        <v>1535</v>
      </c>
      <c r="J18" s="3336"/>
      <c r="K18" s="1051"/>
      <c r="L18" s="1051"/>
      <c r="M18" s="1051"/>
      <c r="N18" s="1051"/>
      <c r="O18" s="3341"/>
      <c r="P18" s="3341"/>
    </row>
    <row r="19" spans="1:19" ht="12.75" customHeight="1">
      <c r="A19" s="3325"/>
      <c r="B19" s="3329"/>
      <c r="C19" s="3329"/>
      <c r="D19" s="3323"/>
      <c r="E19" s="3324"/>
      <c r="F19" s="3325"/>
      <c r="G19" s="3325"/>
      <c r="H19" s="1051"/>
      <c r="I19" s="3137" t="s">
        <v>1534</v>
      </c>
      <c r="J19" s="3336"/>
      <c r="K19" s="1051"/>
      <c r="L19" s="1051"/>
      <c r="M19" s="1051"/>
      <c r="N19" s="1051"/>
      <c r="O19" s="3341"/>
      <c r="P19" s="3341"/>
    </row>
    <row r="20" spans="1:19" ht="12.9" customHeight="1">
      <c r="A20" s="3325"/>
      <c r="B20" s="3329"/>
      <c r="C20" s="3329"/>
      <c r="D20" s="3323"/>
      <c r="E20" s="3324"/>
      <c r="F20" s="3325"/>
      <c r="G20" s="3325"/>
      <c r="H20" s="1051"/>
      <c r="I20" s="1252"/>
      <c r="J20" s="3137"/>
      <c r="K20" s="3324"/>
      <c r="L20" s="3324"/>
      <c r="M20" s="3324"/>
      <c r="N20" s="3324"/>
      <c r="O20" s="3335"/>
      <c r="P20" s="3328"/>
      <c r="R20" s="3138"/>
    </row>
    <row r="21" spans="1:19" ht="12.75" customHeight="1">
      <c r="H21" s="1051"/>
      <c r="I21" s="1252"/>
      <c r="J21" s="3137"/>
      <c r="K21" s="3324"/>
      <c r="L21" s="3324"/>
      <c r="M21" s="3324"/>
      <c r="N21" s="3324"/>
      <c r="O21" s="3335"/>
      <c r="P21" s="3328"/>
    </row>
    <row r="22" spans="1:19" ht="13.65" customHeight="1">
      <c r="A22" s="3369" t="s">
        <v>897</v>
      </c>
      <c r="B22" s="3137" t="s">
        <v>1119</v>
      </c>
      <c r="C22" s="3137"/>
      <c r="D22" s="3137"/>
      <c r="E22" s="1051"/>
      <c r="F22" s="1051"/>
      <c r="G22" s="1051"/>
      <c r="H22" s="3342" t="s">
        <v>908</v>
      </c>
      <c r="I22" s="1051" t="s">
        <v>951</v>
      </c>
      <c r="J22" s="1252"/>
      <c r="K22" s="3329"/>
      <c r="L22" s="3323"/>
      <c r="M22" s="3324"/>
      <c r="N22" s="3325"/>
      <c r="O22" s="3325"/>
      <c r="P22" s="1051"/>
    </row>
    <row r="23" spans="1:19" ht="12.75" customHeight="1">
      <c r="A23" s="3369"/>
      <c r="B23" s="3137" t="s">
        <v>898</v>
      </c>
      <c r="C23" s="3137"/>
      <c r="D23" s="3137"/>
      <c r="E23" s="1051"/>
      <c r="F23" s="1051"/>
      <c r="G23" s="1051"/>
      <c r="H23" s="1051"/>
      <c r="I23" s="1051" t="s">
        <v>1145</v>
      </c>
      <c r="J23" s="1252"/>
      <c r="K23" s="3329"/>
      <c r="L23" s="3323"/>
      <c r="M23" s="3324"/>
      <c r="N23" s="3325"/>
      <c r="O23" s="3325"/>
      <c r="P23" s="1051"/>
    </row>
    <row r="24" spans="1:19" s="3138" customFormat="1" ht="12.75" customHeight="1">
      <c r="A24" s="3369"/>
      <c r="B24" s="3137"/>
      <c r="C24" s="3137"/>
      <c r="D24" s="3137"/>
      <c r="E24" s="1051"/>
      <c r="F24" s="1051"/>
      <c r="G24" s="1051"/>
      <c r="H24" s="1051"/>
      <c r="I24" s="1051" t="s">
        <v>1150</v>
      </c>
      <c r="J24" s="3335"/>
      <c r="K24" s="3329"/>
      <c r="L24" s="3323"/>
      <c r="M24" s="3324"/>
      <c r="N24" s="3325"/>
      <c r="O24" s="3325"/>
      <c r="P24" s="1051"/>
      <c r="Q24" s="1242"/>
      <c r="R24" s="1242"/>
      <c r="S24" s="1242"/>
    </row>
    <row r="25" spans="1:19" ht="13.35" customHeight="1">
      <c r="A25" s="1051"/>
      <c r="B25" s="3343" t="s">
        <v>899</v>
      </c>
      <c r="C25" s="3343"/>
      <c r="D25" s="3137"/>
      <c r="E25" s="1051"/>
      <c r="F25" s="1051"/>
      <c r="G25" s="1051"/>
      <c r="H25" s="1051"/>
      <c r="I25" s="1051" t="s">
        <v>1141</v>
      </c>
      <c r="J25" s="1252"/>
      <c r="K25" s="3329"/>
      <c r="L25" s="3323"/>
      <c r="M25" s="3324"/>
      <c r="N25" s="3325"/>
      <c r="O25" s="3325"/>
      <c r="P25" s="1051"/>
      <c r="S25" s="3138"/>
    </row>
    <row r="26" spans="1:19" ht="12.75" customHeight="1">
      <c r="A26" s="3325"/>
      <c r="B26" s="3329"/>
      <c r="C26" s="3329"/>
      <c r="D26" s="3323"/>
      <c r="E26" s="3324"/>
      <c r="F26" s="3325"/>
      <c r="G26" s="1051"/>
      <c r="H26" s="1051"/>
      <c r="I26" s="1051" t="s">
        <v>16</v>
      </c>
      <c r="J26" s="1252"/>
      <c r="K26" s="3329"/>
      <c r="L26" s="3323"/>
      <c r="M26" s="3324"/>
      <c r="N26" s="3325"/>
      <c r="O26" s="3325"/>
      <c r="P26" s="1051"/>
    </row>
    <row r="27" spans="1:19" ht="12.75" customHeight="1">
      <c r="A27" s="3325"/>
      <c r="B27" s="3329"/>
      <c r="C27" s="3336" t="s">
        <v>1427</v>
      </c>
      <c r="D27" s="3323"/>
      <c r="E27" s="3324"/>
      <c r="F27" s="3330">
        <v>122.3</v>
      </c>
      <c r="G27" s="1051" t="s">
        <v>893</v>
      </c>
      <c r="H27" s="1051"/>
      <c r="I27" s="1051" t="s">
        <v>1394</v>
      </c>
      <c r="J27" s="1252"/>
      <c r="K27" s="3329"/>
      <c r="L27" s="3323"/>
      <c r="M27" s="3324"/>
      <c r="N27" s="3325"/>
      <c r="O27" s="3325"/>
      <c r="P27" s="1051"/>
      <c r="R27" s="3138"/>
    </row>
    <row r="28" spans="1:19" ht="12.75" customHeight="1">
      <c r="A28" s="3325"/>
      <c r="B28" s="3329"/>
      <c r="C28" s="3336" t="s">
        <v>900</v>
      </c>
      <c r="D28" s="3327"/>
      <c r="E28" s="1051"/>
      <c r="F28" s="3328">
        <v>245.3</v>
      </c>
      <c r="G28" s="3335"/>
      <c r="H28" s="1051"/>
      <c r="I28" s="1051" t="s">
        <v>1395</v>
      </c>
      <c r="J28" s="1252"/>
      <c r="K28" s="3329"/>
      <c r="L28" s="3323"/>
      <c r="M28" s="3324"/>
      <c r="N28" s="3325"/>
      <c r="O28" s="3325"/>
      <c r="P28" s="1051"/>
    </row>
    <row r="29" spans="1:19" ht="12.9" customHeight="1">
      <c r="A29" s="3325"/>
      <c r="B29" s="3329"/>
      <c r="C29" s="3336" t="s">
        <v>1397</v>
      </c>
      <c r="D29" s="3327"/>
      <c r="E29" s="1051"/>
      <c r="F29" s="3328">
        <v>5.3</v>
      </c>
      <c r="G29" s="1051"/>
      <c r="H29" s="1051"/>
      <c r="I29" s="1051" t="s">
        <v>1140</v>
      </c>
      <c r="J29" s="1252"/>
      <c r="K29" s="3329"/>
      <c r="L29" s="3323"/>
      <c r="M29" s="3324"/>
      <c r="N29" s="3325"/>
      <c r="O29" s="3325"/>
      <c r="P29" s="1051"/>
    </row>
    <row r="30" spans="1:19" ht="12.75" customHeight="1">
      <c r="A30" s="1051"/>
      <c r="B30" s="3336"/>
      <c r="C30" s="3336" t="s">
        <v>905</v>
      </c>
      <c r="D30" s="3327"/>
      <c r="E30" s="1051"/>
      <c r="F30" s="3328">
        <v>60.4</v>
      </c>
      <c r="G30" s="3325"/>
      <c r="H30" s="1051"/>
      <c r="I30" s="3325"/>
      <c r="J30" s="3329"/>
      <c r="K30" s="3329"/>
      <c r="L30" s="3323"/>
      <c r="M30" s="3324"/>
      <c r="N30" s="3325"/>
      <c r="O30" s="3325"/>
      <c r="P30" s="1051"/>
    </row>
    <row r="31" spans="1:19" ht="12.75" customHeight="1">
      <c r="A31" s="3325"/>
      <c r="B31" s="3329"/>
      <c r="C31" s="3336" t="s">
        <v>1406</v>
      </c>
      <c r="D31" s="3327"/>
      <c r="E31" s="1051"/>
      <c r="F31" s="3328">
        <v>40</v>
      </c>
      <c r="G31" s="3325"/>
      <c r="H31" s="1051"/>
      <c r="I31" s="3325"/>
      <c r="J31" s="3329"/>
      <c r="K31" s="3329"/>
      <c r="L31" s="3323"/>
      <c r="M31" s="3324"/>
      <c r="N31" s="3325"/>
      <c r="O31" s="3325"/>
      <c r="P31" s="1051"/>
    </row>
    <row r="32" spans="1:19" ht="12.75" customHeight="1">
      <c r="A32" s="1051"/>
      <c r="B32" s="3336"/>
      <c r="C32" s="3336" t="s">
        <v>1341</v>
      </c>
      <c r="D32" s="3137"/>
      <c r="E32" s="1051"/>
      <c r="F32" s="3328">
        <v>1</v>
      </c>
      <c r="G32" s="3325"/>
      <c r="H32" s="1051"/>
      <c r="I32" s="3325"/>
      <c r="J32" s="1252"/>
      <c r="K32" s="3344"/>
      <c r="L32" s="3345"/>
      <c r="M32" s="3346"/>
      <c r="N32" s="3347" t="s">
        <v>1391</v>
      </c>
      <c r="O32" s="3348"/>
      <c r="P32" s="1051"/>
    </row>
    <row r="33" spans="1:20" s="3138" customFormat="1" ht="12.75" customHeight="1">
      <c r="A33" s="1051"/>
      <c r="B33" s="3336"/>
      <c r="C33" s="3336" t="s">
        <v>906</v>
      </c>
      <c r="D33" s="3327"/>
      <c r="E33" s="1051"/>
      <c r="F33" s="3328">
        <v>2.2000000000000002</v>
      </c>
      <c r="G33" s="3325"/>
      <c r="H33" s="3335"/>
      <c r="I33" s="3325"/>
      <c r="J33" s="3349"/>
      <c r="K33" s="3344"/>
      <c r="L33" s="3345"/>
      <c r="M33" s="3347" t="s">
        <v>886</v>
      </c>
      <c r="N33" s="3350"/>
      <c r="O33" s="3348" t="s">
        <v>1392</v>
      </c>
      <c r="P33" s="1051"/>
      <c r="R33" s="1242"/>
      <c r="S33" s="1242"/>
    </row>
    <row r="34" spans="1:20" ht="12.9" customHeight="1">
      <c r="A34" s="3325"/>
      <c r="B34" s="3336"/>
      <c r="C34" s="3336" t="s">
        <v>907</v>
      </c>
      <c r="D34" s="3327"/>
      <c r="E34" s="1051"/>
      <c r="F34" s="3328">
        <v>4.4000000000000004</v>
      </c>
      <c r="G34" s="3325"/>
      <c r="H34" s="1051"/>
      <c r="I34" s="3325"/>
      <c r="J34" s="3349"/>
      <c r="K34" s="3344"/>
      <c r="L34" s="3345"/>
      <c r="M34" s="3347"/>
      <c r="N34" s="3350"/>
      <c r="O34" s="3348"/>
      <c r="P34" s="1051"/>
      <c r="S34" s="3138"/>
    </row>
    <row r="35" spans="1:20" ht="12.75" customHeight="1">
      <c r="A35" s="1051"/>
      <c r="B35" s="3336"/>
      <c r="C35" s="3336" t="s">
        <v>1065</v>
      </c>
      <c r="D35" s="3327"/>
      <c r="E35" s="1051"/>
      <c r="F35" s="3328">
        <v>212.5</v>
      </c>
      <c r="G35" s="3325"/>
      <c r="H35" s="1051"/>
      <c r="I35" s="3351" t="s">
        <v>910</v>
      </c>
      <c r="J35" s="1252"/>
      <c r="K35" s="3344"/>
      <c r="L35" s="3352"/>
      <c r="M35" s="3353">
        <v>0</v>
      </c>
      <c r="N35" s="3350"/>
      <c r="O35" s="3354">
        <v>28225.22</v>
      </c>
      <c r="P35" s="1051"/>
    </row>
    <row r="36" spans="1:20" ht="12.75" customHeight="1">
      <c r="A36" s="1051"/>
      <c r="B36" s="3336"/>
      <c r="C36" s="3329"/>
      <c r="D36" s="3323"/>
      <c r="E36" s="3324"/>
      <c r="F36" s="3325"/>
      <c r="G36" s="1051"/>
      <c r="H36" s="1051"/>
      <c r="I36" s="3351" t="s">
        <v>1393</v>
      </c>
      <c r="J36" s="1252"/>
      <c r="K36" s="3344"/>
      <c r="L36" s="3345"/>
      <c r="M36" s="3355">
        <v>0</v>
      </c>
      <c r="N36" s="3350"/>
      <c r="O36" s="3356">
        <v>728984.58</v>
      </c>
      <c r="P36" s="1051"/>
      <c r="R36" s="1030"/>
    </row>
    <row r="37" spans="1:20" ht="12.75" customHeight="1">
      <c r="A37" s="1051"/>
      <c r="B37" s="3336" t="s">
        <v>909</v>
      </c>
      <c r="C37" s="3336"/>
      <c r="D37" s="3357"/>
      <c r="E37" s="1051"/>
      <c r="F37" s="3333"/>
      <c r="G37" s="3325"/>
      <c r="H37" s="1051"/>
      <c r="I37" s="3351" t="s">
        <v>911</v>
      </c>
      <c r="J37" s="1252"/>
      <c r="K37" s="3137"/>
      <c r="L37" s="3358"/>
      <c r="M37" s="3359">
        <v>10000000</v>
      </c>
      <c r="N37" s="3360"/>
      <c r="O37" s="3361">
        <v>3927009.3</v>
      </c>
      <c r="P37" s="3341"/>
      <c r="R37" s="1043"/>
    </row>
    <row r="38" spans="1:20" ht="12.75" customHeight="1">
      <c r="A38" s="3325"/>
      <c r="B38" s="1051" t="s">
        <v>1501</v>
      </c>
      <c r="C38" s="3336"/>
      <c r="D38" s="3357"/>
      <c r="E38" s="1051"/>
      <c r="F38" s="3333"/>
      <c r="G38" s="3325"/>
      <c r="H38" s="3325"/>
      <c r="I38" s="3351" t="s">
        <v>912</v>
      </c>
      <c r="J38" s="1252"/>
      <c r="K38" s="3137"/>
      <c r="L38" s="3358"/>
      <c r="M38" s="3359">
        <v>0</v>
      </c>
      <c r="N38" s="3350"/>
      <c r="O38" s="3362">
        <v>1751253</v>
      </c>
      <c r="P38" s="3341"/>
      <c r="R38" s="1043"/>
      <c r="T38" s="1244"/>
    </row>
    <row r="39" spans="1:20" ht="12.75" customHeight="1">
      <c r="A39" s="1051"/>
      <c r="B39" s="1051" t="s">
        <v>1536</v>
      </c>
      <c r="C39" s="3336"/>
      <c r="D39" s="3357"/>
      <c r="E39" s="1051"/>
      <c r="F39" s="3333"/>
      <c r="G39" s="3325"/>
      <c r="H39" s="3325"/>
      <c r="I39" s="3351" t="s">
        <v>913</v>
      </c>
      <c r="J39" s="1252"/>
      <c r="K39" s="3137"/>
      <c r="L39" s="3363"/>
      <c r="M39" s="3355">
        <v>0</v>
      </c>
      <c r="N39" s="3350"/>
      <c r="O39" s="3364">
        <v>0</v>
      </c>
      <c r="P39" s="1051"/>
      <c r="T39" s="1244"/>
    </row>
    <row r="40" spans="1:20" ht="12.9" customHeight="1">
      <c r="A40" s="3325"/>
      <c r="B40" s="1051"/>
      <c r="C40" s="3329"/>
      <c r="D40" s="3323"/>
      <c r="E40" s="3324"/>
      <c r="F40" s="3325"/>
      <c r="G40" s="3325"/>
      <c r="H40" s="3325"/>
      <c r="I40" s="3351" t="s">
        <v>1084</v>
      </c>
      <c r="J40" s="1252"/>
      <c r="K40" s="3137"/>
      <c r="L40" s="3363"/>
      <c r="M40" s="3355">
        <v>0</v>
      </c>
      <c r="N40" s="3350"/>
      <c r="O40" s="3355">
        <v>0</v>
      </c>
      <c r="P40" s="1051"/>
      <c r="T40" s="1244"/>
    </row>
    <row r="41" spans="1:20" ht="12.75" customHeight="1" thickBot="1">
      <c r="A41" s="1051"/>
      <c r="B41" s="3336"/>
      <c r="C41" s="3329"/>
      <c r="D41" s="3323"/>
      <c r="E41" s="3324"/>
      <c r="F41" s="3325"/>
      <c r="G41" s="3325"/>
      <c r="H41" s="3325"/>
      <c r="I41" s="3351" t="s">
        <v>914</v>
      </c>
      <c r="J41" s="1252"/>
      <c r="K41" s="3351"/>
      <c r="L41" s="3365"/>
      <c r="M41" s="3366">
        <f>SUM(M35:M40)</f>
        <v>10000000</v>
      </c>
      <c r="N41" s="3367"/>
      <c r="O41" s="3368">
        <f>SUM(O35:O40)</f>
        <v>6435472.0999999996</v>
      </c>
      <c r="P41" s="1051"/>
      <c r="T41" s="1244"/>
    </row>
    <row r="42" spans="1:20" ht="12.75" customHeight="1" thickTop="1">
      <c r="A42" s="1030"/>
      <c r="B42" s="1031"/>
      <c r="G42" s="1030"/>
      <c r="H42" s="1158"/>
      <c r="I42" s="1158"/>
      <c r="J42" s="1243"/>
      <c r="K42" s="1243"/>
      <c r="L42" s="1041"/>
      <c r="N42" s="1158"/>
      <c r="O42" s="1158"/>
      <c r="Q42" s="3138"/>
      <c r="T42" s="1244"/>
    </row>
    <row r="43" spans="1:20" s="3138" customFormat="1" ht="12.75" customHeight="1">
      <c r="A43" s="1030"/>
      <c r="B43" s="3137" t="s">
        <v>1120</v>
      </c>
      <c r="C43" s="3322"/>
      <c r="D43" s="3323"/>
      <c r="E43" s="3324"/>
      <c r="F43" s="3325"/>
      <c r="G43" s="1051"/>
      <c r="H43" s="2836"/>
      <c r="I43" s="1158"/>
      <c r="J43" s="1243"/>
      <c r="K43" s="1243"/>
      <c r="L43" s="1041"/>
      <c r="M43" s="1038"/>
      <c r="N43" s="1158"/>
      <c r="O43" s="1158"/>
      <c r="P43" s="1242"/>
      <c r="R43" s="1242"/>
      <c r="S43" s="1242"/>
      <c r="T43" s="1244"/>
    </row>
    <row r="44" spans="1:20" ht="12.75" customHeight="1">
      <c r="B44" s="3137" t="s">
        <v>1121</v>
      </c>
      <c r="C44" s="3370"/>
      <c r="D44" s="3335"/>
      <c r="E44" s="3335"/>
      <c r="F44" s="3335"/>
      <c r="G44" s="1051"/>
      <c r="H44" s="2836"/>
      <c r="I44" s="1158"/>
      <c r="J44" s="1243"/>
      <c r="K44" s="1243"/>
      <c r="L44" s="1041"/>
      <c r="N44" s="1158"/>
      <c r="O44" s="1158"/>
      <c r="P44" s="1030"/>
      <c r="S44" s="3138"/>
      <c r="T44" s="1244"/>
    </row>
    <row r="45" spans="1:20" ht="12.75" customHeight="1">
      <c r="A45" s="2841"/>
      <c r="B45" s="3137" t="s">
        <v>1502</v>
      </c>
      <c r="C45" s="3322"/>
      <c r="D45" s="3327"/>
      <c r="E45" s="1051"/>
      <c r="F45" s="3328"/>
      <c r="G45" s="1051"/>
      <c r="H45" s="3369" t="s">
        <v>1097</v>
      </c>
      <c r="I45" s="3137" t="s">
        <v>1399</v>
      </c>
      <c r="J45" s="1252"/>
      <c r="K45" s="1252"/>
      <c r="L45" s="3324"/>
      <c r="M45" s="3324"/>
      <c r="N45" s="3324"/>
      <c r="O45" s="3324"/>
      <c r="P45" s="3371"/>
      <c r="T45" s="1244"/>
    </row>
    <row r="46" spans="1:20" ht="12.75" customHeight="1">
      <c r="A46" s="2841"/>
      <c r="B46" s="3137" t="s">
        <v>1519</v>
      </c>
      <c r="C46" s="3322"/>
      <c r="D46" s="3327"/>
      <c r="E46" s="1051"/>
      <c r="F46" s="3328"/>
      <c r="G46" s="1051"/>
      <c r="H46" s="1051"/>
      <c r="I46" s="3137" t="s">
        <v>1400</v>
      </c>
      <c r="J46" s="1252"/>
      <c r="K46" s="1252"/>
      <c r="L46" s="3324"/>
      <c r="M46" s="3324"/>
      <c r="N46" s="3324"/>
      <c r="O46" s="3324"/>
      <c r="P46" s="3325"/>
    </row>
    <row r="47" spans="1:20" ht="13.5" customHeight="1">
      <c r="A47" s="2841"/>
      <c r="B47" s="3311"/>
      <c r="C47" s="3311"/>
      <c r="H47" s="1051"/>
      <c r="I47" s="3137" t="s">
        <v>1516</v>
      </c>
      <c r="J47" s="1252"/>
      <c r="K47" s="1252"/>
      <c r="L47" s="3324"/>
      <c r="M47" s="3324"/>
      <c r="N47" s="3324"/>
      <c r="O47" s="3324"/>
      <c r="P47" s="3325"/>
      <c r="R47" s="3138"/>
    </row>
    <row r="48" spans="1:20" ht="13.5" customHeight="1">
      <c r="A48" s="1030"/>
      <c r="B48" s="3331" t="s">
        <v>1320</v>
      </c>
      <c r="C48" s="3329"/>
      <c r="D48" s="3323"/>
      <c r="E48" s="3324"/>
      <c r="F48" s="3325"/>
      <c r="G48" s="3325"/>
      <c r="H48" s="3335"/>
      <c r="I48" s="3137" t="s">
        <v>1520</v>
      </c>
      <c r="J48" s="1252"/>
      <c r="K48" s="3336"/>
      <c r="L48" s="1051"/>
      <c r="M48" s="1051"/>
      <c r="N48" s="1051"/>
      <c r="O48" s="1051"/>
      <c r="P48" s="3325"/>
      <c r="R48" s="3138"/>
    </row>
    <row r="49" spans="1:21" ht="12.75" customHeight="1">
      <c r="A49" s="3136"/>
      <c r="B49" s="3137" t="s">
        <v>1517</v>
      </c>
      <c r="C49" s="3322"/>
      <c r="D49" s="3323"/>
      <c r="E49" s="3324"/>
      <c r="F49" s="3325"/>
      <c r="G49" s="3325"/>
    </row>
    <row r="50" spans="1:21" ht="12.75" customHeight="1">
      <c r="A50" s="1030"/>
      <c r="B50" s="3137" t="s">
        <v>1518</v>
      </c>
      <c r="C50" s="3322"/>
      <c r="D50" s="3327"/>
      <c r="E50" s="1051"/>
      <c r="F50" s="3328"/>
      <c r="G50" s="3325"/>
      <c r="H50" s="1044"/>
    </row>
    <row r="51" spans="1:21" ht="12.9" customHeight="1">
      <c r="A51" s="3136"/>
      <c r="B51" s="3322"/>
      <c r="C51" s="3322"/>
      <c r="D51" s="3323"/>
      <c r="E51" s="3324"/>
      <c r="F51" s="3325"/>
      <c r="G51" s="3325"/>
      <c r="H51" s="1044"/>
    </row>
    <row r="52" spans="1:21" ht="12.75" customHeight="1">
      <c r="B52" s="3326" t="s">
        <v>1118</v>
      </c>
      <c r="C52" s="3322"/>
      <c r="D52" s="3323"/>
      <c r="E52" s="3324"/>
      <c r="F52" s="3325"/>
      <c r="G52" s="3325"/>
      <c r="H52" s="1158"/>
      <c r="R52" s="3138"/>
    </row>
    <row r="53" spans="1:21" ht="12.75" customHeight="1">
      <c r="B53" s="3322"/>
      <c r="C53" s="3322"/>
      <c r="D53" s="3323"/>
      <c r="E53" s="3324"/>
      <c r="F53" s="3325"/>
      <c r="G53" s="3325"/>
      <c r="S53" s="1028"/>
      <c r="T53" s="1244"/>
      <c r="U53" s="1244"/>
    </row>
    <row r="54" spans="1:21" ht="12.75" customHeight="1">
      <c r="B54" s="3322"/>
      <c r="C54" s="3332" t="s">
        <v>1163</v>
      </c>
      <c r="D54" s="3323"/>
      <c r="E54" s="3324"/>
      <c r="F54" s="3373">
        <v>4.4000000000000004</v>
      </c>
      <c r="G54" s="1051" t="s">
        <v>893</v>
      </c>
      <c r="S54" s="1046"/>
      <c r="T54" s="1244"/>
      <c r="U54" s="1244"/>
    </row>
    <row r="55" spans="1:21" ht="12.75" customHeight="1">
      <c r="A55" s="2836"/>
      <c r="B55" s="3322"/>
      <c r="S55" s="1047"/>
      <c r="T55" s="1244"/>
      <c r="U55" s="1244"/>
    </row>
    <row r="56" spans="1:21" ht="12.75" customHeight="1">
      <c r="A56" s="1030"/>
      <c r="T56" s="1244"/>
      <c r="U56" s="1244"/>
    </row>
    <row r="57" spans="1:21" ht="12.75" customHeight="1">
      <c r="J57" s="2837"/>
      <c r="K57" s="2835"/>
      <c r="L57" s="2840"/>
      <c r="M57" s="2840"/>
      <c r="N57" s="2840"/>
      <c r="O57" s="2838"/>
      <c r="P57" s="3012"/>
    </row>
    <row r="58" spans="1:21" s="2838" customFormat="1" ht="12.75" customHeight="1">
      <c r="A58" s="1030"/>
      <c r="C58" s="1031"/>
      <c r="D58" s="1042"/>
      <c r="E58" s="1030"/>
      <c r="F58" s="1040"/>
      <c r="G58" s="1158"/>
      <c r="J58" s="2837"/>
      <c r="K58" s="2835"/>
      <c r="L58" s="2840"/>
      <c r="M58" s="2840"/>
      <c r="N58" s="2840"/>
      <c r="P58" s="3012"/>
      <c r="R58" s="1242"/>
      <c r="S58" s="1242"/>
    </row>
    <row r="59" spans="1:21" s="1044" customFormat="1" ht="12.75" customHeight="1">
      <c r="A59" s="1030"/>
      <c r="C59" s="1243"/>
      <c r="D59" s="1041"/>
      <c r="E59" s="1038"/>
      <c r="F59" s="1158"/>
      <c r="G59" s="1158"/>
      <c r="H59" s="1030"/>
      <c r="R59" s="1242"/>
      <c r="S59" s="2838"/>
    </row>
    <row r="60" spans="1:21" ht="12.75" customHeight="1">
      <c r="A60" s="1030"/>
      <c r="C60" s="1031"/>
      <c r="D60" s="1042"/>
      <c r="E60" s="1030"/>
      <c r="F60" s="1040"/>
      <c r="H60" s="2836"/>
      <c r="S60" s="1044"/>
    </row>
    <row r="61" spans="1:21" ht="12.75" customHeight="1">
      <c r="B61" s="3136"/>
      <c r="H61" s="2836"/>
      <c r="R61" s="1045"/>
    </row>
    <row r="62" spans="1:21" s="2838" customFormat="1" ht="12.75" customHeight="1">
      <c r="H62" s="3136"/>
      <c r="R62" s="1033"/>
      <c r="S62" s="1242"/>
    </row>
    <row r="63" spans="1:21" ht="12.75" customHeight="1">
      <c r="R63" s="1033"/>
      <c r="S63" s="2838"/>
    </row>
    <row r="64" spans="1:21" ht="12.75" customHeight="1">
      <c r="R64" s="1049"/>
    </row>
    <row r="65" spans="9:18" s="3138" customFormat="1" ht="12.75" customHeight="1">
      <c r="I65" s="2839"/>
      <c r="J65" s="2839"/>
      <c r="K65" s="2840"/>
      <c r="L65" s="2840"/>
      <c r="M65" s="2840"/>
      <c r="N65" s="2840"/>
      <c r="R65" s="2844"/>
    </row>
    <row r="66" spans="9:18" s="3138" customFormat="1" ht="12.75" customHeight="1">
      <c r="I66" s="2839"/>
      <c r="J66" s="2839"/>
      <c r="K66" s="2840"/>
      <c r="L66" s="2840"/>
      <c r="M66" s="2840"/>
      <c r="N66" s="2840"/>
      <c r="R66" s="2844"/>
    </row>
    <row r="67" spans="9:18" s="3138" customFormat="1" ht="12.75" customHeight="1">
      <c r="I67" s="2839"/>
      <c r="J67" s="2839"/>
      <c r="K67" s="2840"/>
      <c r="L67" s="2840"/>
      <c r="M67" s="2840"/>
      <c r="N67" s="2840"/>
      <c r="R67" s="2844"/>
    </row>
    <row r="68" spans="9:18" s="3138" customFormat="1" ht="12.75" customHeight="1">
      <c r="I68" s="2839"/>
      <c r="J68" s="2839"/>
      <c r="K68" s="2840"/>
      <c r="L68" s="2840"/>
      <c r="M68" s="2840"/>
      <c r="N68" s="2840"/>
      <c r="R68" s="2844"/>
    </row>
    <row r="69" spans="9:18" s="3138" customFormat="1" ht="12.75" customHeight="1">
      <c r="I69" s="2839"/>
      <c r="J69" s="2839"/>
      <c r="K69" s="2840"/>
      <c r="L69" s="2840"/>
      <c r="M69" s="2840"/>
      <c r="N69" s="2840"/>
      <c r="R69" s="2844"/>
    </row>
    <row r="70" spans="9:18" s="3138" customFormat="1" ht="12.75" customHeight="1">
      <c r="I70" s="2839"/>
      <c r="J70" s="2839"/>
      <c r="K70" s="2840"/>
      <c r="L70" s="2840"/>
      <c r="M70" s="2840"/>
      <c r="N70" s="2840"/>
      <c r="R70" s="2844"/>
    </row>
    <row r="71" spans="9:18" s="3138" customFormat="1" ht="12.75" customHeight="1">
      <c r="I71" s="2839"/>
      <c r="J71" s="2839"/>
      <c r="K71" s="2840"/>
      <c r="L71" s="2840"/>
      <c r="M71" s="2840"/>
      <c r="N71" s="2840"/>
      <c r="R71" s="2844"/>
    </row>
    <row r="72" spans="9:18" s="3138" customFormat="1" ht="12.75" customHeight="1">
      <c r="I72" s="2839"/>
      <c r="J72" s="2839"/>
      <c r="K72" s="2840"/>
      <c r="L72" s="2840"/>
      <c r="M72" s="2840"/>
      <c r="N72" s="2840"/>
      <c r="R72" s="2844"/>
    </row>
    <row r="73" spans="9:18" s="3138" customFormat="1" ht="12.75" customHeight="1">
      <c r="I73" s="2839"/>
      <c r="J73" s="2839"/>
      <c r="K73" s="2840"/>
      <c r="L73" s="2840"/>
      <c r="M73" s="2840"/>
      <c r="N73" s="2840"/>
      <c r="R73" s="2844"/>
    </row>
    <row r="74" spans="9:18" s="3138" customFormat="1" ht="12.75" customHeight="1">
      <c r="I74" s="2839"/>
      <c r="J74" s="2839"/>
      <c r="K74" s="2840"/>
      <c r="L74" s="2840"/>
      <c r="M74" s="2840"/>
      <c r="N74" s="2840"/>
      <c r="R74" s="2844"/>
    </row>
    <row r="75" spans="9:18" ht="12.75" customHeight="1">
      <c r="I75" s="2838"/>
      <c r="R75" s="2844"/>
    </row>
    <row r="76" spans="9:18" ht="12.75" customHeight="1">
      <c r="I76" s="2838"/>
      <c r="R76" s="1049"/>
    </row>
    <row r="77" spans="9:18" ht="12.75" customHeight="1">
      <c r="I77" s="1242"/>
      <c r="R77" s="2844"/>
    </row>
    <row r="78" spans="9:18" ht="12.75" customHeight="1">
      <c r="I78" s="3013"/>
      <c r="R78" s="1049"/>
    </row>
    <row r="79" spans="9:18" ht="12.75" customHeight="1">
      <c r="I79" s="3013"/>
      <c r="R79" s="1049"/>
    </row>
    <row r="80" spans="9:18" s="1044" customFormat="1" ht="12.75" customHeight="1">
      <c r="I80" s="3013"/>
      <c r="J80" s="2838"/>
      <c r="R80" s="1049"/>
    </row>
    <row r="81" spans="1:18" s="1044" customFormat="1" ht="12.75" customHeight="1">
      <c r="I81" s="3014"/>
      <c r="J81" s="1242"/>
      <c r="R81" s="1049"/>
    </row>
    <row r="82" spans="1:18" ht="12.75" customHeight="1">
      <c r="I82" s="3015"/>
      <c r="J82" s="1242"/>
      <c r="R82" s="1050"/>
    </row>
    <row r="83" spans="1:18" ht="12.75" customHeight="1">
      <c r="I83" s="1242"/>
      <c r="J83" s="1242"/>
      <c r="R83" s="1050"/>
    </row>
    <row r="84" spans="1:18" ht="12.75" customHeight="1">
      <c r="I84" s="2838"/>
      <c r="J84" s="1242"/>
      <c r="R84" s="1050"/>
    </row>
    <row r="85" spans="1:18" ht="12.75" customHeight="1">
      <c r="I85" s="1242"/>
      <c r="J85" s="1242"/>
      <c r="K85" s="1030"/>
      <c r="L85" s="1030"/>
      <c r="M85" s="1030"/>
      <c r="N85" s="1030"/>
      <c r="O85" s="1044"/>
      <c r="P85" s="1044"/>
      <c r="R85" s="1044"/>
    </row>
    <row r="86" spans="1:18" ht="12.75" customHeight="1">
      <c r="I86" s="1242"/>
      <c r="J86" s="1242"/>
      <c r="K86" s="1030"/>
      <c r="L86" s="1030"/>
      <c r="M86" s="1030"/>
      <c r="N86" s="1030"/>
      <c r="O86" s="1044"/>
      <c r="P86" s="1044"/>
    </row>
    <row r="87" spans="1:18" ht="12.75" customHeight="1">
      <c r="Q87" s="1044"/>
    </row>
    <row r="88" spans="1:18" ht="12.6" customHeight="1">
      <c r="I88" s="2833" t="s">
        <v>16</v>
      </c>
      <c r="J88" s="1242"/>
    </row>
    <row r="89" spans="1:18" ht="12.6" customHeight="1">
      <c r="I89" s="2833" t="s">
        <v>16</v>
      </c>
      <c r="J89" s="1242"/>
    </row>
    <row r="90" spans="1:18" ht="12.6" customHeight="1">
      <c r="I90" s="2833" t="s">
        <v>16</v>
      </c>
      <c r="J90" s="1242"/>
    </row>
    <row r="91" spans="1:18" ht="12.6" customHeight="1">
      <c r="I91" s="2834" t="s">
        <v>16</v>
      </c>
      <c r="J91" s="1242"/>
    </row>
    <row r="92" spans="1:18" ht="12.75" customHeight="1">
      <c r="A92" s="1242"/>
      <c r="B92" s="1242"/>
      <c r="C92" s="1037"/>
      <c r="D92" s="1038"/>
      <c r="F92" s="1038"/>
      <c r="G92" s="1030"/>
    </row>
    <row r="93" spans="1:18" ht="12.75" customHeight="1">
      <c r="A93" s="1030"/>
      <c r="B93" s="1031" t="s">
        <v>16</v>
      </c>
      <c r="C93" s="1031"/>
      <c r="D93" s="1030"/>
      <c r="E93" s="1030"/>
      <c r="F93" s="1030"/>
      <c r="G93" s="1248"/>
      <c r="I93" s="1044"/>
      <c r="K93" s="1030"/>
      <c r="L93" s="1030"/>
      <c r="M93" s="1030"/>
      <c r="N93" s="1030"/>
      <c r="O93" s="1044"/>
      <c r="P93" s="1034"/>
    </row>
    <row r="94" spans="1:18" ht="12.75" customHeight="1">
      <c r="A94" s="1328"/>
      <c r="B94" s="1063"/>
      <c r="C94" s="1062"/>
      <c r="D94" s="1063"/>
      <c r="E94" s="1063"/>
      <c r="F94" s="1064"/>
      <c r="G94" s="1248"/>
      <c r="H94" s="1242"/>
      <c r="I94" s="1242"/>
      <c r="J94" s="1044"/>
      <c r="K94" s="1030"/>
      <c r="L94" s="1030"/>
      <c r="M94" s="1030"/>
      <c r="N94" s="1030"/>
      <c r="O94" s="1044"/>
      <c r="P94" s="1034"/>
    </row>
    <row r="95" spans="1:18" ht="12.75" customHeight="1">
      <c r="A95" s="1062"/>
      <c r="B95" s="1063"/>
      <c r="C95" s="1062"/>
      <c r="D95" s="1063"/>
      <c r="E95" s="1063"/>
      <c r="F95" s="1064"/>
      <c r="G95" s="1248"/>
      <c r="H95" s="1242"/>
      <c r="I95" s="1242"/>
      <c r="J95" s="1044"/>
      <c r="K95" s="1030"/>
      <c r="L95" s="1030"/>
      <c r="M95" s="1030"/>
      <c r="N95" s="1030"/>
      <c r="O95" s="1044"/>
      <c r="P95" s="1034"/>
      <c r="R95" s="1034"/>
    </row>
    <row r="96" spans="1:18" ht="12.75" customHeight="1">
      <c r="A96" s="1062"/>
      <c r="B96" s="1063"/>
      <c r="C96" s="1062"/>
      <c r="D96" s="1330"/>
      <c r="E96" s="1062"/>
      <c r="F96" s="1062"/>
      <c r="G96" s="1248"/>
      <c r="H96" s="1242"/>
      <c r="I96" s="1242"/>
      <c r="J96" s="1044"/>
      <c r="K96" s="1030"/>
      <c r="L96" s="1030"/>
      <c r="M96" s="1030"/>
      <c r="N96" s="1030"/>
      <c r="O96" s="1044"/>
      <c r="P96" s="1034"/>
      <c r="R96" s="1034"/>
    </row>
    <row r="97" spans="1:19" ht="12.75" customHeight="1">
      <c r="A97" s="1248"/>
      <c r="B97" s="1063"/>
      <c r="C97" s="1331"/>
      <c r="D97" s="1332"/>
      <c r="E97" s="1333"/>
      <c r="F97" s="1332"/>
      <c r="G97" s="1248"/>
      <c r="H97" s="1242"/>
      <c r="I97" s="1242"/>
      <c r="J97" s="1044"/>
      <c r="K97" s="1030"/>
      <c r="L97" s="1030"/>
      <c r="M97" s="1030"/>
      <c r="N97" s="1030"/>
      <c r="O97" s="1044"/>
      <c r="P97" s="1034"/>
      <c r="Q97" s="1044"/>
      <c r="R97" s="1034"/>
    </row>
    <row r="98" spans="1:19" ht="12.75" customHeight="1">
      <c r="A98" s="1248"/>
      <c r="B98" s="1063"/>
      <c r="C98" s="1331"/>
      <c r="D98" s="1063"/>
      <c r="E98" s="1063"/>
      <c r="F98" s="1063"/>
      <c r="G98" s="1248"/>
      <c r="H98" s="1242"/>
      <c r="I98" s="1242"/>
      <c r="J98" s="1044"/>
      <c r="K98" s="1030"/>
      <c r="L98" s="1030"/>
      <c r="M98" s="1030"/>
      <c r="N98" s="1030"/>
      <c r="O98" s="1044"/>
      <c r="P98" s="1034"/>
      <c r="Q98" s="1044"/>
      <c r="R98" s="1034"/>
    </row>
    <row r="99" spans="1:19" ht="12.75" customHeight="1">
      <c r="A99" s="1248"/>
      <c r="B99" s="1063"/>
      <c r="C99" s="1331"/>
      <c r="D99" s="1063"/>
      <c r="E99" s="1063"/>
      <c r="F99" s="1063"/>
      <c r="G99" s="1248"/>
      <c r="H99" s="1242"/>
      <c r="I99" s="1242"/>
      <c r="J99" s="1044"/>
      <c r="K99" s="1030"/>
      <c r="L99" s="1030"/>
      <c r="M99" s="1030"/>
      <c r="N99" s="1030"/>
      <c r="O99" s="1044"/>
      <c r="P99" s="1034"/>
      <c r="Q99" s="1044"/>
      <c r="R99" s="1034"/>
    </row>
    <row r="100" spans="1:19" ht="12.75" customHeight="1">
      <c r="A100" s="1248"/>
      <c r="B100" s="1063"/>
      <c r="C100" s="1331"/>
      <c r="D100" s="1334"/>
      <c r="E100" s="1063"/>
      <c r="F100" s="1334"/>
      <c r="G100" s="1248"/>
      <c r="H100" s="1242"/>
      <c r="I100" s="1242"/>
      <c r="J100" s="1242"/>
      <c r="K100" s="1030"/>
      <c r="L100" s="1030"/>
      <c r="M100" s="1030"/>
      <c r="N100" s="1030"/>
      <c r="O100" s="1044"/>
      <c r="P100" s="1034"/>
      <c r="Q100" s="1044"/>
      <c r="R100" s="1034"/>
    </row>
    <row r="101" spans="1:19" ht="12.75" customHeight="1">
      <c r="A101" s="1248"/>
      <c r="B101" s="1063"/>
      <c r="C101" s="1247"/>
      <c r="D101" s="1335"/>
      <c r="E101" s="1063"/>
      <c r="F101" s="1335"/>
      <c r="G101" s="1248"/>
      <c r="H101" s="1242"/>
      <c r="I101" s="1242"/>
      <c r="J101" s="1242"/>
      <c r="K101" s="1030"/>
      <c r="L101" s="1030"/>
      <c r="M101" s="1030"/>
      <c r="N101" s="1030"/>
      <c r="O101" s="1044"/>
      <c r="P101" s="1034"/>
      <c r="Q101" s="1044"/>
      <c r="R101" s="1034"/>
    </row>
    <row r="102" spans="1:19" ht="12.75" customHeight="1">
      <c r="A102" s="1248"/>
      <c r="B102" s="1063"/>
      <c r="C102" s="1247"/>
      <c r="D102" s="1335"/>
      <c r="E102" s="1063"/>
      <c r="F102" s="1335"/>
      <c r="G102" s="1248"/>
      <c r="H102" s="1242"/>
      <c r="I102" s="1242"/>
      <c r="J102" s="1242"/>
      <c r="K102" s="1030"/>
      <c r="L102" s="1030"/>
      <c r="M102" s="1030"/>
      <c r="N102" s="1030"/>
      <c r="O102" s="1044"/>
      <c r="Q102" s="1044"/>
      <c r="R102" s="1034"/>
    </row>
    <row r="103" spans="1:19" ht="12.75" customHeight="1">
      <c r="A103" s="1248"/>
      <c r="B103" s="1063"/>
      <c r="C103" s="1247"/>
      <c r="D103" s="1334"/>
      <c r="E103" s="1063"/>
      <c r="F103" s="1334"/>
      <c r="G103" s="1334"/>
      <c r="H103" s="1044"/>
      <c r="I103" s="1044"/>
      <c r="J103" s="1044"/>
      <c r="K103" s="1030"/>
      <c r="L103" s="1030"/>
      <c r="M103" s="1030"/>
      <c r="N103" s="1030"/>
      <c r="O103" s="1044"/>
      <c r="Q103" s="1044"/>
      <c r="R103" s="1034"/>
    </row>
    <row r="104" spans="1:19" ht="12.75" customHeight="1">
      <c r="A104" s="1327"/>
      <c r="B104" s="1063"/>
      <c r="C104" s="1063"/>
      <c r="D104" s="1063"/>
      <c r="E104" s="1335"/>
      <c r="F104" s="1335"/>
      <c r="G104" s="1334"/>
      <c r="H104" s="1329"/>
      <c r="L104" s="1028"/>
      <c r="M104" s="1028"/>
      <c r="N104" s="1028"/>
      <c r="O104" s="1028"/>
      <c r="R104" s="1034"/>
    </row>
    <row r="105" spans="1:19" ht="12.75" customHeight="1">
      <c r="A105" s="1062"/>
      <c r="B105" s="1063"/>
      <c r="C105" s="1063"/>
      <c r="D105" s="1063"/>
      <c r="E105" s="1335"/>
      <c r="F105" s="1335"/>
      <c r="G105" s="1052"/>
      <c r="H105" s="1329"/>
      <c r="L105" s="1028"/>
      <c r="M105" s="1028"/>
      <c r="N105" s="1028"/>
      <c r="O105" s="1028"/>
      <c r="R105" s="1034"/>
    </row>
    <row r="106" spans="1:19" ht="12.75" customHeight="1">
      <c r="B106" s="1048"/>
      <c r="C106" s="1048"/>
      <c r="D106" s="1048"/>
      <c r="E106" s="1053"/>
      <c r="F106" s="1053"/>
      <c r="G106" s="1052"/>
      <c r="H106" s="1329"/>
      <c r="L106" s="1028"/>
      <c r="M106" s="1028"/>
      <c r="N106" s="1028"/>
      <c r="O106" s="1028"/>
      <c r="R106" s="1034"/>
    </row>
    <row r="107" spans="1:19" ht="12.75" customHeight="1">
      <c r="B107" s="1048"/>
      <c r="C107" s="1048"/>
      <c r="D107" s="1048"/>
      <c r="E107" s="1053"/>
      <c r="F107" s="1053"/>
      <c r="G107" s="1246"/>
      <c r="H107" s="1329"/>
      <c r="L107" s="1028"/>
      <c r="M107" s="1028"/>
      <c r="N107" s="1028"/>
      <c r="O107" s="1028"/>
      <c r="R107" s="1034"/>
    </row>
    <row r="108" spans="1:19" ht="11.25" customHeight="1">
      <c r="E108" s="1056"/>
      <c r="F108" s="1245"/>
      <c r="H108" s="1329"/>
      <c r="L108" s="1028"/>
      <c r="M108" s="1028"/>
      <c r="N108" s="1028"/>
      <c r="O108" s="1028"/>
      <c r="R108" s="1034"/>
    </row>
    <row r="109" spans="1:19" ht="11.25" customHeight="1">
      <c r="H109" s="1329"/>
      <c r="L109" s="1028"/>
      <c r="M109" s="1028"/>
      <c r="N109" s="1028"/>
      <c r="O109" s="1028"/>
      <c r="R109" s="1034"/>
    </row>
    <row r="110" spans="1:19" ht="11.25" customHeight="1">
      <c r="G110" s="1030"/>
      <c r="H110" s="1329"/>
      <c r="M110" s="1242"/>
      <c r="N110" s="1242"/>
      <c r="R110" s="1034"/>
      <c r="S110" s="1030"/>
    </row>
    <row r="111" spans="1:19" ht="12.75" customHeight="1">
      <c r="A111" s="1030"/>
      <c r="B111" s="1030"/>
      <c r="C111" s="1031"/>
      <c r="D111" s="1030"/>
      <c r="E111" s="1030"/>
      <c r="F111" s="1030"/>
      <c r="G111" s="1030"/>
      <c r="H111" s="1329"/>
      <c r="I111" s="1031"/>
      <c r="M111" s="1054"/>
      <c r="N111" s="1055"/>
      <c r="S111" s="1030"/>
    </row>
    <row r="112" spans="1:19" ht="12" customHeight="1">
      <c r="A112" s="1026"/>
      <c r="B112" s="1029"/>
      <c r="C112" s="1030"/>
      <c r="D112" s="1030"/>
      <c r="E112" s="1030"/>
      <c r="F112" s="1030"/>
      <c r="G112" s="1051"/>
      <c r="H112" s="1329"/>
      <c r="I112" s="1031"/>
      <c r="M112" s="1054"/>
      <c r="N112" s="1055"/>
      <c r="S112" s="1030"/>
    </row>
    <row r="113" spans="1:19" ht="12.75" customHeight="1">
      <c r="C113" s="1048"/>
      <c r="D113" s="1048"/>
      <c r="E113" s="1048"/>
      <c r="F113" s="1051"/>
      <c r="G113" s="1051"/>
      <c r="H113" s="1062"/>
      <c r="I113" s="1242"/>
      <c r="M113" s="1054"/>
      <c r="N113" s="1055"/>
      <c r="S113" s="1030"/>
    </row>
    <row r="114" spans="1:19" ht="12.75" customHeight="1">
      <c r="A114" s="1039"/>
      <c r="B114" s="1048"/>
      <c r="C114" s="1048"/>
      <c r="D114" s="1048"/>
      <c r="E114" s="1048"/>
      <c r="F114" s="1051"/>
      <c r="G114" s="1051"/>
      <c r="H114" s="1062"/>
      <c r="I114" s="1242"/>
      <c r="M114" s="1054"/>
      <c r="N114" s="1055"/>
      <c r="R114" s="1030"/>
      <c r="S114" s="1030"/>
    </row>
    <row r="115" spans="1:19" ht="12.75" customHeight="1">
      <c r="A115" s="1026"/>
      <c r="B115" s="1048"/>
      <c r="C115" s="1048"/>
      <c r="D115" s="1048"/>
      <c r="E115" s="1048"/>
      <c r="F115" s="1051"/>
      <c r="G115" s="1051"/>
      <c r="H115" s="1329"/>
      <c r="I115" s="1242"/>
      <c r="M115" s="1054"/>
      <c r="N115" s="1055"/>
      <c r="R115" s="1030"/>
      <c r="S115" s="1030"/>
    </row>
    <row r="116" spans="1:19" ht="12.75" customHeight="1">
      <c r="A116" s="1026"/>
      <c r="B116" s="1048"/>
      <c r="C116" s="1048"/>
      <c r="D116" s="1048"/>
      <c r="E116" s="1048"/>
      <c r="F116" s="1051"/>
      <c r="G116" s="1051"/>
      <c r="H116" s="1044"/>
      <c r="I116" s="1242"/>
      <c r="M116" s="1054"/>
      <c r="N116" s="1055"/>
      <c r="R116" s="1030"/>
      <c r="S116" s="1030"/>
    </row>
    <row r="117" spans="1:19" ht="12.75" customHeight="1">
      <c r="A117" s="1026"/>
      <c r="B117" s="1048"/>
      <c r="C117" s="1048"/>
      <c r="D117" s="1048"/>
      <c r="E117" s="1048"/>
      <c r="F117" s="1051"/>
      <c r="G117" s="1051"/>
      <c r="H117" s="1044"/>
      <c r="I117" s="1242"/>
      <c r="M117" s="1054"/>
      <c r="N117" s="1055"/>
      <c r="R117" s="1030"/>
      <c r="S117" s="1030"/>
    </row>
    <row r="118" spans="1:19" ht="12.75" customHeight="1">
      <c r="A118" s="1026"/>
      <c r="B118" s="1048"/>
      <c r="C118" s="1048"/>
      <c r="D118" s="1048"/>
      <c r="E118" s="1048"/>
      <c r="F118" s="1051"/>
      <c r="G118" s="1051"/>
      <c r="H118" s="1044"/>
      <c r="I118" s="1242"/>
      <c r="M118" s="1054"/>
      <c r="N118" s="1055"/>
      <c r="P118" s="1055"/>
      <c r="R118" s="1030"/>
      <c r="S118" s="1030"/>
    </row>
    <row r="119" spans="1:19" ht="12.75" customHeight="1">
      <c r="A119" s="1026"/>
      <c r="B119" s="1048"/>
      <c r="C119" s="1048"/>
      <c r="D119" s="1048"/>
      <c r="E119" s="1048"/>
      <c r="F119" s="1051"/>
      <c r="G119" s="1030"/>
      <c r="I119" s="1242"/>
      <c r="M119" s="1054"/>
      <c r="N119" s="1055"/>
      <c r="P119" s="1034"/>
      <c r="R119" s="1030"/>
    </row>
    <row r="120" spans="1:19" ht="12.75" customHeight="1">
      <c r="D120" s="1029"/>
      <c r="E120" s="1030"/>
      <c r="F120" s="1030"/>
      <c r="G120" s="1030"/>
      <c r="I120" s="1242"/>
      <c r="M120" s="1054"/>
      <c r="N120" s="1055"/>
      <c r="P120" s="1034"/>
      <c r="R120" s="1030"/>
      <c r="S120" s="1030"/>
    </row>
    <row r="121" spans="1:19" ht="12.75" customHeight="1">
      <c r="D121" s="1029"/>
      <c r="E121" s="1030"/>
      <c r="F121" s="1030"/>
      <c r="G121" s="1030"/>
      <c r="I121" s="1031"/>
      <c r="M121" s="1054"/>
      <c r="N121" s="1055"/>
      <c r="P121" s="1034"/>
      <c r="R121" s="1060"/>
      <c r="S121" s="1030"/>
    </row>
    <row r="122" spans="1:19" ht="12.75" customHeight="1">
      <c r="D122" s="1029"/>
      <c r="E122" s="1030"/>
      <c r="F122" s="1030"/>
      <c r="I122" s="1031"/>
      <c r="M122" s="1054"/>
      <c r="N122" s="1055"/>
      <c r="P122" s="1034"/>
      <c r="R122" s="1030"/>
      <c r="S122" s="1030"/>
    </row>
    <row r="123" spans="1:19" ht="12.75" customHeight="1">
      <c r="G123" s="1030"/>
      <c r="I123" s="1031"/>
      <c r="M123" s="1054"/>
      <c r="N123" s="1055"/>
      <c r="P123" s="1034"/>
      <c r="R123" s="1030"/>
      <c r="S123" s="1030"/>
    </row>
    <row r="124" spans="1:19" ht="12.75" customHeight="1">
      <c r="D124" s="1029"/>
      <c r="E124" s="1030"/>
      <c r="F124" s="1030"/>
      <c r="G124" s="1030"/>
      <c r="I124" s="1031"/>
      <c r="M124" s="1050"/>
      <c r="N124" s="1055"/>
      <c r="P124" s="1034"/>
      <c r="R124" s="1030"/>
      <c r="S124" s="1030"/>
    </row>
    <row r="125" spans="1:19" ht="12.75" customHeight="1">
      <c r="D125" s="1029"/>
      <c r="E125" s="1030"/>
      <c r="F125" s="1030"/>
      <c r="G125" s="1030"/>
      <c r="I125" s="1031"/>
      <c r="J125" s="1031"/>
      <c r="K125" s="1030"/>
      <c r="L125" s="1045"/>
      <c r="M125" s="1057"/>
      <c r="N125" s="1057"/>
      <c r="P125" s="1034"/>
      <c r="R125" s="1030"/>
      <c r="S125" s="1030"/>
    </row>
    <row r="126" spans="1:19" ht="12.75" customHeight="1">
      <c r="A126" s="1039"/>
      <c r="B126" s="1058"/>
      <c r="C126" s="1029"/>
      <c r="D126" s="1029"/>
      <c r="E126" s="1030"/>
      <c r="F126" s="1030"/>
      <c r="I126" s="1031"/>
      <c r="J126" s="1031"/>
      <c r="K126" s="1030"/>
      <c r="L126" s="1045"/>
      <c r="M126" s="1057"/>
      <c r="N126" s="1057"/>
      <c r="P126" s="1034"/>
      <c r="R126" s="1030"/>
      <c r="S126" s="1030"/>
    </row>
    <row r="127" spans="1:19" ht="12.75" customHeight="1">
      <c r="A127" s="1242"/>
      <c r="B127" s="1030"/>
      <c r="G127" s="1059"/>
      <c r="I127" s="1031"/>
      <c r="J127" s="1031"/>
      <c r="K127" s="1030"/>
      <c r="L127" s="1045"/>
      <c r="M127" s="1057"/>
      <c r="N127" s="1057"/>
      <c r="P127" s="1034"/>
      <c r="R127" s="1030"/>
      <c r="S127" s="1030"/>
    </row>
    <row r="128" spans="1:19" ht="12.75" customHeight="1">
      <c r="A128" s="1026"/>
      <c r="B128" s="1031"/>
      <c r="C128" s="1031"/>
      <c r="E128" s="1059"/>
      <c r="F128" s="1247"/>
      <c r="G128" s="1059"/>
      <c r="I128" s="1031"/>
      <c r="J128" s="1031"/>
      <c r="K128" s="1030"/>
      <c r="L128" s="1045"/>
      <c r="M128" s="1057"/>
      <c r="N128" s="1057"/>
      <c r="P128" s="1034"/>
      <c r="R128" s="1030"/>
      <c r="S128" s="1030"/>
    </row>
    <row r="129" spans="1:19" ht="12.75" customHeight="1">
      <c r="A129" s="1026"/>
      <c r="B129" s="2548"/>
      <c r="C129" s="2548"/>
      <c r="D129" s="2567"/>
      <c r="E129" s="1059"/>
      <c r="F129" s="1247"/>
      <c r="G129" s="2567"/>
      <c r="I129" s="1031"/>
      <c r="J129" s="1031"/>
      <c r="K129" s="1030"/>
      <c r="L129" s="1045"/>
      <c r="M129" s="1057"/>
      <c r="N129" s="1057"/>
      <c r="P129" s="1034"/>
      <c r="R129" s="1030"/>
      <c r="S129" s="1066"/>
    </row>
    <row r="130" spans="1:19" ht="12.75" customHeight="1">
      <c r="A130" s="1026"/>
      <c r="B130" s="2548"/>
      <c r="C130" s="2548"/>
      <c r="D130" s="2567"/>
      <c r="E130" s="2568"/>
      <c r="F130" s="2568"/>
      <c r="G130" s="2550"/>
      <c r="I130" s="1031"/>
      <c r="J130" s="1031"/>
      <c r="K130" s="1030"/>
      <c r="L130" s="1045"/>
      <c r="M130" s="1057"/>
      <c r="N130" s="1057"/>
      <c r="P130" s="1034"/>
      <c r="R130" s="1066"/>
      <c r="S130" s="1066"/>
    </row>
    <row r="131" spans="1:19" ht="12.75" customHeight="1">
      <c r="A131" s="1026"/>
      <c r="B131" s="2549"/>
      <c r="C131" s="2549"/>
      <c r="D131" s="2550"/>
      <c r="E131" s="2550"/>
      <c r="F131" s="2550"/>
      <c r="G131" s="2552"/>
      <c r="I131" s="1031"/>
      <c r="J131" s="1031"/>
      <c r="K131" s="1030"/>
      <c r="L131" s="1045"/>
      <c r="M131" s="1057"/>
      <c r="N131" s="1057"/>
      <c r="P131" s="1034"/>
      <c r="R131" s="1066"/>
      <c r="S131" s="1030"/>
    </row>
    <row r="132" spans="1:19" ht="12.75" customHeight="1">
      <c r="A132" s="1026"/>
      <c r="B132" s="2548"/>
      <c r="C132" s="2548"/>
      <c r="D132" s="2549"/>
      <c r="E132" s="2551"/>
      <c r="F132" s="2549"/>
      <c r="G132" s="2554"/>
      <c r="I132" s="1031"/>
      <c r="J132" s="1031"/>
      <c r="K132" s="1030"/>
      <c r="L132" s="1045"/>
      <c r="M132" s="1057"/>
      <c r="N132" s="1057"/>
      <c r="P132" s="1034"/>
      <c r="R132" s="1066"/>
    </row>
    <row r="133" spans="1:19" ht="12.75" customHeight="1">
      <c r="A133" s="1026"/>
      <c r="B133" s="2548"/>
      <c r="C133" s="2548"/>
      <c r="D133" s="2549"/>
      <c r="E133" s="2553"/>
      <c r="F133" s="2549"/>
      <c r="G133" s="2554"/>
      <c r="I133" s="1031"/>
      <c r="J133" s="1031"/>
      <c r="K133" s="1030"/>
      <c r="L133" s="1045"/>
      <c r="M133" s="1057"/>
      <c r="N133" s="1057"/>
      <c r="P133" s="1034"/>
      <c r="R133" s="1066"/>
    </row>
    <row r="134" spans="1:19" ht="12.75" customHeight="1">
      <c r="A134" s="1061"/>
      <c r="B134" s="2548"/>
      <c r="C134" s="2548"/>
      <c r="D134" s="2549"/>
      <c r="E134" s="2553"/>
      <c r="F134" s="2549"/>
      <c r="G134" s="2554"/>
      <c r="I134" s="1031"/>
      <c r="J134" s="1031"/>
      <c r="K134" s="1030"/>
      <c r="L134" s="1045"/>
      <c r="M134" s="1057"/>
      <c r="N134" s="1057"/>
      <c r="P134" s="1034"/>
      <c r="R134" s="1066"/>
    </row>
    <row r="135" spans="1:19" ht="12.75" customHeight="1">
      <c r="A135" s="1242"/>
      <c r="B135" s="2548"/>
      <c r="C135" s="2548"/>
      <c r="D135" s="2549"/>
      <c r="E135" s="2555"/>
      <c r="F135" s="2549"/>
      <c r="G135" s="2558"/>
      <c r="I135" s="1031"/>
      <c r="J135" s="1031"/>
      <c r="K135" s="1030"/>
      <c r="L135" s="1045"/>
      <c r="M135" s="1057"/>
      <c r="N135" s="1057"/>
      <c r="P135" s="1034"/>
      <c r="R135" s="1030"/>
    </row>
    <row r="136" spans="1:19" ht="12.75" customHeight="1">
      <c r="A136" s="1242"/>
      <c r="B136" s="2548"/>
      <c r="C136" s="2548"/>
      <c r="D136" s="2549"/>
      <c r="E136" s="2556"/>
      <c r="F136" s="2557"/>
      <c r="G136" s="2558"/>
      <c r="I136" s="1031"/>
      <c r="J136" s="1031"/>
      <c r="K136" s="1030"/>
      <c r="L136" s="1045"/>
      <c r="M136" s="1057"/>
      <c r="N136" s="1057"/>
      <c r="P136" s="1034"/>
      <c r="R136" s="1030"/>
    </row>
    <row r="137" spans="1:19" ht="12.75" customHeight="1">
      <c r="A137" s="1242"/>
      <c r="B137" s="2548"/>
      <c r="C137" s="2548"/>
      <c r="D137" s="2549"/>
      <c r="E137" s="2558"/>
      <c r="F137" s="2557"/>
      <c r="G137" s="2559"/>
      <c r="I137" s="1031"/>
      <c r="J137" s="1031"/>
      <c r="K137" s="1030"/>
      <c r="L137" s="1045"/>
      <c r="M137" s="1057"/>
      <c r="N137" s="1057"/>
      <c r="R137" s="1030"/>
    </row>
    <row r="138" spans="1:19" ht="12.75" customHeight="1">
      <c r="A138" s="1243"/>
      <c r="B138" s="2548"/>
      <c r="C138" s="2548"/>
      <c r="D138" s="2549"/>
      <c r="E138" s="2551"/>
      <c r="F138" s="2557"/>
      <c r="G138" s="1064"/>
      <c r="I138" s="1031"/>
      <c r="J138" s="1031"/>
      <c r="K138" s="1030"/>
      <c r="L138" s="1045"/>
      <c r="M138" s="1057"/>
      <c r="N138" s="1057"/>
    </row>
    <row r="139" spans="1:19" ht="12.75" customHeight="1">
      <c r="B139" s="1048"/>
      <c r="C139" s="1048"/>
      <c r="D139" s="1048"/>
      <c r="E139" s="1063"/>
      <c r="F139" s="1064"/>
      <c r="G139" s="1064"/>
      <c r="I139" s="1031"/>
      <c r="J139" s="1031"/>
      <c r="K139" s="1030"/>
      <c r="L139" s="1045"/>
      <c r="M139" s="1057"/>
      <c r="N139" s="1057"/>
    </row>
    <row r="140" spans="1:19" ht="12.75" customHeight="1">
      <c r="E140" s="1065"/>
      <c r="F140" s="1248"/>
      <c r="G140" s="1064"/>
      <c r="I140" s="1031"/>
      <c r="J140" s="1031"/>
      <c r="K140" s="1030"/>
      <c r="L140" s="1045"/>
      <c r="M140" s="1057"/>
      <c r="N140" s="1057"/>
    </row>
    <row r="141" spans="1:19" ht="12.75" customHeight="1">
      <c r="E141" s="1065"/>
      <c r="F141" s="1248"/>
      <c r="G141" s="1051"/>
      <c r="I141" s="1031"/>
      <c r="J141" s="1031"/>
      <c r="K141" s="1030"/>
      <c r="L141" s="1045"/>
      <c r="M141" s="1057"/>
      <c r="N141" s="1057"/>
    </row>
    <row r="142" spans="1:19" ht="12.75" customHeight="1">
      <c r="G142" s="1051"/>
      <c r="I142" s="1031"/>
      <c r="J142" s="1031"/>
      <c r="K142" s="1030"/>
      <c r="L142" s="1045"/>
      <c r="M142" s="1057"/>
      <c r="N142" s="1057"/>
    </row>
    <row r="143" spans="1:19" ht="12.75" customHeight="1">
      <c r="I143" s="1031"/>
      <c r="J143" s="1031"/>
      <c r="K143" s="1030"/>
      <c r="L143" s="1045"/>
      <c r="M143" s="1057"/>
      <c r="N143" s="1057"/>
    </row>
    <row r="144" spans="1:19">
      <c r="J144" s="1243"/>
      <c r="K144" s="1030"/>
      <c r="L144" s="1045"/>
      <c r="M144" s="1057"/>
      <c r="N144" s="1057"/>
    </row>
    <row r="145" spans="1:17">
      <c r="G145" s="1030"/>
      <c r="J145" s="1243"/>
      <c r="K145" s="1030"/>
      <c r="L145" s="1045"/>
      <c r="M145" s="1057"/>
      <c r="N145" s="1057"/>
    </row>
    <row r="146" spans="1:17">
      <c r="C146" s="1037"/>
      <c r="D146" s="1029"/>
      <c r="E146" s="1030"/>
      <c r="F146" s="1030"/>
      <c r="G146" s="1030"/>
      <c r="H146" s="1062"/>
    </row>
    <row r="147" spans="1:17">
      <c r="C147" s="1252"/>
      <c r="D147" s="1029"/>
      <c r="E147" s="1030"/>
      <c r="F147" s="1030"/>
      <c r="G147" s="1030"/>
      <c r="H147" s="1062"/>
      <c r="P147" s="1034"/>
    </row>
    <row r="148" spans="1:17">
      <c r="B148" s="1067"/>
      <c r="C148" s="1029"/>
      <c r="D148" s="1029"/>
      <c r="E148" s="1030"/>
      <c r="F148" s="1030"/>
      <c r="G148" s="1030"/>
      <c r="H148" s="1062"/>
      <c r="P148" s="1034"/>
    </row>
    <row r="149" spans="1:17">
      <c r="A149" s="1039"/>
      <c r="B149" s="1067"/>
      <c r="C149" s="1029"/>
      <c r="D149" s="1029"/>
      <c r="E149" s="1030"/>
      <c r="F149" s="1030"/>
      <c r="G149" s="1030"/>
      <c r="H149" s="1062"/>
      <c r="P149" s="1034"/>
    </row>
    <row r="150" spans="1:17">
      <c r="A150" s="1030"/>
      <c r="B150" s="1067"/>
      <c r="C150" s="1029"/>
      <c r="D150" s="1029"/>
      <c r="E150" s="1030"/>
      <c r="F150" s="1030"/>
      <c r="H150" s="1062"/>
      <c r="P150" s="1034"/>
    </row>
    <row r="151" spans="1:17">
      <c r="A151" s="1030"/>
      <c r="H151" s="1062"/>
      <c r="O151" s="1030"/>
      <c r="P151" s="1030"/>
      <c r="Q151" s="1030"/>
    </row>
    <row r="152" spans="1:17">
      <c r="A152" s="1030"/>
      <c r="O152" s="1030"/>
      <c r="P152" s="1030"/>
      <c r="Q152" s="1030"/>
    </row>
    <row r="153" spans="1:17">
      <c r="A153" s="1030"/>
      <c r="G153" s="1242"/>
      <c r="K153" s="1030"/>
      <c r="L153" s="1030"/>
      <c r="M153" s="1030"/>
      <c r="N153" s="1030"/>
      <c r="O153" s="1030"/>
      <c r="P153" s="1030"/>
      <c r="Q153" s="1030"/>
    </row>
    <row r="154" spans="1:17">
      <c r="B154" s="1242"/>
      <c r="C154" s="1242"/>
      <c r="D154" s="1242"/>
      <c r="E154" s="1242"/>
      <c r="F154" s="1242"/>
      <c r="G154" s="1242"/>
      <c r="I154" s="1031"/>
      <c r="J154" s="1031"/>
      <c r="K154" s="1030"/>
      <c r="M154" s="1030"/>
      <c r="N154" s="1030"/>
      <c r="O154" s="1030"/>
      <c r="P154" s="1030"/>
      <c r="Q154" s="1030"/>
    </row>
    <row r="155" spans="1:17">
      <c r="B155" s="1242"/>
      <c r="C155" s="1242"/>
      <c r="D155" s="1242"/>
      <c r="E155" s="1242"/>
      <c r="F155" s="1242"/>
      <c r="G155" s="1242"/>
      <c r="I155" s="1242"/>
      <c r="J155" s="1031"/>
      <c r="K155" s="1030"/>
      <c r="L155" s="1030"/>
      <c r="M155" s="1030"/>
      <c r="N155" s="1030"/>
      <c r="O155" s="1030"/>
      <c r="P155" s="1030"/>
      <c r="Q155" s="1030"/>
    </row>
    <row r="156" spans="1:17">
      <c r="B156" s="1242"/>
      <c r="C156" s="1242"/>
      <c r="D156" s="1242"/>
      <c r="E156" s="1242"/>
      <c r="F156" s="1242"/>
      <c r="G156" s="1242"/>
      <c r="I156" s="1242"/>
      <c r="J156" s="1031"/>
      <c r="K156" s="1030"/>
      <c r="L156" s="1030"/>
      <c r="M156" s="1030"/>
      <c r="N156" s="1030"/>
      <c r="O156" s="1030"/>
      <c r="P156" s="1030"/>
      <c r="Q156" s="1030"/>
    </row>
    <row r="157" spans="1:17">
      <c r="B157" s="1242"/>
      <c r="C157" s="1242"/>
      <c r="D157" s="1242"/>
      <c r="E157" s="1242"/>
      <c r="F157" s="1242"/>
      <c r="G157" s="1242"/>
      <c r="I157" s="1034"/>
      <c r="J157" s="1031"/>
      <c r="K157" s="1030"/>
      <c r="L157" s="1030"/>
      <c r="M157" s="1030"/>
      <c r="N157" s="1030"/>
      <c r="O157" s="1030"/>
      <c r="P157" s="1030"/>
      <c r="Q157" s="1030"/>
    </row>
    <row r="158" spans="1:17">
      <c r="B158" s="1242"/>
      <c r="C158" s="1242"/>
      <c r="D158" s="1242"/>
      <c r="E158" s="1242"/>
      <c r="F158" s="1242"/>
      <c r="G158" s="1242"/>
      <c r="I158" s="1034"/>
      <c r="J158" s="1031"/>
      <c r="K158" s="1030"/>
      <c r="L158" s="1030"/>
      <c r="M158" s="1030"/>
      <c r="N158" s="1030"/>
      <c r="O158" s="1030"/>
      <c r="P158" s="1030"/>
      <c r="Q158" s="1030"/>
    </row>
    <row r="159" spans="1:17">
      <c r="B159" s="1242"/>
      <c r="C159" s="1242"/>
      <c r="D159" s="1242"/>
      <c r="E159" s="1242"/>
      <c r="F159" s="1242"/>
      <c r="G159" s="1242"/>
      <c r="I159" s="1034"/>
      <c r="J159" s="1031"/>
      <c r="K159" s="1030"/>
      <c r="L159" s="1030"/>
      <c r="M159" s="1030"/>
      <c r="N159" s="1030"/>
      <c r="O159" s="1030"/>
      <c r="P159" s="1030"/>
      <c r="Q159" s="1030"/>
    </row>
    <row r="160" spans="1:17">
      <c r="A160" s="1242"/>
      <c r="B160" s="1242"/>
      <c r="C160" s="1242"/>
      <c r="D160" s="1242"/>
      <c r="E160" s="1242"/>
      <c r="F160" s="1242"/>
      <c r="G160" s="1242"/>
      <c r="I160" s="1034"/>
      <c r="J160" s="1031"/>
      <c r="K160" s="1030"/>
      <c r="L160" s="1030"/>
      <c r="M160" s="1030"/>
      <c r="N160" s="1030"/>
      <c r="O160" s="1030"/>
      <c r="P160" s="1030"/>
      <c r="Q160" s="1030"/>
    </row>
    <row r="161" spans="1:17">
      <c r="A161" s="1242"/>
      <c r="B161" s="1242"/>
      <c r="C161" s="1242"/>
      <c r="D161" s="1242"/>
      <c r="E161" s="1242"/>
      <c r="F161" s="1242"/>
      <c r="G161" s="1242"/>
      <c r="I161" s="1034"/>
      <c r="J161" s="1031"/>
      <c r="K161" s="1030"/>
      <c r="L161" s="1030"/>
      <c r="M161" s="1030"/>
      <c r="N161" s="1030"/>
      <c r="O161" s="1030"/>
      <c r="P161" s="1030"/>
      <c r="Q161" s="1030"/>
    </row>
    <row r="162" spans="1:17">
      <c r="A162" s="1242"/>
      <c r="B162" s="1242"/>
      <c r="C162" s="1242"/>
      <c r="D162" s="1242"/>
      <c r="E162" s="1242"/>
      <c r="F162" s="1242"/>
      <c r="G162" s="1242"/>
      <c r="I162" s="1034"/>
      <c r="J162" s="1031"/>
      <c r="K162" s="1030"/>
      <c r="L162" s="1030"/>
      <c r="M162" s="1030"/>
      <c r="N162" s="1030"/>
      <c r="O162" s="1030"/>
      <c r="P162" s="1030"/>
      <c r="Q162" s="1030"/>
    </row>
    <row r="163" spans="1:17">
      <c r="A163" s="1242"/>
      <c r="B163" s="1242"/>
      <c r="C163" s="1242"/>
      <c r="D163" s="1242"/>
      <c r="E163" s="1242"/>
      <c r="F163" s="1242"/>
      <c r="G163" s="1242"/>
      <c r="I163" s="1034"/>
      <c r="J163" s="1031"/>
      <c r="K163" s="1030"/>
      <c r="L163" s="1030"/>
      <c r="M163" s="1030"/>
      <c r="N163" s="1030"/>
      <c r="O163" s="1030"/>
      <c r="P163" s="1030"/>
      <c r="Q163" s="1030"/>
    </row>
    <row r="164" spans="1:17">
      <c r="A164" s="1242"/>
      <c r="B164" s="1242"/>
      <c r="C164" s="1242"/>
      <c r="D164" s="1242"/>
      <c r="E164" s="1242"/>
      <c r="F164" s="1242"/>
      <c r="G164" s="1242"/>
      <c r="I164" s="1034"/>
      <c r="J164" s="1031"/>
      <c r="K164" s="1030"/>
      <c r="L164" s="1030"/>
      <c r="M164" s="1030"/>
      <c r="N164" s="1030"/>
      <c r="O164" s="1030"/>
      <c r="P164" s="1030"/>
      <c r="Q164" s="1030"/>
    </row>
    <row r="165" spans="1:17">
      <c r="A165" s="1242"/>
      <c r="B165" s="1242"/>
      <c r="C165" s="1242"/>
      <c r="D165" s="1242"/>
      <c r="E165" s="1242"/>
      <c r="F165" s="1242"/>
      <c r="G165" s="1242"/>
      <c r="I165" s="1034"/>
      <c r="J165" s="1031"/>
      <c r="K165" s="1030"/>
      <c r="L165" s="1030"/>
      <c r="M165" s="1030"/>
      <c r="N165" s="1030"/>
      <c r="O165" s="1030"/>
      <c r="P165" s="1030"/>
      <c r="Q165" s="1030"/>
    </row>
    <row r="166" spans="1:17">
      <c r="A166" s="1242"/>
      <c r="B166" s="1242"/>
      <c r="C166" s="1242"/>
      <c r="D166" s="1242"/>
      <c r="E166" s="1242"/>
      <c r="F166" s="1242"/>
      <c r="G166" s="1242"/>
      <c r="I166" s="1034"/>
      <c r="J166" s="1031"/>
      <c r="K166" s="1030"/>
      <c r="L166" s="1030"/>
      <c r="M166" s="1030"/>
      <c r="N166" s="1030"/>
      <c r="O166" s="1030"/>
      <c r="P166" s="1030"/>
      <c r="Q166" s="1030"/>
    </row>
    <row r="167" spans="1:17">
      <c r="A167" s="1242"/>
      <c r="B167" s="1242"/>
      <c r="C167" s="1242"/>
      <c r="D167" s="1242"/>
      <c r="E167" s="1242"/>
      <c r="F167" s="1242"/>
      <c r="G167" s="1242"/>
      <c r="I167" s="1034"/>
      <c r="J167" s="1031"/>
      <c r="K167" s="1030"/>
      <c r="L167" s="1030"/>
      <c r="M167" s="1030"/>
      <c r="N167" s="1030"/>
      <c r="O167" s="1030"/>
      <c r="P167" s="1030"/>
      <c r="Q167" s="1030"/>
    </row>
    <row r="168" spans="1:17">
      <c r="A168" s="1242"/>
      <c r="B168" s="1242"/>
      <c r="C168" s="1242"/>
      <c r="D168" s="1242"/>
      <c r="E168" s="1242"/>
      <c r="F168" s="1242"/>
      <c r="G168" s="1242"/>
      <c r="I168" s="1034"/>
      <c r="J168" s="1031"/>
      <c r="K168" s="1030"/>
      <c r="L168" s="1030"/>
      <c r="M168" s="1030"/>
      <c r="N168" s="1030"/>
      <c r="O168" s="1030"/>
      <c r="P168" s="1030"/>
      <c r="Q168" s="1030"/>
    </row>
    <row r="169" spans="1:17">
      <c r="A169" s="1242"/>
      <c r="B169" s="1242"/>
      <c r="C169" s="1242"/>
      <c r="D169" s="1242"/>
      <c r="E169" s="1242"/>
      <c r="F169" s="1242"/>
      <c r="I169" s="1034"/>
      <c r="J169" s="1031"/>
      <c r="K169" s="1030"/>
      <c r="L169" s="1030"/>
      <c r="M169" s="1030"/>
      <c r="N169" s="1030"/>
      <c r="O169" s="1030"/>
      <c r="P169" s="1030"/>
      <c r="Q169" s="1030"/>
    </row>
    <row r="170" spans="1:17">
      <c r="A170" s="1242"/>
      <c r="I170" s="1242"/>
      <c r="J170" s="1031"/>
      <c r="K170" s="1030"/>
      <c r="L170" s="1030"/>
      <c r="M170" s="1030"/>
      <c r="N170" s="1030"/>
      <c r="O170" s="1030"/>
      <c r="P170" s="1030"/>
      <c r="Q170" s="1030"/>
    </row>
    <row r="171" spans="1:17">
      <c r="A171" s="1242"/>
      <c r="I171" s="1030"/>
      <c r="J171" s="1031"/>
      <c r="K171" s="1030"/>
      <c r="L171" s="1030"/>
      <c r="M171" s="1030"/>
      <c r="N171" s="1030"/>
      <c r="O171" s="1030"/>
      <c r="Q171" s="1030"/>
    </row>
    <row r="172" spans="1:17">
      <c r="A172" s="1242"/>
      <c r="G172" s="1242"/>
      <c r="I172" s="1031"/>
      <c r="J172" s="1031"/>
      <c r="K172" s="1030"/>
      <c r="L172" s="1030"/>
      <c r="M172" s="1030"/>
      <c r="N172" s="1030"/>
      <c r="O172" s="1030"/>
      <c r="P172" s="1030"/>
      <c r="Q172" s="1030"/>
    </row>
    <row r="173" spans="1:17">
      <c r="B173" s="1242"/>
      <c r="C173" s="1242"/>
      <c r="D173" s="1242"/>
      <c r="E173" s="1242"/>
      <c r="F173" s="1242"/>
      <c r="G173" s="1242"/>
      <c r="I173" s="1031"/>
      <c r="J173" s="1031"/>
      <c r="K173" s="1030"/>
      <c r="L173" s="1030"/>
      <c r="M173" s="1030"/>
      <c r="N173" s="1030"/>
      <c r="O173" s="1030"/>
      <c r="P173" s="1060"/>
      <c r="Q173" s="1030"/>
    </row>
    <row r="174" spans="1:17">
      <c r="B174" s="1242"/>
      <c r="C174" s="1242"/>
      <c r="D174" s="1242"/>
      <c r="E174" s="1242"/>
      <c r="F174" s="1242"/>
      <c r="G174" s="1242"/>
      <c r="I174" s="1031"/>
      <c r="J174" s="1031"/>
      <c r="K174" s="1030"/>
      <c r="L174" s="1030"/>
      <c r="M174" s="1030"/>
      <c r="N174" s="1030"/>
      <c r="O174" s="1030"/>
      <c r="P174" s="1030"/>
      <c r="Q174" s="1030"/>
    </row>
    <row r="175" spans="1:17">
      <c r="A175" s="1242"/>
      <c r="B175" s="1242"/>
      <c r="C175" s="1242"/>
      <c r="D175" s="1242"/>
      <c r="E175" s="1242"/>
      <c r="F175" s="1242"/>
      <c r="G175" s="1242"/>
      <c r="I175" s="1031"/>
      <c r="J175" s="1031"/>
      <c r="K175" s="1030"/>
      <c r="L175" s="1030"/>
      <c r="M175" s="1030"/>
      <c r="N175" s="1030"/>
      <c r="O175" s="1030"/>
      <c r="P175" s="1068"/>
      <c r="Q175" s="1030"/>
    </row>
    <row r="176" spans="1:17">
      <c r="A176" s="1242"/>
      <c r="B176" s="1242"/>
      <c r="C176" s="1242"/>
      <c r="D176" s="1242"/>
      <c r="E176" s="1242"/>
      <c r="F176" s="1242"/>
      <c r="G176" s="1242"/>
      <c r="I176" s="1031"/>
      <c r="J176" s="1031"/>
      <c r="K176" s="1030"/>
      <c r="L176" s="1030"/>
      <c r="M176" s="1030"/>
      <c r="N176" s="1030"/>
      <c r="O176" s="1030"/>
      <c r="P176" s="1030"/>
      <c r="Q176" s="1030"/>
    </row>
    <row r="177" spans="1:17">
      <c r="A177" s="1242"/>
      <c r="B177" s="1242"/>
      <c r="C177" s="1242"/>
      <c r="D177" s="1242"/>
      <c r="E177" s="1242"/>
      <c r="F177" s="1242"/>
      <c r="G177" s="1242"/>
      <c r="I177" s="1031"/>
      <c r="J177" s="1031"/>
      <c r="K177" s="1030"/>
      <c r="L177" s="1030"/>
      <c r="M177" s="1030"/>
      <c r="N177" s="1030"/>
      <c r="P177" s="1030"/>
    </row>
    <row r="178" spans="1:17">
      <c r="A178" s="1242"/>
      <c r="B178" s="1242"/>
      <c r="C178" s="1242"/>
      <c r="D178" s="1242"/>
      <c r="E178" s="1242"/>
      <c r="F178" s="1242"/>
      <c r="G178" s="1242"/>
      <c r="I178" s="1031"/>
      <c r="J178" s="1031"/>
      <c r="K178" s="1030"/>
      <c r="L178" s="1030"/>
      <c r="M178" s="1030"/>
      <c r="N178" s="1030"/>
      <c r="O178" s="1030"/>
      <c r="P178" s="1030"/>
      <c r="Q178" s="1030"/>
    </row>
    <row r="179" spans="1:17">
      <c r="A179" s="1242"/>
      <c r="B179" s="1242"/>
      <c r="C179" s="1242"/>
      <c r="D179" s="1242"/>
      <c r="E179" s="1242"/>
      <c r="F179" s="1242"/>
      <c r="G179" s="1242"/>
      <c r="I179" s="1031"/>
      <c r="J179" s="1031"/>
      <c r="K179" s="1030"/>
      <c r="L179" s="1030"/>
      <c r="M179" s="1030"/>
      <c r="N179" s="1030"/>
      <c r="O179" s="1030"/>
      <c r="P179" s="1030"/>
      <c r="Q179" s="1060"/>
    </row>
    <row r="180" spans="1:17">
      <c r="A180" s="1242"/>
      <c r="B180" s="1242"/>
      <c r="C180" s="1242"/>
      <c r="D180" s="1242"/>
      <c r="E180" s="1242"/>
      <c r="F180" s="1242"/>
      <c r="G180" s="1242"/>
      <c r="I180" s="1031"/>
      <c r="J180" s="1031"/>
      <c r="K180" s="1030"/>
      <c r="L180" s="1030"/>
      <c r="M180" s="1030"/>
      <c r="N180" s="1030"/>
      <c r="O180" s="1030"/>
      <c r="P180" s="1030"/>
      <c r="Q180" s="1030"/>
    </row>
    <row r="181" spans="1:17">
      <c r="A181" s="1242"/>
      <c r="B181" s="1242"/>
      <c r="C181" s="1242"/>
      <c r="D181" s="1242"/>
      <c r="E181" s="1242"/>
      <c r="F181" s="1242"/>
      <c r="G181" s="1242"/>
      <c r="I181" s="1031"/>
      <c r="J181" s="1031"/>
      <c r="K181" s="1030"/>
      <c r="L181" s="1069"/>
      <c r="O181" s="1030"/>
      <c r="P181" s="1030"/>
      <c r="Q181" s="1030"/>
    </row>
    <row r="182" spans="1:17">
      <c r="A182" s="1242"/>
      <c r="B182" s="1242"/>
      <c r="C182" s="1242"/>
      <c r="D182" s="1242"/>
      <c r="E182" s="1242"/>
      <c r="F182" s="1242"/>
      <c r="G182" s="1242"/>
      <c r="I182" s="1031"/>
      <c r="J182" s="1031"/>
      <c r="K182" s="1030"/>
      <c r="L182" s="1069"/>
      <c r="M182" s="1030"/>
      <c r="N182" s="1045"/>
      <c r="O182" s="1030"/>
      <c r="P182" s="1066"/>
      <c r="Q182" s="1030"/>
    </row>
    <row r="183" spans="1:17">
      <c r="A183" s="1242"/>
      <c r="B183" s="1242"/>
      <c r="C183" s="1242"/>
      <c r="D183" s="1242"/>
      <c r="E183" s="1242"/>
      <c r="F183" s="1242"/>
      <c r="G183" s="1242"/>
      <c r="I183" s="1030"/>
      <c r="J183" s="1030"/>
      <c r="K183" s="1069"/>
      <c r="L183" s="1242"/>
      <c r="M183" s="1242"/>
      <c r="N183" s="1242"/>
    </row>
    <row r="184" spans="1:17">
      <c r="A184" s="1242"/>
      <c r="B184" s="1242"/>
      <c r="C184" s="1242"/>
      <c r="D184" s="1242"/>
      <c r="E184" s="1242"/>
      <c r="F184" s="1242"/>
      <c r="G184" s="1242"/>
      <c r="I184" s="1030"/>
      <c r="J184" s="1030"/>
      <c r="K184" s="1069"/>
      <c r="L184" s="1242"/>
      <c r="M184" s="1242"/>
      <c r="N184" s="1242"/>
    </row>
    <row r="185" spans="1:17">
      <c r="A185" s="1242"/>
      <c r="B185" s="1242"/>
      <c r="C185" s="1242"/>
      <c r="D185" s="1242"/>
      <c r="E185" s="1242"/>
      <c r="F185" s="1242"/>
      <c r="I185" s="1030"/>
      <c r="J185" s="1030"/>
      <c r="K185" s="1070"/>
      <c r="L185" s="1242"/>
      <c r="M185" s="1242"/>
      <c r="N185" s="1242"/>
    </row>
    <row r="186" spans="1:17">
      <c r="A186" s="1242"/>
      <c r="I186" s="1030"/>
      <c r="J186" s="1030"/>
      <c r="K186" s="1030"/>
      <c r="L186" s="1242"/>
      <c r="M186" s="1242"/>
      <c r="N186" s="1242"/>
    </row>
    <row r="187" spans="1:17">
      <c r="A187" s="1242"/>
      <c r="I187" s="1030"/>
      <c r="J187" s="1030"/>
      <c r="K187" s="1030"/>
      <c r="L187" s="1242"/>
      <c r="M187" s="1242"/>
      <c r="N187" s="1242"/>
    </row>
    <row r="188" spans="1:17">
      <c r="A188" s="1242"/>
      <c r="G188" s="1242"/>
      <c r="I188" s="1030"/>
      <c r="J188" s="1030"/>
      <c r="K188" s="1030"/>
      <c r="L188" s="1242"/>
      <c r="M188" s="1242"/>
      <c r="N188" s="1242"/>
    </row>
    <row r="189" spans="1:17">
      <c r="B189" s="1242"/>
      <c r="C189" s="1242"/>
      <c r="D189" s="1242"/>
      <c r="E189" s="1242"/>
      <c r="F189" s="1242"/>
      <c r="G189" s="1242"/>
      <c r="I189" s="1030"/>
      <c r="J189" s="1030"/>
      <c r="L189" s="1242"/>
      <c r="M189" s="1242"/>
      <c r="N189" s="1242"/>
    </row>
    <row r="190" spans="1:17">
      <c r="B190" s="1242"/>
      <c r="C190" s="1242"/>
      <c r="D190" s="1242"/>
      <c r="E190" s="1242"/>
      <c r="F190" s="1242"/>
      <c r="G190" s="1242"/>
    </row>
    <row r="191" spans="1:17">
      <c r="B191" s="1242"/>
      <c r="C191" s="1242"/>
      <c r="D191" s="1242"/>
      <c r="E191" s="1242"/>
      <c r="F191" s="1242"/>
      <c r="G191" s="1242"/>
    </row>
    <row r="192" spans="1:17">
      <c r="A192" s="1242"/>
      <c r="B192" s="1242"/>
      <c r="C192" s="1242"/>
      <c r="D192" s="1242"/>
      <c r="E192" s="1242"/>
      <c r="F192" s="1242"/>
    </row>
    <row r="193" spans="1:14">
      <c r="A193" s="1242"/>
      <c r="J193" s="1242"/>
      <c r="K193" s="1242"/>
      <c r="L193" s="1242"/>
      <c r="M193" s="1242"/>
      <c r="N193" s="1242"/>
    </row>
    <row r="194" spans="1:14">
      <c r="A194" s="1242"/>
      <c r="J194" s="1242"/>
      <c r="K194" s="1242"/>
      <c r="L194" s="1242"/>
      <c r="M194" s="1242"/>
      <c r="N194" s="1242"/>
    </row>
    <row r="195" spans="1:14">
      <c r="A195" s="1242"/>
      <c r="I195" s="1242"/>
      <c r="J195" s="1242"/>
      <c r="K195" s="1242"/>
      <c r="L195" s="1242"/>
      <c r="M195" s="1242"/>
      <c r="N195" s="1242"/>
    </row>
    <row r="196" spans="1:14">
      <c r="I196" s="1242"/>
      <c r="J196" s="1242"/>
      <c r="K196" s="1242"/>
      <c r="L196" s="1242"/>
      <c r="M196" s="1242"/>
      <c r="N196" s="1242"/>
    </row>
  </sheetData>
  <customSheetViews>
    <customSheetView guid="{8EE6466D-211E-4E05-9F84-CC0A1C6F79F4}" showGridLines="0">
      <selection activeCell="E10" sqref="E10"/>
      <pageMargins left="0.6" right="0.25" top="0.6" bottom="0" header="0.5" footer="0.25"/>
      <pageSetup scale="66" orientation="landscape" r:id="rId1"/>
      <headerFooter scaleWithDoc="0" alignWithMargins="0">
        <oddFooter>&amp;C&amp;8 4</oddFooter>
      </headerFooter>
    </customSheetView>
  </customSheetViews>
  <pageMargins left="0.6" right="0.25" top="0.6" bottom="0" header="0.5" footer="0.25"/>
  <pageSetup scale="66" firstPageNumber="4" orientation="landscape" useFirstPageNumber="1" r:id="rId2"/>
  <headerFooter scaleWithDoc="0" alignWithMargins="0">
    <oddFooter>&amp;C&amp;8&amp;P</oddFooter>
  </headerFooter>
  <rowBreaks count="1" manualBreakCount="1">
    <brk id="61" max="16" man="1"/>
  </rowBreaks>
  <ignoredErrors>
    <ignoredError sqref="A6 H22 A22 H45"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P62"/>
  <sheetViews>
    <sheetView workbookViewId="0"/>
  </sheetViews>
  <sheetFormatPr defaultColWidth="8.90625" defaultRowHeight="15"/>
  <cols>
    <col min="1" max="1" width="1.6328125" style="2380" customWidth="1"/>
    <col min="2" max="2" width="45.08984375" style="2380" customWidth="1"/>
    <col min="3" max="3" width="4.54296875" style="2381" customWidth="1"/>
    <col min="4" max="4" width="19" style="2382" customWidth="1"/>
    <col min="5" max="5" width="2.453125" style="2382" customWidth="1"/>
    <col min="6" max="6" width="2.1796875" style="2382" customWidth="1"/>
    <col min="7" max="7" width="19" style="2382" customWidth="1"/>
    <col min="8" max="9" width="8.90625" style="2381"/>
    <col min="10" max="10" width="24.1796875" style="2381" customWidth="1"/>
    <col min="11" max="12" width="8.90625" style="2381"/>
    <col min="13" max="16384" width="8.90625" style="2380"/>
  </cols>
  <sheetData>
    <row r="1" spans="1:37">
      <c r="B1" s="1172" t="s">
        <v>1103</v>
      </c>
    </row>
    <row r="3" spans="1:37" ht="17.399999999999999">
      <c r="G3" s="2586" t="s">
        <v>599</v>
      </c>
    </row>
    <row r="4" spans="1:37" ht="15.6">
      <c r="G4" s="2587"/>
    </row>
    <row r="5" spans="1:37" s="2385" customFormat="1" ht="18" customHeight="1">
      <c r="A5" s="2383"/>
      <c r="B5" s="2386" t="s">
        <v>523</v>
      </c>
      <c r="C5" s="2588"/>
      <c r="D5" s="2588"/>
      <c r="E5" s="2588"/>
      <c r="F5" s="2588"/>
      <c r="G5" s="2588"/>
      <c r="H5" s="2384"/>
      <c r="I5" s="2384"/>
      <c r="J5" s="2384"/>
      <c r="K5" s="2384"/>
      <c r="L5" s="2384"/>
    </row>
    <row r="6" spans="1:37" s="2385" customFormat="1" ht="18" customHeight="1">
      <c r="A6" s="2383"/>
      <c r="B6" s="2386" t="s">
        <v>1134</v>
      </c>
      <c r="C6" s="2387"/>
      <c r="D6" s="2387"/>
      <c r="E6" s="2387"/>
      <c r="F6" s="2387"/>
      <c r="G6" s="2408"/>
      <c r="H6" s="2384"/>
      <c r="I6" s="2384"/>
      <c r="J6" s="2384"/>
      <c r="K6" s="2384"/>
      <c r="L6" s="2384"/>
    </row>
    <row r="7" spans="1:37" s="2385" customFormat="1" ht="18" customHeight="1">
      <c r="A7" s="2383"/>
      <c r="B7" s="3436" t="s">
        <v>1459</v>
      </c>
      <c r="C7" s="3437"/>
      <c r="D7" s="3437"/>
      <c r="E7" s="3214"/>
      <c r="F7" s="3204"/>
      <c r="G7" s="2588"/>
      <c r="H7" s="2384"/>
      <c r="I7" s="2384"/>
      <c r="J7" s="2384"/>
      <c r="K7" s="2384"/>
      <c r="L7" s="2384"/>
    </row>
    <row r="8" spans="1:37" s="2385" customFormat="1" ht="18" customHeight="1">
      <c r="A8" s="2383"/>
      <c r="B8" s="3438"/>
      <c r="C8" s="3439"/>
      <c r="D8" s="3439"/>
      <c r="E8" s="3215"/>
      <c r="F8" s="3205"/>
      <c r="G8" s="2589"/>
      <c r="H8" s="2388"/>
      <c r="I8" s="2384"/>
      <c r="J8" s="2384"/>
      <c r="K8" s="2384"/>
      <c r="L8" s="2384"/>
    </row>
    <row r="9" spans="1:37" s="2385" customFormat="1" ht="18" customHeight="1">
      <c r="A9" s="2383"/>
      <c r="B9" s="2389"/>
      <c r="C9" s="2390"/>
      <c r="D9" s="2390"/>
      <c r="E9" s="2390"/>
      <c r="F9" s="2390"/>
      <c r="G9" s="2390"/>
      <c r="H9" s="2388"/>
      <c r="I9" s="2384"/>
      <c r="J9" s="2384"/>
      <c r="K9" s="2384"/>
      <c r="L9" s="2384"/>
    </row>
    <row r="10" spans="1:37" s="2396" customFormat="1" ht="15.6">
      <c r="A10" s="2391"/>
      <c r="B10" s="2391"/>
      <c r="C10" s="2392"/>
      <c r="D10" s="3379">
        <v>2016</v>
      </c>
      <c r="E10" s="2393"/>
      <c r="F10" s="2393"/>
      <c r="G10" s="2394"/>
      <c r="H10" s="2395"/>
      <c r="I10" s="2395"/>
      <c r="J10" s="2395"/>
      <c r="K10" s="2395"/>
      <c r="L10" s="2395"/>
    </row>
    <row r="11" spans="1:37" ht="15.6">
      <c r="A11" s="2397"/>
      <c r="B11" s="2397"/>
      <c r="C11" s="2398"/>
      <c r="D11" s="2399" t="s">
        <v>129</v>
      </c>
      <c r="E11" s="3133"/>
      <c r="F11" s="3133"/>
      <c r="G11" s="2400" t="s">
        <v>1475</v>
      </c>
    </row>
    <row r="12" spans="1:37">
      <c r="A12" s="2397"/>
      <c r="B12" s="2397"/>
      <c r="C12" s="2398"/>
      <c r="D12" s="2398"/>
      <c r="E12" s="2401"/>
      <c r="F12" s="2398"/>
      <c r="G12" s="2402"/>
    </row>
    <row r="13" spans="1:37" s="2396" customFormat="1" ht="15.6">
      <c r="A13" s="2403"/>
      <c r="B13" s="2403" t="s">
        <v>498</v>
      </c>
      <c r="C13" s="2392"/>
      <c r="D13" s="2404">
        <v>3139.74</v>
      </c>
      <c r="E13" s="3217"/>
      <c r="F13" s="2404"/>
      <c r="G13" s="2405">
        <f>+D13</f>
        <v>3139.74</v>
      </c>
      <c r="H13" s="2395"/>
      <c r="I13" s="2395"/>
      <c r="J13" s="2395"/>
      <c r="K13" s="2395"/>
      <c r="L13" s="2395"/>
      <c r="M13" s="2406"/>
      <c r="N13" s="2406"/>
      <c r="O13" s="2406"/>
      <c r="P13" s="2406"/>
      <c r="Q13" s="2406"/>
      <c r="R13" s="2406"/>
      <c r="S13" s="2406"/>
      <c r="T13" s="2406"/>
      <c r="U13" s="2406"/>
      <c r="V13" s="2406"/>
      <c r="W13" s="2406"/>
      <c r="X13" s="2407"/>
      <c r="Y13" s="2407"/>
      <c r="Z13" s="2407"/>
      <c r="AA13" s="2407"/>
      <c r="AB13" s="2407"/>
      <c r="AC13" s="2407"/>
      <c r="AD13" s="2407"/>
      <c r="AE13" s="2407"/>
      <c r="AF13" s="2407"/>
      <c r="AG13" s="2407"/>
      <c r="AH13" s="2407"/>
      <c r="AI13" s="2407"/>
      <c r="AJ13" s="2407"/>
      <c r="AK13" s="2407"/>
    </row>
    <row r="14" spans="1:37" s="2396" customFormat="1" ht="15.6">
      <c r="A14" s="2403"/>
      <c r="B14" s="2403"/>
      <c r="C14" s="2392"/>
      <c r="D14" s="2404"/>
      <c r="E14" s="3217"/>
      <c r="F14" s="2404"/>
      <c r="G14" s="2405"/>
      <c r="H14" s="2395"/>
      <c r="I14" s="2395"/>
      <c r="J14" s="2395"/>
      <c r="K14" s="2395"/>
      <c r="L14" s="2395"/>
      <c r="M14" s="2406"/>
      <c r="N14" s="2406"/>
      <c r="O14" s="2406"/>
      <c r="P14" s="2406"/>
      <c r="Q14" s="2406"/>
      <c r="R14" s="2406"/>
      <c r="S14" s="2406"/>
      <c r="T14" s="2406"/>
      <c r="U14" s="2406"/>
      <c r="V14" s="2406"/>
      <c r="W14" s="2406"/>
      <c r="X14" s="2407"/>
      <c r="Y14" s="2407"/>
      <c r="Z14" s="2407"/>
      <c r="AA14" s="2407"/>
      <c r="AB14" s="2407"/>
      <c r="AC14" s="2407"/>
      <c r="AD14" s="2407"/>
      <c r="AE14" s="2407"/>
      <c r="AF14" s="2407"/>
      <c r="AG14" s="2407"/>
      <c r="AH14" s="2407"/>
      <c r="AI14" s="2407"/>
      <c r="AJ14" s="2407"/>
      <c r="AK14" s="2407"/>
    </row>
    <row r="15" spans="1:37" ht="15.6">
      <c r="A15" s="2397"/>
      <c r="B15" s="2403" t="s">
        <v>15</v>
      </c>
      <c r="C15" s="2398"/>
      <c r="D15" s="2398"/>
      <c r="E15" s="3216"/>
      <c r="F15" s="2398"/>
      <c r="G15" s="2401"/>
    </row>
    <row r="16" spans="1:37">
      <c r="A16" s="2397"/>
      <c r="B16" s="2408" t="s">
        <v>605</v>
      </c>
      <c r="C16" s="2398"/>
      <c r="D16" s="2409">
        <v>0</v>
      </c>
      <c r="E16" s="3218"/>
      <c r="F16" s="2409">
        <v>1788.93</v>
      </c>
      <c r="G16" s="2410">
        <f>ROUND(SUM(D16:D16),2)</f>
        <v>0</v>
      </c>
    </row>
    <row r="17" spans="1:17" s="2396" customFormat="1" ht="15.6">
      <c r="A17" s="2403"/>
      <c r="B17" s="2403" t="s">
        <v>156</v>
      </c>
      <c r="C17" s="2392"/>
      <c r="D17" s="2411">
        <f>ROUND(SUM(D16:D16),2)</f>
        <v>0</v>
      </c>
      <c r="E17" s="3219"/>
      <c r="F17" s="2412"/>
      <c r="G17" s="2411">
        <f>ROUND(SUM(G16:G16),2)</f>
        <v>0</v>
      </c>
      <c r="H17" s="2395"/>
      <c r="I17" s="2395"/>
      <c r="J17" s="2395"/>
      <c r="K17" s="2395"/>
      <c r="L17" s="2395"/>
    </row>
    <row r="18" spans="1:17">
      <c r="A18" s="2397"/>
      <c r="B18" s="2397"/>
      <c r="C18" s="2398"/>
      <c r="D18" s="2409"/>
      <c r="E18" s="3218"/>
      <c r="F18" s="2409"/>
      <c r="G18" s="2413"/>
    </row>
    <row r="19" spans="1:17" ht="15.6">
      <c r="A19" s="2397"/>
      <c r="B19" s="2403" t="s">
        <v>1064</v>
      </c>
      <c r="C19" s="2398"/>
      <c r="D19" s="2409"/>
      <c r="E19" s="3218"/>
      <c r="F19" s="2409"/>
      <c r="G19" s="2410"/>
    </row>
    <row r="20" spans="1:17">
      <c r="A20" s="2397"/>
      <c r="B20" s="2408" t="s">
        <v>625</v>
      </c>
      <c r="C20" s="2398"/>
      <c r="D20" s="2409" t="s">
        <v>190</v>
      </c>
      <c r="E20" s="3218"/>
      <c r="F20" s="2409">
        <v>-319857721</v>
      </c>
      <c r="G20" s="2410">
        <f>ROUND(SUM(D20:D20),2)</f>
        <v>0</v>
      </c>
    </row>
    <row r="21" spans="1:17">
      <c r="A21" s="2397"/>
      <c r="B21" s="2408" t="s">
        <v>626</v>
      </c>
      <c r="C21" s="2398"/>
      <c r="D21" s="2409">
        <v>0</v>
      </c>
      <c r="E21" s="3218"/>
      <c r="F21" s="2409"/>
      <c r="G21" s="2410">
        <f>ROUND(SUM(D21:D21),2)</f>
        <v>0</v>
      </c>
    </row>
    <row r="22" spans="1:17">
      <c r="A22" s="2397"/>
      <c r="B22" s="2408" t="s">
        <v>627</v>
      </c>
      <c r="C22" s="2398"/>
      <c r="D22" s="2409">
        <v>0</v>
      </c>
      <c r="E22" s="3218"/>
      <c r="F22" s="2409">
        <v>-2944491.34</v>
      </c>
      <c r="G22" s="2410">
        <f>ROUND(SUM(D22:D22),2)</f>
        <v>0</v>
      </c>
    </row>
    <row r="23" spans="1:17" s="2396" customFormat="1" ht="15.6">
      <c r="A23" s="2403"/>
      <c r="B23" s="2414" t="s">
        <v>1085</v>
      </c>
      <c r="C23" s="2392"/>
      <c r="D23" s="2415">
        <f>ROUND(SUM(D19:D22),2)</f>
        <v>0</v>
      </c>
      <c r="E23" s="3219"/>
      <c r="F23" s="2412"/>
      <c r="G23" s="2415">
        <f>ROUND(SUM(G19:G22),2)</f>
        <v>0</v>
      </c>
      <c r="H23" s="2395"/>
      <c r="I23" s="2395"/>
      <c r="J23" s="2395"/>
      <c r="K23" s="2395"/>
      <c r="L23" s="2395"/>
    </row>
    <row r="24" spans="1:17">
      <c r="A24" s="2397"/>
      <c r="B24" s="2416"/>
      <c r="C24" s="2398"/>
      <c r="D24" s="2413"/>
      <c r="E24" s="3218"/>
      <c r="F24" s="2410"/>
      <c r="G24" s="2413"/>
    </row>
    <row r="25" spans="1:17" s="2396" customFormat="1" ht="15.6">
      <c r="A25" s="2403"/>
      <c r="B25" s="2403" t="s">
        <v>1402</v>
      </c>
      <c r="C25" s="2392"/>
      <c r="D25" s="2417">
        <f>ROUND(+D17+D23,2)</f>
        <v>0</v>
      </c>
      <c r="E25" s="3220"/>
      <c r="F25" s="2417"/>
      <c r="G25" s="2417">
        <f>ROUND(+G17+G23,2)</f>
        <v>0</v>
      </c>
      <c r="H25" s="2395"/>
      <c r="I25" s="2395"/>
      <c r="J25" s="2395"/>
      <c r="K25" s="2395"/>
      <c r="L25" s="2395"/>
    </row>
    <row r="26" spans="1:17">
      <c r="A26" s="2397"/>
      <c r="B26" s="2397"/>
      <c r="C26" s="2398"/>
      <c r="D26" s="2413"/>
      <c r="E26" s="3218"/>
      <c r="F26" s="2410"/>
      <c r="G26" s="2413"/>
      <c r="H26" s="2382"/>
      <c r="I26" s="2382"/>
      <c r="J26" s="2382"/>
      <c r="K26" s="2382"/>
      <c r="L26" s="2382"/>
      <c r="M26" s="2418"/>
      <c r="N26" s="2418"/>
      <c r="O26" s="2418"/>
      <c r="P26" s="2418"/>
      <c r="Q26" s="2418"/>
    </row>
    <row r="27" spans="1:17" ht="15.6">
      <c r="A27" s="2397"/>
      <c r="B27" s="2403" t="s">
        <v>47</v>
      </c>
      <c r="C27" s="2398"/>
      <c r="D27" s="2409"/>
      <c r="E27" s="3218"/>
      <c r="F27" s="2409"/>
      <c r="G27" s="2410"/>
      <c r="H27" s="2382"/>
      <c r="I27" s="2382"/>
      <c r="J27" s="2382"/>
      <c r="K27" s="2382"/>
      <c r="L27" s="2382"/>
      <c r="M27" s="2418"/>
      <c r="N27" s="2418"/>
      <c r="O27" s="2418"/>
      <c r="P27" s="2418"/>
      <c r="Q27" s="2418"/>
    </row>
    <row r="28" spans="1:17" ht="15.6">
      <c r="A28" s="2397"/>
      <c r="B28" s="2403" t="s">
        <v>1002</v>
      </c>
      <c r="C28" s="2398"/>
      <c r="D28" s="2409"/>
      <c r="E28" s="3218"/>
      <c r="F28" s="2409"/>
      <c r="G28" s="2410"/>
      <c r="H28" s="2382"/>
      <c r="I28" s="2382"/>
      <c r="J28" s="2382"/>
      <c r="K28" s="2382"/>
      <c r="L28" s="2382"/>
      <c r="M28" s="2418"/>
      <c r="N28" s="2418"/>
      <c r="O28" s="2418"/>
      <c r="P28" s="2418"/>
      <c r="Q28" s="2418"/>
    </row>
    <row r="29" spans="1:17">
      <c r="A29" s="2397"/>
      <c r="B29" s="2408" t="s">
        <v>628</v>
      </c>
      <c r="C29" s="2398"/>
      <c r="D29" s="2409">
        <v>0</v>
      </c>
      <c r="E29" s="3218"/>
      <c r="F29" s="2409"/>
      <c r="G29" s="2410">
        <f>ROUND(SUM(D29:D29),2)</f>
        <v>0</v>
      </c>
      <c r="H29" s="2382"/>
      <c r="I29" s="2382"/>
      <c r="J29" s="2382"/>
      <c r="K29" s="2382"/>
      <c r="L29" s="2382"/>
      <c r="M29" s="2418"/>
      <c r="N29" s="2418"/>
      <c r="O29" s="2418"/>
      <c r="P29" s="2418"/>
      <c r="Q29" s="2418"/>
    </row>
    <row r="30" spans="1:17">
      <c r="A30" s="2397"/>
      <c r="B30" s="2408" t="s">
        <v>616</v>
      </c>
      <c r="C30" s="2398"/>
      <c r="D30" s="2409">
        <v>0</v>
      </c>
      <c r="E30" s="3218"/>
      <c r="F30" s="2409"/>
      <c r="G30" s="2410">
        <f>ROUND(SUM(D30:D30),2)</f>
        <v>0</v>
      </c>
      <c r="H30" s="2382"/>
      <c r="I30" s="2382"/>
      <c r="J30" s="2382"/>
      <c r="K30" s="2382"/>
      <c r="L30" s="2382"/>
      <c r="M30" s="2418"/>
      <c r="N30" s="2418"/>
      <c r="O30" s="2418"/>
      <c r="P30" s="2418"/>
      <c r="Q30" s="2418"/>
    </row>
    <row r="31" spans="1:17" ht="15.6">
      <c r="A31" s="2397"/>
      <c r="B31" s="2403" t="s">
        <v>613</v>
      </c>
      <c r="C31" s="2398"/>
      <c r="D31" s="2409"/>
      <c r="E31" s="3218"/>
      <c r="F31" s="2409"/>
      <c r="G31" s="2410"/>
      <c r="H31" s="2382"/>
      <c r="I31" s="2382"/>
      <c r="J31" s="2382"/>
      <c r="K31" s="2382"/>
      <c r="L31" s="2382"/>
      <c r="M31" s="2418"/>
      <c r="N31" s="2418"/>
      <c r="O31" s="2418"/>
      <c r="P31" s="2418"/>
      <c r="Q31" s="2418"/>
    </row>
    <row r="32" spans="1:17">
      <c r="A32" s="2397"/>
      <c r="B32" s="2408" t="s">
        <v>629</v>
      </c>
      <c r="C32" s="2398"/>
      <c r="D32" s="2419">
        <v>0</v>
      </c>
      <c r="E32" s="3221"/>
      <c r="F32" s="2409">
        <v>154417162.58000001</v>
      </c>
      <c r="G32" s="2410">
        <f>ROUND(SUM(D32:D32),2)</f>
        <v>0</v>
      </c>
      <c r="H32" s="2382"/>
      <c r="I32" s="2382"/>
      <c r="J32" s="2382"/>
      <c r="K32" s="2382"/>
      <c r="L32" s="2382"/>
      <c r="M32" s="2418"/>
      <c r="N32" s="2418"/>
      <c r="O32" s="2418"/>
      <c r="P32" s="2418"/>
      <c r="Q32" s="2418"/>
    </row>
    <row r="33" spans="1:17">
      <c r="A33" s="2397"/>
      <c r="B33" s="2408" t="s">
        <v>630</v>
      </c>
      <c r="C33" s="2398"/>
      <c r="D33" s="2419">
        <v>0</v>
      </c>
      <c r="E33" s="3221"/>
      <c r="F33" s="2409">
        <v>14987269.739999998</v>
      </c>
      <c r="G33" s="2410">
        <f>ROUND(SUM(D33:D33),2)</f>
        <v>0</v>
      </c>
      <c r="H33" s="2382"/>
      <c r="I33" s="2382"/>
      <c r="J33" s="2382"/>
      <c r="K33" s="2382"/>
      <c r="L33" s="2382"/>
      <c r="M33" s="2418"/>
      <c r="N33" s="2418"/>
      <c r="O33" s="2418"/>
      <c r="P33" s="2418"/>
      <c r="Q33" s="2418"/>
    </row>
    <row r="34" spans="1:17">
      <c r="A34" s="2397"/>
      <c r="B34" s="2408" t="s">
        <v>631</v>
      </c>
      <c r="C34" s="2398"/>
      <c r="D34" s="2419">
        <v>0</v>
      </c>
      <c r="E34" s="3221"/>
      <c r="F34" s="2409">
        <v>-1019382.54</v>
      </c>
      <c r="G34" s="2410">
        <f>ROUND(SUM(D34:D34),2)</f>
        <v>0</v>
      </c>
      <c r="H34" s="2382"/>
      <c r="I34" s="2382"/>
      <c r="J34" s="2382"/>
      <c r="K34" s="2382"/>
      <c r="L34" s="2382"/>
      <c r="M34" s="2418"/>
      <c r="N34" s="2418"/>
      <c r="O34" s="2418"/>
      <c r="P34" s="2418"/>
      <c r="Q34" s="2418"/>
    </row>
    <row r="35" spans="1:17">
      <c r="A35" s="2397"/>
      <c r="B35" s="2408" t="s">
        <v>632</v>
      </c>
      <c r="C35" s="2398"/>
      <c r="D35" s="2419">
        <v>0</v>
      </c>
      <c r="E35" s="3221"/>
      <c r="F35" s="2409">
        <v>154417162.56</v>
      </c>
      <c r="G35" s="2410">
        <f>ROUND(SUM(D35:D35),2)</f>
        <v>0</v>
      </c>
      <c r="H35" s="2382"/>
      <c r="I35" s="2382"/>
      <c r="J35" s="2382"/>
      <c r="K35" s="2382"/>
      <c r="L35" s="2382"/>
      <c r="M35" s="2418"/>
      <c r="N35" s="2418"/>
      <c r="O35" s="2418"/>
      <c r="P35" s="2418"/>
      <c r="Q35" s="2418"/>
    </row>
    <row r="36" spans="1:17">
      <c r="A36" s="2397"/>
      <c r="B36" s="2408" t="s">
        <v>627</v>
      </c>
      <c r="C36" s="2398"/>
      <c r="D36" s="2420">
        <v>0</v>
      </c>
      <c r="E36" s="3221"/>
      <c r="F36" s="2419"/>
      <c r="G36" s="2410">
        <f>ROUND(SUM(D36:D36),2)</f>
        <v>0</v>
      </c>
      <c r="H36" s="2382"/>
      <c r="I36" s="2382"/>
      <c r="J36" s="2382"/>
      <c r="K36" s="2382"/>
      <c r="L36" s="2382"/>
      <c r="M36" s="2418"/>
      <c r="N36" s="2418"/>
      <c r="O36" s="2418"/>
      <c r="P36" s="2418"/>
      <c r="Q36" s="2418"/>
    </row>
    <row r="37" spans="1:17" s="2396" customFormat="1" ht="15.6">
      <c r="A37" s="2403"/>
      <c r="B37" s="2403" t="s">
        <v>615</v>
      </c>
      <c r="C37" s="2392"/>
      <c r="D37" s="2421">
        <f>ROUND(SUM(D29:D36),2)</f>
        <v>0</v>
      </c>
      <c r="E37" s="3219"/>
      <c r="F37" s="2412"/>
      <c r="G37" s="2421">
        <f>ROUND(SUM(G29:G36),2)</f>
        <v>0</v>
      </c>
      <c r="H37" s="2422"/>
      <c r="I37" s="2422"/>
      <c r="J37" s="2422"/>
      <c r="K37" s="2422"/>
      <c r="L37" s="2422"/>
      <c r="M37" s="2423"/>
      <c r="N37" s="2423"/>
      <c r="O37" s="2423"/>
      <c r="P37" s="2423"/>
      <c r="Q37" s="2423"/>
    </row>
    <row r="38" spans="1:17">
      <c r="A38" s="2397"/>
      <c r="B38" s="2397"/>
      <c r="C38" s="2398"/>
      <c r="D38" s="2409"/>
      <c r="E38" s="3218"/>
      <c r="F38" s="2409"/>
      <c r="G38" s="2410"/>
      <c r="H38" s="2382"/>
      <c r="I38" s="2382"/>
      <c r="J38" s="2382"/>
      <c r="K38" s="2382"/>
      <c r="L38" s="2382"/>
      <c r="M38" s="2418"/>
      <c r="N38" s="2418"/>
      <c r="O38" s="2418"/>
      <c r="P38" s="2418"/>
      <c r="Q38" s="2418"/>
    </row>
    <row r="39" spans="1:17" ht="15.6">
      <c r="A39" s="2397"/>
      <c r="B39" s="2403" t="s">
        <v>1062</v>
      </c>
      <c r="C39" s="2398"/>
      <c r="D39" s="2409"/>
      <c r="E39" s="3218"/>
      <c r="F39" s="2409"/>
      <c r="G39" s="2410"/>
      <c r="H39" s="2382"/>
      <c r="I39" s="2382"/>
      <c r="J39" s="2382"/>
      <c r="K39" s="2382"/>
      <c r="L39" s="2382"/>
      <c r="M39" s="2418"/>
      <c r="N39" s="2418"/>
      <c r="O39" s="2418"/>
      <c r="P39" s="2418"/>
      <c r="Q39" s="2418"/>
    </row>
    <row r="40" spans="1:17">
      <c r="A40" s="2397"/>
      <c r="B40" s="2397" t="s">
        <v>628</v>
      </c>
      <c r="C40" s="2398"/>
      <c r="D40" s="2424">
        <v>0</v>
      </c>
      <c r="E40" s="3222"/>
      <c r="F40" s="2424"/>
      <c r="G40" s="2410">
        <f>ROUND(SUM(D40:D40),2)</f>
        <v>0</v>
      </c>
      <c r="H40" s="2382"/>
      <c r="I40" s="2382"/>
      <c r="J40" s="2382"/>
      <c r="K40" s="2382"/>
      <c r="L40" s="2382"/>
      <c r="M40" s="2418"/>
      <c r="N40" s="2418"/>
      <c r="O40" s="2418"/>
      <c r="P40" s="2418"/>
      <c r="Q40" s="2418"/>
    </row>
    <row r="41" spans="1:17">
      <c r="A41" s="2397"/>
      <c r="B41" s="2397" t="s">
        <v>616</v>
      </c>
      <c r="C41" s="2398"/>
      <c r="D41" s="2410">
        <v>0</v>
      </c>
      <c r="E41" s="3218"/>
      <c r="F41" s="2410"/>
      <c r="G41" s="2410">
        <f>ROUND(SUM(D41:D41),2)</f>
        <v>0</v>
      </c>
      <c r="H41" s="2382"/>
      <c r="I41" s="2382"/>
      <c r="J41" s="2382"/>
      <c r="K41" s="2382"/>
      <c r="L41" s="2382"/>
      <c r="M41" s="2418"/>
      <c r="N41" s="2418"/>
      <c r="O41" s="2418"/>
      <c r="P41" s="2418"/>
      <c r="Q41" s="2418"/>
    </row>
    <row r="42" spans="1:17" ht="15.6">
      <c r="A42" s="2397"/>
      <c r="B42" s="2403" t="s">
        <v>1063</v>
      </c>
      <c r="C42" s="2398"/>
      <c r="D42" s="2409"/>
      <c r="E42" s="3218"/>
      <c r="F42" s="2409"/>
      <c r="G42" s="2425"/>
      <c r="H42" s="2382"/>
      <c r="I42" s="2382"/>
      <c r="J42" s="2382"/>
      <c r="K42" s="2382"/>
      <c r="L42" s="2382"/>
      <c r="M42" s="2418"/>
      <c r="N42" s="2418"/>
      <c r="O42" s="2418"/>
      <c r="P42" s="2418"/>
      <c r="Q42" s="2418"/>
    </row>
    <row r="43" spans="1:17">
      <c r="A43" s="2397"/>
      <c r="B43" s="2408" t="s">
        <v>633</v>
      </c>
      <c r="C43" s="2398"/>
      <c r="D43" s="2426">
        <v>-3139.74</v>
      </c>
      <c r="E43" s="3218"/>
      <c r="F43" s="2409">
        <v>-2019</v>
      </c>
      <c r="G43" s="2410">
        <f>ROUND(SUM(D43:D43),2)</f>
        <v>-3139.74</v>
      </c>
      <c r="H43" s="2382"/>
      <c r="I43" s="2382"/>
      <c r="J43" s="2382"/>
      <c r="K43" s="2382"/>
      <c r="L43" s="2382"/>
      <c r="M43" s="2418"/>
      <c r="N43" s="2418"/>
      <c r="O43" s="2418"/>
      <c r="P43" s="2418"/>
      <c r="Q43" s="2418"/>
    </row>
    <row r="44" spans="1:17" s="2396" customFormat="1" ht="15.6">
      <c r="A44" s="2403"/>
      <c r="B44" s="2403" t="s">
        <v>619</v>
      </c>
      <c r="C44" s="2392"/>
      <c r="D44" s="2421">
        <f>ROUND(SUM(D40:D43),2)</f>
        <v>-3139.74</v>
      </c>
      <c r="E44" s="3219"/>
      <c r="F44" s="2412"/>
      <c r="G44" s="2421">
        <f>ROUND(SUM(G40:G43),2)</f>
        <v>-3139.74</v>
      </c>
      <c r="H44" s="2422"/>
      <c r="I44" s="2422"/>
      <c r="J44" s="2422"/>
      <c r="K44" s="2422"/>
      <c r="L44" s="2422"/>
      <c r="M44" s="2423"/>
      <c r="N44" s="2423"/>
      <c r="O44" s="2423"/>
      <c r="P44" s="2423"/>
      <c r="Q44" s="2423"/>
    </row>
    <row r="45" spans="1:17">
      <c r="A45" s="2397"/>
      <c r="B45" s="2397"/>
      <c r="C45" s="2398"/>
      <c r="D45" s="2409"/>
      <c r="E45" s="3218"/>
      <c r="F45" s="2409"/>
      <c r="G45" s="2410"/>
      <c r="H45" s="2382"/>
      <c r="I45" s="2382"/>
      <c r="J45" s="2382"/>
      <c r="K45" s="2382"/>
      <c r="L45" s="2382"/>
      <c r="M45" s="2418"/>
      <c r="N45" s="2418"/>
      <c r="O45" s="2418"/>
      <c r="P45" s="2418"/>
      <c r="Q45" s="2418"/>
    </row>
    <row r="46" spans="1:17" ht="15.6">
      <c r="A46" s="2397"/>
      <c r="B46" s="2403" t="s">
        <v>634</v>
      </c>
      <c r="C46" s="2398"/>
      <c r="D46" s="2409"/>
      <c r="E46" s="3218"/>
      <c r="F46" s="2409"/>
      <c r="G46" s="2410"/>
      <c r="H46" s="2382"/>
      <c r="I46" s="2382"/>
      <c r="J46" s="2382"/>
      <c r="K46" s="2382"/>
      <c r="L46" s="2382"/>
      <c r="M46" s="2418"/>
      <c r="N46" s="2418"/>
      <c r="O46" s="2418"/>
      <c r="P46" s="2418"/>
      <c r="Q46" s="2418"/>
    </row>
    <row r="47" spans="1:17" ht="15.6">
      <c r="A47" s="2397"/>
      <c r="B47" s="2403" t="s">
        <v>635</v>
      </c>
      <c r="C47" s="2398"/>
      <c r="D47" s="2427">
        <f>ROUND(+D25+D37+D44,2)</f>
        <v>-3139.74</v>
      </c>
      <c r="E47" s="3220"/>
      <c r="F47" s="2417"/>
      <c r="G47" s="2427">
        <f>ROUND(+G25+G37+G44,2)</f>
        <v>-3139.74</v>
      </c>
      <c r="H47" s="2382"/>
      <c r="I47" s="2382"/>
      <c r="J47" s="2382"/>
      <c r="K47" s="2382"/>
      <c r="L47" s="2382"/>
      <c r="M47" s="2418"/>
      <c r="N47" s="2418"/>
      <c r="O47" s="2418"/>
      <c r="P47" s="2418"/>
      <c r="Q47" s="2418"/>
    </row>
    <row r="48" spans="1:17">
      <c r="A48" s="2397"/>
      <c r="B48" s="2397"/>
      <c r="C48" s="2398"/>
      <c r="D48" s="2398"/>
      <c r="E48" s="3216"/>
      <c r="F48" s="2398"/>
      <c r="G48" s="2428"/>
      <c r="H48" s="2382"/>
      <c r="I48" s="2382"/>
      <c r="J48" s="2382"/>
      <c r="K48" s="2382"/>
      <c r="L48" s="2382"/>
      <c r="M48" s="2418"/>
      <c r="N48" s="2418"/>
      <c r="O48" s="2418"/>
      <c r="P48" s="2418"/>
      <c r="Q48" s="2418"/>
    </row>
    <row r="49" spans="1:42" s="2396" customFormat="1" ht="16.2" thickBot="1">
      <c r="A49" s="2403"/>
      <c r="B49" s="2403" t="s">
        <v>622</v>
      </c>
      <c r="C49" s="2429"/>
      <c r="D49" s="2430">
        <f>ROUND(D13+D47,2)</f>
        <v>0</v>
      </c>
      <c r="E49" s="3223"/>
      <c r="F49" s="2431"/>
      <c r="G49" s="2430">
        <f>ROUND(G13+G47,2)</f>
        <v>0</v>
      </c>
      <c r="H49" s="2395"/>
      <c r="I49" s="2395"/>
      <c r="J49" s="2395"/>
      <c r="K49" s="2395"/>
      <c r="L49" s="2395"/>
      <c r="M49" s="2432"/>
      <c r="N49" s="2432"/>
      <c r="O49" s="2432"/>
      <c r="P49" s="2432"/>
      <c r="Q49" s="2432"/>
      <c r="R49" s="2432"/>
      <c r="S49" s="2432"/>
      <c r="T49" s="2432"/>
      <c r="U49" s="2432"/>
      <c r="V49" s="2432"/>
      <c r="W49" s="2432"/>
      <c r="X49" s="2432"/>
      <c r="Y49" s="2432"/>
      <c r="Z49" s="2432"/>
      <c r="AA49" s="2432"/>
      <c r="AB49" s="2432"/>
      <c r="AC49" s="2432"/>
      <c r="AD49" s="2432"/>
      <c r="AE49" s="2432"/>
      <c r="AF49" s="2432"/>
      <c r="AG49" s="2432"/>
      <c r="AH49" s="2432"/>
      <c r="AI49" s="2432"/>
      <c r="AJ49" s="2432"/>
      <c r="AK49" s="2432"/>
      <c r="AL49" s="2432"/>
      <c r="AM49" s="2432"/>
      <c r="AN49" s="2432"/>
      <c r="AO49" s="2432"/>
      <c r="AP49" s="2432"/>
    </row>
    <row r="50" spans="1:42" ht="15.6" thickTop="1">
      <c r="A50" s="2397"/>
      <c r="B50" s="2397" t="s">
        <v>16</v>
      </c>
      <c r="C50" s="2398"/>
      <c r="D50" s="2398"/>
      <c r="E50" s="2398"/>
      <c r="F50" s="2398"/>
      <c r="G50" s="2398"/>
    </row>
    <row r="51" spans="1:42">
      <c r="B51" s="2433" t="s">
        <v>623</v>
      </c>
    </row>
    <row r="52" spans="1:42">
      <c r="B52" s="2434"/>
    </row>
    <row r="60" spans="1:42" ht="15.6">
      <c r="B60" s="2435"/>
      <c r="C60" s="2436"/>
      <c r="D60" s="2436"/>
      <c r="E60" s="2436"/>
      <c r="F60" s="2436"/>
    </row>
    <row r="62" spans="1:42" ht="15.6">
      <c r="B62" s="2437"/>
      <c r="C62" s="2395"/>
    </row>
  </sheetData>
  <customSheetViews>
    <customSheetView guid="{8EE6466D-211E-4E05-9F84-CC0A1C6F79F4}" showGridLines="0" fitToPage="1">
      <selection activeCell="I5" sqref="I5"/>
      <pageMargins left="0.24" right="0.24" top="0.5" bottom="0.5" header="0.18" footer="0.25"/>
      <printOptions horizontalCentered="1" verticalCentered="1"/>
      <pageSetup scale="67" orientation="landscape" r:id="rId1"/>
      <headerFooter scaleWithDoc="0" alignWithMargins="0">
        <oddFooter>&amp;C&amp;8 53</oddFooter>
      </headerFooter>
    </customSheetView>
  </customSheetViews>
  <mergeCells count="2">
    <mergeCell ref="B7:D7"/>
    <mergeCell ref="B8:D8"/>
  </mergeCells>
  <printOptions horizontalCentered="1" verticalCentered="1"/>
  <pageMargins left="0.24" right="0.24" top="0.5" bottom="0.5" header="0.18" footer="0.25"/>
  <pageSetup scale="67" firstPageNumber="51" orientation="landscape" useFirstPageNumber="1" r:id="rId2"/>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C54"/>
  <sheetViews>
    <sheetView zoomScale="70" zoomScaleNormal="70" workbookViewId="0"/>
  </sheetViews>
  <sheetFormatPr defaultColWidth="8.90625" defaultRowHeight="13.2"/>
  <cols>
    <col min="1" max="1" width="54.81640625" style="774" customWidth="1"/>
    <col min="2" max="2" width="1.6328125" style="774" customWidth="1"/>
    <col min="3" max="3" width="10.90625" style="774" customWidth="1"/>
    <col min="4" max="4" width="1.6328125" style="774" customWidth="1"/>
    <col min="5" max="5" width="10.90625" style="774" customWidth="1"/>
    <col min="6" max="6" width="1.6328125" style="774" customWidth="1"/>
    <col min="7" max="7" width="10.90625" style="774" customWidth="1"/>
    <col min="8" max="8" width="1.6328125" style="774" customWidth="1"/>
    <col min="9" max="9" width="10.90625" style="774" customWidth="1"/>
    <col min="10" max="10" width="1.6328125" style="774" customWidth="1"/>
    <col min="11" max="11" width="10.90625" style="774" customWidth="1"/>
    <col min="12" max="12" width="1.6328125" style="774" customWidth="1"/>
    <col min="13" max="13" width="14.90625" style="774" bestFit="1" customWidth="1"/>
    <col min="14" max="14" width="1.6328125" style="774" customWidth="1"/>
    <col min="15" max="15" width="10.90625" style="774" customWidth="1"/>
    <col min="16" max="16" width="1.6328125" style="774" customWidth="1"/>
    <col min="17" max="17" width="13.54296875" style="774" bestFit="1" customWidth="1"/>
    <col min="18" max="18" width="1.6328125" style="774" customWidth="1"/>
    <col min="19" max="19" width="13.54296875" style="774" bestFit="1" customWidth="1"/>
    <col min="20" max="20" width="1.6328125" style="774" customWidth="1"/>
    <col min="21" max="21" width="11" style="774" customWidth="1"/>
    <col min="22" max="22" width="1.6328125" style="774" customWidth="1"/>
    <col min="23" max="23" width="10.90625" style="774" customWidth="1"/>
    <col min="24" max="24" width="1.6328125" style="774" customWidth="1"/>
    <col min="25" max="25" width="10.90625" style="774" customWidth="1"/>
    <col min="26" max="26" width="1.6328125" style="774" customWidth="1"/>
    <col min="27" max="27" width="14.1796875" style="781" customWidth="1"/>
    <col min="28" max="28" width="3.6328125" style="774" customWidth="1"/>
    <col min="29" max="29" width="5.6328125" style="774" customWidth="1"/>
    <col min="30" max="30" width="10.36328125" style="774" customWidth="1"/>
    <col min="31" max="31" width="2.6328125" style="774" customWidth="1"/>
    <col min="32" max="16384" width="8.90625" style="774"/>
  </cols>
  <sheetData>
    <row r="1" spans="1:29" ht="15">
      <c r="A1" s="1172" t="s">
        <v>1103</v>
      </c>
    </row>
    <row r="2" spans="1:29" ht="21">
      <c r="A2" s="771"/>
      <c r="B2" s="2371"/>
      <c r="C2" s="2371"/>
      <c r="D2" s="2371"/>
      <c r="E2" s="2371"/>
      <c r="F2" s="2371"/>
      <c r="G2" s="2371"/>
      <c r="H2" s="2371"/>
      <c r="I2" s="2371"/>
      <c r="J2" s="2371"/>
      <c r="K2" s="2371"/>
      <c r="L2" s="772"/>
      <c r="M2" s="772"/>
      <c r="N2" s="2371"/>
      <c r="O2" s="2371"/>
      <c r="P2" s="2371"/>
      <c r="Q2" s="2371"/>
      <c r="R2" s="2371"/>
      <c r="S2" s="2371"/>
      <c r="T2" s="2371"/>
      <c r="U2" s="2371"/>
      <c r="V2" s="2371"/>
      <c r="W2" s="2371"/>
      <c r="X2" s="2371"/>
      <c r="Y2" s="2371"/>
      <c r="Z2" s="2371"/>
      <c r="AA2" s="2372"/>
      <c r="AB2" s="2371"/>
      <c r="AC2" s="773"/>
    </row>
    <row r="3" spans="1:29" ht="15">
      <c r="A3"/>
      <c r="B3" s="1183"/>
      <c r="C3" s="1183"/>
      <c r="D3" s="1183"/>
      <c r="E3" s="1183"/>
      <c r="F3" s="1183"/>
      <c r="G3" s="1183"/>
      <c r="H3" s="1183"/>
      <c r="I3" s="1183"/>
      <c r="J3" s="1183"/>
      <c r="K3" s="1183"/>
      <c r="L3"/>
      <c r="M3" s="1183"/>
      <c r="N3" s="1183"/>
      <c r="O3" s="1183"/>
      <c r="P3" s="1183"/>
      <c r="Q3" s="1183"/>
      <c r="R3" s="1183"/>
      <c r="S3" s="1183"/>
      <c r="T3" s="1183"/>
      <c r="U3" s="1183"/>
      <c r="V3" s="1183"/>
      <c r="W3" s="1183"/>
      <c r="X3" s="1183"/>
      <c r="Y3" s="1183"/>
      <c r="Z3" s="1183"/>
      <c r="AA3" s="774"/>
      <c r="AB3" s="2371"/>
      <c r="AC3" s="773"/>
    </row>
    <row r="4" spans="1:29" ht="21">
      <c r="A4" s="1191" t="s">
        <v>0</v>
      </c>
      <c r="B4" s="1183"/>
      <c r="C4" s="1183"/>
      <c r="D4" s="1183"/>
      <c r="E4" s="1183"/>
      <c r="F4" s="1183"/>
      <c r="G4" s="1183"/>
      <c r="H4" s="1183"/>
      <c r="I4" s="1183"/>
      <c r="J4" s="1183"/>
      <c r="K4" s="1183"/>
      <c r="L4"/>
      <c r="M4" s="1183"/>
      <c r="N4" s="1183"/>
      <c r="O4" s="1183"/>
      <c r="P4" s="1183"/>
      <c r="Q4" s="1183"/>
      <c r="R4" s="1183"/>
      <c r="S4" s="1183"/>
      <c r="T4" s="1183"/>
      <c r="U4" s="1183"/>
      <c r="V4" s="1183"/>
      <c r="W4" s="1183"/>
      <c r="X4" s="1183"/>
      <c r="Y4" s="1183"/>
      <c r="Z4" s="1183"/>
      <c r="AA4" s="2373" t="s">
        <v>624</v>
      </c>
      <c r="AB4" s="2371"/>
      <c r="AC4" s="773"/>
    </row>
    <row r="5" spans="1:29" s="773" customFormat="1" ht="17.399999999999999">
      <c r="A5" s="1191" t="s">
        <v>637</v>
      </c>
      <c r="B5" s="1184"/>
      <c r="C5" s="1184"/>
      <c r="D5" s="1184"/>
      <c r="E5" s="1184"/>
      <c r="F5" s="1184"/>
      <c r="G5" s="1184"/>
      <c r="H5" s="1184"/>
      <c r="I5" s="1184"/>
      <c r="J5" s="1183"/>
      <c r="K5" s="1183"/>
      <c r="L5" s="1183"/>
      <c r="M5" s="1183"/>
      <c r="N5" s="1183"/>
      <c r="O5" s="1183"/>
      <c r="P5" s="1183"/>
      <c r="Q5" s="1183"/>
      <c r="R5" s="1183"/>
      <c r="S5" s="1183"/>
      <c r="T5" s="1183"/>
      <c r="U5" s="1183"/>
      <c r="V5" s="1183"/>
      <c r="W5" s="1183"/>
      <c r="X5" s="1183"/>
      <c r="Y5" s="1183"/>
      <c r="Z5" s="1183"/>
      <c r="AA5" s="1183"/>
      <c r="AB5" s="2371"/>
    </row>
    <row r="6" spans="1:29" s="773" customFormat="1" ht="17.399999999999999">
      <c r="A6" s="431" t="s">
        <v>1389</v>
      </c>
      <c r="B6" s="1184"/>
      <c r="C6" s="1184"/>
      <c r="D6" s="1184"/>
      <c r="E6" s="1184"/>
      <c r="F6" s="1184"/>
      <c r="G6" s="1184"/>
      <c r="H6" s="1184"/>
      <c r="I6" s="1184"/>
      <c r="J6" s="1183"/>
      <c r="K6" s="1183"/>
      <c r="L6" s="1183"/>
      <c r="M6" s="1183"/>
      <c r="N6" s="1183"/>
      <c r="O6" s="1183"/>
      <c r="P6" s="1183"/>
      <c r="Q6" s="1183"/>
      <c r="R6" s="1183"/>
      <c r="S6" s="1183"/>
      <c r="T6" s="1183"/>
      <c r="U6" s="1183"/>
      <c r="V6" s="1183"/>
      <c r="W6" s="1183"/>
      <c r="X6" s="1183"/>
      <c r="Y6" s="1183"/>
      <c r="Z6" s="1183"/>
      <c r="AA6" s="1183"/>
      <c r="AB6" s="2371"/>
    </row>
    <row r="7" spans="1:29" s="773" customFormat="1" ht="17.399999999999999">
      <c r="A7" s="1191" t="s">
        <v>995</v>
      </c>
      <c r="B7" s="1185"/>
      <c r="C7" s="1185"/>
      <c r="D7" s="1185"/>
      <c r="E7" s="1185"/>
      <c r="F7" s="1185"/>
      <c r="G7" s="1185"/>
      <c r="H7" s="1185"/>
      <c r="I7" s="1185"/>
      <c r="J7"/>
      <c r="K7"/>
      <c r="L7"/>
      <c r="M7"/>
      <c r="N7"/>
      <c r="O7"/>
      <c r="P7"/>
      <c r="Q7"/>
      <c r="R7" s="1183"/>
      <c r="S7" s="1183"/>
      <c r="T7" s="1183"/>
      <c r="U7" s="1183"/>
      <c r="V7" s="1183"/>
      <c r="W7" s="1183"/>
      <c r="X7" s="1183"/>
      <c r="Y7" s="1183"/>
      <c r="Z7" s="1183"/>
      <c r="AA7"/>
      <c r="AB7" s="2371"/>
    </row>
    <row r="8" spans="1:29" s="773" customFormat="1" ht="15.6">
      <c r="A8" s="1186"/>
      <c r="B8" s="1185"/>
      <c r="C8" s="1515"/>
      <c r="D8" s="1515"/>
      <c r="E8" s="1515"/>
      <c r="F8" s="1515"/>
      <c r="G8" s="1515"/>
      <c r="H8" s="1515"/>
      <c r="I8" s="1515"/>
      <c r="J8" s="1251"/>
      <c r="K8" s="1251"/>
      <c r="L8" s="1251"/>
      <c r="M8" s="1251"/>
      <c r="N8" s="1251"/>
      <c r="O8" s="1251"/>
      <c r="P8" s="1251"/>
      <c r="Q8" s="1251"/>
      <c r="R8" s="1251"/>
      <c r="S8" s="1251"/>
      <c r="T8" s="1251"/>
      <c r="U8" s="1251"/>
      <c r="V8" s="1251"/>
      <c r="W8" s="1251"/>
      <c r="X8" s="1251"/>
      <c r="Y8" s="1251"/>
      <c r="Z8" s="1251"/>
      <c r="AA8" s="1251"/>
      <c r="AB8" s="2371"/>
    </row>
    <row r="9" spans="1:29" s="773" customFormat="1" ht="15.6">
      <c r="A9" s="1183"/>
      <c r="B9" s="1183"/>
      <c r="C9" s="1251"/>
      <c r="D9" s="1251"/>
      <c r="E9" s="1251"/>
      <c r="F9" s="1251"/>
      <c r="G9" s="1251"/>
      <c r="H9" s="1251"/>
      <c r="I9" s="1251"/>
      <c r="J9" s="1251"/>
      <c r="K9" s="1251"/>
      <c r="L9" s="1251"/>
      <c r="M9" s="1251"/>
      <c r="N9" s="1251"/>
      <c r="O9" s="1251"/>
      <c r="P9" s="1251"/>
      <c r="Q9" s="1251"/>
      <c r="R9" s="1251"/>
      <c r="S9" s="1251"/>
      <c r="T9" s="1251"/>
      <c r="U9" s="1251"/>
      <c r="V9" s="1251"/>
      <c r="W9" s="1251"/>
      <c r="X9" s="1251"/>
      <c r="Y9" s="1251"/>
      <c r="Z9" s="1251"/>
      <c r="AA9" s="1251"/>
      <c r="AB9" s="2371"/>
    </row>
    <row r="10" spans="1:29" s="773" customFormat="1" ht="17.399999999999999">
      <c r="A10" s="1183"/>
      <c r="B10" s="1250"/>
      <c r="C10" s="1516">
        <v>2015</v>
      </c>
      <c r="D10" s="1516">
        <v>2015</v>
      </c>
      <c r="E10" s="1516">
        <v>2015</v>
      </c>
      <c r="F10" s="1516">
        <v>2015</v>
      </c>
      <c r="G10" s="1516">
        <v>2015</v>
      </c>
      <c r="H10" s="1516">
        <v>2015</v>
      </c>
      <c r="I10" s="1516">
        <v>2015</v>
      </c>
      <c r="J10" s="1516">
        <v>2015</v>
      </c>
      <c r="K10" s="1516">
        <v>2015</v>
      </c>
      <c r="L10" s="1516">
        <v>2015</v>
      </c>
      <c r="M10" s="1516">
        <v>2015</v>
      </c>
      <c r="N10" s="1516">
        <v>2015</v>
      </c>
      <c r="O10" s="1516">
        <v>2015</v>
      </c>
      <c r="P10" s="1516">
        <v>2015</v>
      </c>
      <c r="Q10" s="1516">
        <v>2015</v>
      </c>
      <c r="R10" s="1516">
        <v>2015</v>
      </c>
      <c r="S10" s="1516">
        <v>2015</v>
      </c>
      <c r="T10" s="1516"/>
      <c r="U10" s="1516">
        <v>2016</v>
      </c>
      <c r="V10" s="1516"/>
      <c r="W10" s="1516">
        <v>2016</v>
      </c>
      <c r="X10" s="1516"/>
      <c r="Y10" s="1516">
        <v>2016</v>
      </c>
      <c r="Z10" s="1191"/>
      <c r="AA10" s="1517" t="s">
        <v>1396</v>
      </c>
      <c r="AB10" s="2374"/>
    </row>
    <row r="11" spans="1:29" s="773" customFormat="1" ht="17.399999999999999">
      <c r="A11" s="1183"/>
      <c r="B11" s="1250"/>
      <c r="C11" s="1518" t="s">
        <v>129</v>
      </c>
      <c r="D11" s="1517"/>
      <c r="E11" s="1518" t="s">
        <v>130</v>
      </c>
      <c r="F11" s="1517"/>
      <c r="G11" s="1518" t="s">
        <v>131</v>
      </c>
      <c r="H11" s="1517"/>
      <c r="I11" s="1518" t="s">
        <v>132</v>
      </c>
      <c r="J11" s="1517"/>
      <c r="K11" s="1518" t="s">
        <v>133</v>
      </c>
      <c r="L11" s="1517"/>
      <c r="M11" s="1518" t="s">
        <v>148</v>
      </c>
      <c r="N11" s="1517"/>
      <c r="O11" s="1518" t="s">
        <v>149</v>
      </c>
      <c r="P11" s="1517"/>
      <c r="Q11" s="1518" t="s">
        <v>136</v>
      </c>
      <c r="R11" s="1517"/>
      <c r="S11" s="1518" t="s">
        <v>137</v>
      </c>
      <c r="T11" s="1517"/>
      <c r="U11" s="1518" t="s">
        <v>138</v>
      </c>
      <c r="V11" s="1517"/>
      <c r="W11" s="1518" t="s">
        <v>139</v>
      </c>
      <c r="X11" s="1517"/>
      <c r="Y11" s="1518" t="s">
        <v>192</v>
      </c>
      <c r="Z11" s="1191"/>
      <c r="AA11" s="1518" t="s">
        <v>638</v>
      </c>
      <c r="AB11" s="2371"/>
    </row>
    <row r="12" spans="1:29" s="773" customFormat="1" ht="17.399999999999999">
      <c r="A12"/>
      <c r="B12" s="1250"/>
      <c r="C12" s="1250"/>
      <c r="D12" s="1250"/>
      <c r="E12" s="1250"/>
      <c r="F12" s="1250"/>
      <c r="G12" s="1250"/>
      <c r="H12" s="1250"/>
      <c r="I12" s="1250"/>
      <c r="J12" s="1250"/>
      <c r="K12" s="1250"/>
      <c r="L12" s="1250"/>
      <c r="M12" s="1250"/>
      <c r="N12" s="1250"/>
      <c r="O12" s="1250"/>
      <c r="P12" s="1250"/>
      <c r="Q12" s="1250"/>
      <c r="R12" s="1250"/>
      <c r="S12" s="1250"/>
      <c r="T12" s="1250"/>
      <c r="U12" s="1250"/>
      <c r="V12" s="1250"/>
      <c r="W12" s="1250"/>
      <c r="X12" s="1250"/>
      <c r="Y12" s="1250"/>
      <c r="Z12" s="1250"/>
      <c r="AA12" s="1250"/>
      <c r="AB12" s="2375"/>
      <c r="AC12" s="2376"/>
    </row>
    <row r="13" spans="1:29" s="776" customFormat="1" ht="17.399999999999999">
      <c r="A13" s="1251" t="s">
        <v>639</v>
      </c>
      <c r="B13" s="1250"/>
      <c r="C13" s="1250"/>
      <c r="D13" s="1250"/>
      <c r="E13" s="1250"/>
      <c r="F13" s="1250"/>
      <c r="G13" s="1250"/>
      <c r="H13" s="1250"/>
      <c r="I13" s="1250"/>
      <c r="J13" s="1250"/>
      <c r="K13" s="1250"/>
      <c r="L13" s="1250"/>
      <c r="M13" s="1250"/>
      <c r="N13" s="1250"/>
      <c r="O13" s="1250"/>
      <c r="P13" s="1250"/>
      <c r="Q13" s="1250"/>
      <c r="R13" s="1250"/>
      <c r="S13" s="1250"/>
      <c r="T13" s="1250"/>
      <c r="U13" s="1250"/>
      <c r="V13" s="1250"/>
      <c r="W13" s="1250"/>
      <c r="X13" s="1250"/>
      <c r="Y13" s="1250"/>
      <c r="Z13" s="1250"/>
      <c r="AA13" s="1250"/>
      <c r="AB13" s="2375"/>
      <c r="AC13" s="775"/>
    </row>
    <row r="14" spans="1:29" s="776" customFormat="1" ht="17.399999999999999">
      <c r="A14" s="1183" t="s">
        <v>640</v>
      </c>
      <c r="B14" s="1250"/>
      <c r="C14" s="1574">
        <v>0</v>
      </c>
      <c r="D14" s="1574"/>
      <c r="E14" s="1574">
        <v>0</v>
      </c>
      <c r="F14" s="1574"/>
      <c r="G14" s="1575">
        <v>0</v>
      </c>
      <c r="H14" s="1574"/>
      <c r="I14" s="1575">
        <v>0</v>
      </c>
      <c r="J14" s="1576"/>
      <c r="K14" s="1575">
        <v>0</v>
      </c>
      <c r="L14" s="1574"/>
      <c r="M14" s="1575">
        <v>0</v>
      </c>
      <c r="N14" s="1576"/>
      <c r="O14" s="1575">
        <v>0</v>
      </c>
      <c r="P14" s="1576"/>
      <c r="Q14" s="1575">
        <v>44</v>
      </c>
      <c r="R14" s="1576"/>
      <c r="S14" s="1575">
        <v>0</v>
      </c>
      <c r="T14" s="1576"/>
      <c r="U14" s="1575">
        <v>0</v>
      </c>
      <c r="V14" s="1576"/>
      <c r="W14" s="1575">
        <v>6</v>
      </c>
      <c r="X14" s="1576"/>
      <c r="Y14" s="1575">
        <v>37</v>
      </c>
      <c r="Z14" s="1250"/>
      <c r="AA14" s="1588">
        <f>ROUND(SUM(C14:Z14),0)</f>
        <v>87</v>
      </c>
      <c r="AB14" s="2375"/>
      <c r="AC14" s="775"/>
    </row>
    <row r="15" spans="1:29" s="776" customFormat="1" ht="17.399999999999999">
      <c r="A15" s="1183" t="s">
        <v>641</v>
      </c>
      <c r="B15" s="1250"/>
      <c r="C15" s="1577">
        <v>8242</v>
      </c>
      <c r="D15" s="1578"/>
      <c r="E15" s="1578">
        <v>0</v>
      </c>
      <c r="F15" s="1578"/>
      <c r="G15" s="1577">
        <v>9944</v>
      </c>
      <c r="H15" s="1578"/>
      <c r="I15" s="1577">
        <v>306</v>
      </c>
      <c r="J15" s="1579"/>
      <c r="K15" s="1577">
        <v>1013</v>
      </c>
      <c r="L15" s="1578"/>
      <c r="M15" s="1577">
        <v>0</v>
      </c>
      <c r="N15" s="1579"/>
      <c r="O15" s="1577">
        <v>0</v>
      </c>
      <c r="P15" s="1579"/>
      <c r="Q15" s="1580">
        <v>1673</v>
      </c>
      <c r="R15" s="1579"/>
      <c r="S15" s="1580">
        <v>2026</v>
      </c>
      <c r="T15" s="1579"/>
      <c r="U15" s="1580">
        <v>534</v>
      </c>
      <c r="V15" s="1579"/>
      <c r="W15" s="1580">
        <v>772</v>
      </c>
      <c r="X15" s="1579"/>
      <c r="Y15" s="1580">
        <v>209</v>
      </c>
      <c r="Z15" s="1250"/>
      <c r="AA15" s="1587">
        <f t="shared" ref="AA15:AA29" si="0">ROUND(SUM(C15:Z15),0)</f>
        <v>24719</v>
      </c>
      <c r="AB15" s="2375"/>
      <c r="AC15" s="775"/>
    </row>
    <row r="16" spans="1:29" s="776" customFormat="1" ht="17.399999999999999">
      <c r="A16" s="1183" t="s">
        <v>642</v>
      </c>
      <c r="B16" s="1250"/>
      <c r="C16" s="1577">
        <v>0</v>
      </c>
      <c r="D16" s="1578"/>
      <c r="E16" s="1578">
        <v>3</v>
      </c>
      <c r="F16" s="1578"/>
      <c r="G16" s="1577">
        <v>10</v>
      </c>
      <c r="H16" s="1578"/>
      <c r="I16" s="1577">
        <v>0</v>
      </c>
      <c r="J16" s="1579"/>
      <c r="K16" s="1577">
        <v>1</v>
      </c>
      <c r="L16" s="1578"/>
      <c r="M16" s="1577">
        <v>0</v>
      </c>
      <c r="N16" s="1579"/>
      <c r="O16" s="1577">
        <v>0</v>
      </c>
      <c r="P16" s="1579"/>
      <c r="Q16" s="1580">
        <v>1</v>
      </c>
      <c r="R16" s="1579"/>
      <c r="S16" s="1580">
        <v>0</v>
      </c>
      <c r="T16" s="1579"/>
      <c r="U16" s="1580">
        <v>0</v>
      </c>
      <c r="V16" s="1579"/>
      <c r="W16" s="1580">
        <v>45</v>
      </c>
      <c r="X16" s="1579"/>
      <c r="Y16" s="1580">
        <v>63</v>
      </c>
      <c r="Z16" s="1250"/>
      <c r="AA16" s="1587">
        <f t="shared" si="0"/>
        <v>123</v>
      </c>
      <c r="AB16" s="2377"/>
      <c r="AC16" s="775"/>
    </row>
    <row r="17" spans="1:29" s="776" customFormat="1" ht="17.399999999999999">
      <c r="A17" s="1183" t="s">
        <v>1142</v>
      </c>
      <c r="B17" s="1250"/>
      <c r="C17" s="1581">
        <v>175</v>
      </c>
      <c r="D17" s="1578"/>
      <c r="E17" s="1580">
        <v>2</v>
      </c>
      <c r="F17" s="1578"/>
      <c r="G17" s="1577">
        <v>45</v>
      </c>
      <c r="H17" s="1578"/>
      <c r="I17" s="1577">
        <v>0</v>
      </c>
      <c r="J17" s="1579"/>
      <c r="K17" s="1577">
        <v>0</v>
      </c>
      <c r="L17" s="1578"/>
      <c r="M17" s="1577">
        <v>0</v>
      </c>
      <c r="N17" s="1579"/>
      <c r="O17" s="1580">
        <v>0</v>
      </c>
      <c r="P17" s="1579"/>
      <c r="Q17" s="1580">
        <v>0</v>
      </c>
      <c r="R17" s="1579"/>
      <c r="S17" s="1580">
        <v>0</v>
      </c>
      <c r="T17" s="1579"/>
      <c r="U17" s="1580">
        <v>0</v>
      </c>
      <c r="V17" s="1579"/>
      <c r="W17" s="1580">
        <v>0</v>
      </c>
      <c r="X17" s="1579"/>
      <c r="Y17" s="1580">
        <v>428</v>
      </c>
      <c r="Z17" s="1250"/>
      <c r="AA17" s="1587">
        <f t="shared" si="0"/>
        <v>650</v>
      </c>
      <c r="AB17" s="2377"/>
      <c r="AC17" s="775"/>
    </row>
    <row r="18" spans="1:29" s="776" customFormat="1" ht="17.399999999999999">
      <c r="A18" s="1183" t="s">
        <v>643</v>
      </c>
      <c r="B18" s="1250"/>
      <c r="C18" s="1578"/>
      <c r="D18" s="1578"/>
      <c r="E18" s="1582"/>
      <c r="F18" s="1578"/>
      <c r="G18" s="1583"/>
      <c r="H18" s="1578"/>
      <c r="I18" s="1583"/>
      <c r="J18" s="1579"/>
      <c r="K18" s="1583"/>
      <c r="L18" s="1578"/>
      <c r="M18" s="1583"/>
      <c r="N18" s="1579"/>
      <c r="O18" s="1583"/>
      <c r="P18" s="1579"/>
      <c r="Q18" s="1582"/>
      <c r="R18" s="1579"/>
      <c r="S18" s="1582"/>
      <c r="T18" s="1579"/>
      <c r="U18" s="1582"/>
      <c r="V18" s="1579"/>
      <c r="W18" s="1582"/>
      <c r="X18" s="1579"/>
      <c r="Y18" s="1582"/>
      <c r="Z18" s="1250"/>
      <c r="AA18" s="1587"/>
      <c r="AB18" s="2377"/>
      <c r="AC18" s="775"/>
    </row>
    <row r="19" spans="1:29" s="776" customFormat="1" ht="17.399999999999999">
      <c r="A19" s="1183" t="s">
        <v>1151</v>
      </c>
      <c r="B19" s="1250"/>
      <c r="C19" s="1577">
        <v>414</v>
      </c>
      <c r="D19" s="1578"/>
      <c r="E19" s="1578">
        <v>325</v>
      </c>
      <c r="F19" s="1578"/>
      <c r="G19" s="1577">
        <v>379</v>
      </c>
      <c r="H19" s="1578"/>
      <c r="I19" s="1577">
        <v>288</v>
      </c>
      <c r="J19" s="1579"/>
      <c r="K19" s="1577">
        <v>1015</v>
      </c>
      <c r="L19" s="1578"/>
      <c r="M19" s="1577">
        <v>270</v>
      </c>
      <c r="N19" s="1579"/>
      <c r="O19" s="1577">
        <v>55</v>
      </c>
      <c r="P19" s="1579"/>
      <c r="Q19" s="1580">
        <v>642</v>
      </c>
      <c r="R19" s="1579"/>
      <c r="S19" s="1580">
        <v>164</v>
      </c>
      <c r="T19" s="1579"/>
      <c r="U19" s="1580">
        <v>491</v>
      </c>
      <c r="V19" s="1579"/>
      <c r="W19" s="1580">
        <v>824</v>
      </c>
      <c r="X19" s="1579"/>
      <c r="Y19" s="1580">
        <v>942</v>
      </c>
      <c r="Z19" s="1250"/>
      <c r="AA19" s="1587">
        <f t="shared" si="0"/>
        <v>5809</v>
      </c>
      <c r="AB19" s="2377"/>
      <c r="AC19" s="775"/>
    </row>
    <row r="20" spans="1:29" s="776" customFormat="1" ht="17.399999999999999">
      <c r="A20" s="1183" t="s">
        <v>644</v>
      </c>
      <c r="B20" s="1250"/>
      <c r="C20" s="1577">
        <v>0</v>
      </c>
      <c r="D20" s="1578"/>
      <c r="E20" s="1578">
        <v>0</v>
      </c>
      <c r="F20" s="1578"/>
      <c r="G20" s="1580">
        <v>0</v>
      </c>
      <c r="H20" s="1578"/>
      <c r="I20" s="1580">
        <v>0</v>
      </c>
      <c r="J20" s="1579"/>
      <c r="K20" s="1580">
        <v>0</v>
      </c>
      <c r="L20" s="1578"/>
      <c r="M20" s="1580">
        <v>0</v>
      </c>
      <c r="N20" s="1579"/>
      <c r="O20" s="1580">
        <v>0</v>
      </c>
      <c r="P20" s="1579"/>
      <c r="Q20" s="1580">
        <v>840</v>
      </c>
      <c r="R20" s="1579"/>
      <c r="S20" s="1580">
        <v>0</v>
      </c>
      <c r="T20" s="1579"/>
      <c r="U20" s="1580">
        <v>0</v>
      </c>
      <c r="V20" s="1579"/>
      <c r="W20" s="1580">
        <v>0</v>
      </c>
      <c r="X20" s="1579"/>
      <c r="Y20" s="1580">
        <v>0</v>
      </c>
      <c r="Z20" s="1250"/>
      <c r="AA20" s="1587">
        <f t="shared" si="0"/>
        <v>840</v>
      </c>
      <c r="AB20" s="2377"/>
      <c r="AC20" s="775"/>
    </row>
    <row r="21" spans="1:29" s="776" customFormat="1" ht="17.399999999999999">
      <c r="A21" s="1183" t="s">
        <v>645</v>
      </c>
      <c r="B21" s="1250"/>
      <c r="C21" s="1577">
        <v>0</v>
      </c>
      <c r="D21" s="1578"/>
      <c r="E21" s="1578">
        <v>0</v>
      </c>
      <c r="F21" s="1578"/>
      <c r="G21" s="1580">
        <v>0</v>
      </c>
      <c r="H21" s="1578"/>
      <c r="I21" s="1577">
        <v>0</v>
      </c>
      <c r="J21" s="1579"/>
      <c r="K21" s="1580">
        <v>0</v>
      </c>
      <c r="L21" s="1578"/>
      <c r="M21" s="1580">
        <v>0</v>
      </c>
      <c r="N21" s="1579"/>
      <c r="O21" s="1580">
        <v>0</v>
      </c>
      <c r="P21" s="1579"/>
      <c r="Q21" s="1580">
        <v>0</v>
      </c>
      <c r="R21" s="1579"/>
      <c r="S21" s="1580">
        <v>0</v>
      </c>
      <c r="T21" s="1579"/>
      <c r="U21" s="1580">
        <v>0</v>
      </c>
      <c r="V21" s="1579"/>
      <c r="W21" s="1580">
        <v>0</v>
      </c>
      <c r="X21" s="1579"/>
      <c r="Y21" s="1580">
        <v>0</v>
      </c>
      <c r="Z21" s="1250"/>
      <c r="AA21" s="1587">
        <f t="shared" si="0"/>
        <v>0</v>
      </c>
      <c r="AB21" s="2377"/>
      <c r="AC21" s="775"/>
    </row>
    <row r="22" spans="1:29" s="776" customFormat="1" ht="17.399999999999999">
      <c r="A22" s="1183" t="s">
        <v>646</v>
      </c>
      <c r="B22" s="1250"/>
      <c r="C22" s="1577">
        <v>26448</v>
      </c>
      <c r="D22" s="1578"/>
      <c r="E22" s="1578">
        <v>4466</v>
      </c>
      <c r="F22" s="1578"/>
      <c r="G22" s="1577">
        <v>30982</v>
      </c>
      <c r="H22" s="1578"/>
      <c r="I22" s="1577">
        <v>21399</v>
      </c>
      <c r="J22" s="1579"/>
      <c r="K22" s="1577">
        <v>21276</v>
      </c>
      <c r="L22" s="1578"/>
      <c r="M22" s="1577">
        <v>19466</v>
      </c>
      <c r="N22" s="1579"/>
      <c r="O22" s="1577">
        <v>10686</v>
      </c>
      <c r="P22" s="1579"/>
      <c r="Q22" s="1580">
        <v>42864</v>
      </c>
      <c r="R22" s="1579"/>
      <c r="S22" s="1580">
        <v>58463</v>
      </c>
      <c r="T22" s="1579"/>
      <c r="U22" s="1580">
        <v>22388</v>
      </c>
      <c r="V22" s="1579"/>
      <c r="W22" s="1580">
        <v>27295</v>
      </c>
      <c r="X22" s="1579"/>
      <c r="Y22" s="1580">
        <v>29819</v>
      </c>
      <c r="Z22" s="1250"/>
      <c r="AA22" s="1587">
        <f t="shared" si="0"/>
        <v>315552</v>
      </c>
      <c r="AB22" s="2377"/>
      <c r="AC22" s="775"/>
    </row>
    <row r="23" spans="1:29" s="776" customFormat="1" ht="17.399999999999999">
      <c r="A23" s="1183" t="s">
        <v>647</v>
      </c>
      <c r="B23" s="1250"/>
      <c r="C23" s="1577">
        <v>2403</v>
      </c>
      <c r="D23" s="1578"/>
      <c r="E23" s="1578">
        <v>1286</v>
      </c>
      <c r="F23" s="1578"/>
      <c r="G23" s="1577">
        <v>2860</v>
      </c>
      <c r="H23" s="1578"/>
      <c r="I23" s="1577">
        <v>1947</v>
      </c>
      <c r="J23" s="1579"/>
      <c r="K23" s="1577">
        <v>2172</v>
      </c>
      <c r="L23" s="1578"/>
      <c r="M23" s="1577">
        <v>2323</v>
      </c>
      <c r="N23" s="1579"/>
      <c r="O23" s="1577">
        <v>1325</v>
      </c>
      <c r="P23" s="1579"/>
      <c r="Q23" s="1580">
        <v>2729</v>
      </c>
      <c r="R23" s="1579"/>
      <c r="S23" s="1580">
        <v>3937</v>
      </c>
      <c r="T23" s="1579"/>
      <c r="U23" s="1580">
        <v>847</v>
      </c>
      <c r="V23" s="1579"/>
      <c r="W23" s="1580">
        <v>3185</v>
      </c>
      <c r="X23" s="1579"/>
      <c r="Y23" s="1580">
        <v>5345</v>
      </c>
      <c r="Z23" s="1250"/>
      <c r="AA23" s="1587">
        <f t="shared" si="0"/>
        <v>30359</v>
      </c>
      <c r="AB23" s="2377"/>
      <c r="AC23" s="775"/>
    </row>
    <row r="24" spans="1:29" s="776" customFormat="1" ht="17.399999999999999">
      <c r="A24" s="1183" t="s">
        <v>648</v>
      </c>
      <c r="B24" s="1250"/>
      <c r="C24" s="1583">
        <v>3892</v>
      </c>
      <c r="D24" s="1578"/>
      <c r="E24" s="1578">
        <v>5459</v>
      </c>
      <c r="F24" s="1578"/>
      <c r="G24" s="1577">
        <v>5340</v>
      </c>
      <c r="H24" s="1578"/>
      <c r="I24" s="1577">
        <v>7400</v>
      </c>
      <c r="J24" s="1579"/>
      <c r="K24" s="1577">
        <v>2058</v>
      </c>
      <c r="L24" s="1578"/>
      <c r="M24" s="1577">
        <v>328</v>
      </c>
      <c r="N24" s="1579"/>
      <c r="O24" s="1577">
        <v>63</v>
      </c>
      <c r="P24" s="1579"/>
      <c r="Q24" s="1580">
        <v>1749</v>
      </c>
      <c r="R24" s="1579"/>
      <c r="S24" s="1580">
        <v>56</v>
      </c>
      <c r="T24" s="1579"/>
      <c r="U24" s="1580">
        <v>168</v>
      </c>
      <c r="V24" s="1579"/>
      <c r="W24" s="1580">
        <v>684</v>
      </c>
      <c r="X24" s="1579"/>
      <c r="Y24" s="1580">
        <v>20</v>
      </c>
      <c r="Z24" s="1250"/>
      <c r="AA24" s="1587">
        <f t="shared" si="0"/>
        <v>27217</v>
      </c>
      <c r="AB24" s="2377"/>
      <c r="AC24" s="775"/>
    </row>
    <row r="25" spans="1:29" s="776" customFormat="1" ht="17.399999999999999">
      <c r="A25" s="1183" t="s">
        <v>649</v>
      </c>
      <c r="B25" s="1250"/>
      <c r="C25" s="1578">
        <v>4831</v>
      </c>
      <c r="D25" s="1578"/>
      <c r="E25" s="1578">
        <v>1796</v>
      </c>
      <c r="F25" s="1578"/>
      <c r="G25" s="1577">
        <v>3971</v>
      </c>
      <c r="H25" s="1578"/>
      <c r="I25" s="1577">
        <v>3481</v>
      </c>
      <c r="J25" s="1579"/>
      <c r="K25" s="1577">
        <v>1697</v>
      </c>
      <c r="L25" s="1578"/>
      <c r="M25" s="1577">
        <v>7485</v>
      </c>
      <c r="N25" s="1579"/>
      <c r="O25" s="1577">
        <v>2598</v>
      </c>
      <c r="P25" s="1579"/>
      <c r="Q25" s="1580">
        <v>6105</v>
      </c>
      <c r="R25" s="1579"/>
      <c r="S25" s="1580">
        <v>4316</v>
      </c>
      <c r="T25" s="1579"/>
      <c r="U25" s="1580">
        <v>1036</v>
      </c>
      <c r="V25" s="1579"/>
      <c r="W25" s="1580">
        <v>5923</v>
      </c>
      <c r="X25" s="1579"/>
      <c r="Y25" s="1580">
        <v>6884</v>
      </c>
      <c r="Z25" s="1250"/>
      <c r="AA25" s="1587">
        <f t="shared" si="0"/>
        <v>50123</v>
      </c>
      <c r="AB25" s="2377"/>
      <c r="AC25" s="775"/>
    </row>
    <row r="26" spans="1:29" s="776" customFormat="1" ht="17.399999999999999">
      <c r="A26" s="1183" t="s">
        <v>650</v>
      </c>
      <c r="B26" s="1250"/>
      <c r="C26" s="1577">
        <v>7792</v>
      </c>
      <c r="D26" s="1578"/>
      <c r="E26" s="1578">
        <v>3356</v>
      </c>
      <c r="F26" s="1578"/>
      <c r="G26" s="1577">
        <v>14319</v>
      </c>
      <c r="H26" s="1578"/>
      <c r="I26" s="1577">
        <v>6519</v>
      </c>
      <c r="J26" s="1579"/>
      <c r="K26" s="1577">
        <v>8497</v>
      </c>
      <c r="L26" s="1578"/>
      <c r="M26" s="1577">
        <v>4798</v>
      </c>
      <c r="N26" s="1579"/>
      <c r="O26" s="1577">
        <v>4331</v>
      </c>
      <c r="P26" s="1579"/>
      <c r="Q26" s="1580">
        <v>7961</v>
      </c>
      <c r="R26" s="1579"/>
      <c r="S26" s="1580">
        <v>3759</v>
      </c>
      <c r="T26" s="1579"/>
      <c r="U26" s="1580">
        <v>3476</v>
      </c>
      <c r="V26" s="1579"/>
      <c r="W26" s="1580">
        <v>4857</v>
      </c>
      <c r="X26" s="1579"/>
      <c r="Y26" s="1580">
        <v>5134</v>
      </c>
      <c r="Z26" s="1250"/>
      <c r="AA26" s="1587">
        <f t="shared" si="0"/>
        <v>74799</v>
      </c>
      <c r="AB26" s="2377"/>
      <c r="AC26" s="775"/>
    </row>
    <row r="27" spans="1:29" s="776" customFormat="1" ht="17.399999999999999">
      <c r="A27" s="1183" t="s">
        <v>651</v>
      </c>
      <c r="B27" s="1250"/>
      <c r="C27" s="1583">
        <v>1634</v>
      </c>
      <c r="D27" s="1578"/>
      <c r="E27" s="1578">
        <v>813</v>
      </c>
      <c r="F27" s="1578"/>
      <c r="G27" s="1577">
        <v>1576</v>
      </c>
      <c r="H27" s="1578"/>
      <c r="I27" s="1577">
        <v>2756</v>
      </c>
      <c r="J27" s="1579"/>
      <c r="K27" s="1577">
        <v>1062</v>
      </c>
      <c r="L27" s="1578"/>
      <c r="M27" s="1577">
        <v>1055</v>
      </c>
      <c r="N27" s="1579"/>
      <c r="O27" s="1577">
        <v>719</v>
      </c>
      <c r="P27" s="1579"/>
      <c r="Q27" s="1580">
        <v>1455</v>
      </c>
      <c r="R27" s="1579"/>
      <c r="S27" s="1580">
        <v>1129</v>
      </c>
      <c r="T27" s="1579"/>
      <c r="U27" s="1580">
        <v>790</v>
      </c>
      <c r="V27" s="1579"/>
      <c r="W27" s="1580">
        <v>1445</v>
      </c>
      <c r="X27" s="1579"/>
      <c r="Y27" s="1580">
        <v>726</v>
      </c>
      <c r="Z27" s="1250"/>
      <c r="AA27" s="1587">
        <f t="shared" si="0"/>
        <v>15160</v>
      </c>
      <c r="AB27" s="2377"/>
      <c r="AC27" s="775"/>
    </row>
    <row r="28" spans="1:29" s="776" customFormat="1" ht="17.399999999999999">
      <c r="A28" s="1183" t="s">
        <v>1006</v>
      </c>
      <c r="B28" s="1250"/>
      <c r="C28" s="1581">
        <v>297</v>
      </c>
      <c r="D28" s="1578"/>
      <c r="E28" s="1581">
        <v>47</v>
      </c>
      <c r="F28" s="1578"/>
      <c r="G28" s="1577">
        <v>400</v>
      </c>
      <c r="H28" s="1578"/>
      <c r="I28" s="1577">
        <v>221</v>
      </c>
      <c r="J28" s="1579"/>
      <c r="K28" s="1577">
        <v>233</v>
      </c>
      <c r="L28" s="1578"/>
      <c r="M28" s="1577">
        <v>136</v>
      </c>
      <c r="N28" s="1579"/>
      <c r="O28" s="1577">
        <v>614</v>
      </c>
      <c r="P28" s="1579"/>
      <c r="Q28" s="1580">
        <v>214</v>
      </c>
      <c r="R28" s="1579"/>
      <c r="S28" s="1580">
        <v>575</v>
      </c>
      <c r="T28" s="1579"/>
      <c r="U28" s="1580">
        <v>140</v>
      </c>
      <c r="V28" s="1579"/>
      <c r="W28" s="1580">
        <v>134</v>
      </c>
      <c r="X28" s="1579"/>
      <c r="Y28" s="1580">
        <v>256</v>
      </c>
      <c r="Z28" s="1250"/>
      <c r="AA28" s="2791">
        <f>ROUND(SUM(C28:Z28),0)</f>
        <v>3267</v>
      </c>
      <c r="AB28" s="2377"/>
      <c r="AC28" s="775"/>
    </row>
    <row r="29" spans="1:29" s="776" customFormat="1" ht="17.399999999999999">
      <c r="A29" s="1183" t="s">
        <v>652</v>
      </c>
      <c r="B29" s="1250"/>
      <c r="C29" s="1578">
        <v>21</v>
      </c>
      <c r="D29" s="1578"/>
      <c r="E29" s="1578">
        <v>204</v>
      </c>
      <c r="F29" s="1578"/>
      <c r="G29" s="1584">
        <v>1262</v>
      </c>
      <c r="H29" s="1578"/>
      <c r="I29" s="1584">
        <v>412</v>
      </c>
      <c r="J29" s="1579"/>
      <c r="K29" s="1584">
        <v>202</v>
      </c>
      <c r="L29" s="1578"/>
      <c r="M29" s="1584">
        <v>357</v>
      </c>
      <c r="N29" s="1579"/>
      <c r="O29" s="1584">
        <v>226</v>
      </c>
      <c r="P29" s="1579"/>
      <c r="Q29" s="1585">
        <v>336</v>
      </c>
      <c r="R29" s="1579"/>
      <c r="S29" s="1585">
        <v>833</v>
      </c>
      <c r="T29" s="1579"/>
      <c r="U29" s="1585">
        <v>383</v>
      </c>
      <c r="V29" s="1579"/>
      <c r="W29" s="1585">
        <v>1593</v>
      </c>
      <c r="X29" s="1579"/>
      <c r="Y29" s="1585">
        <v>529</v>
      </c>
      <c r="Z29" s="1250"/>
      <c r="AA29" s="1587">
        <f t="shared" si="0"/>
        <v>6358</v>
      </c>
      <c r="AB29" s="2377"/>
      <c r="AC29" s="775"/>
    </row>
    <row r="30" spans="1:29" s="776" customFormat="1" ht="17.399999999999999">
      <c r="A30" s="1251" t="s">
        <v>1005</v>
      </c>
      <c r="B30" s="1250"/>
      <c r="C30" s="1589">
        <f>ROUND(SUM(C14:C29),0)</f>
        <v>56149</v>
      </c>
      <c r="D30" s="1183"/>
      <c r="E30" s="1589">
        <f>ROUND(SUM(E14:E29),0)</f>
        <v>17757</v>
      </c>
      <c r="F30" s="1183"/>
      <c r="G30" s="1589">
        <f>ROUND(SUM(G14:G29),0)</f>
        <v>71088</v>
      </c>
      <c r="H30" s="1183"/>
      <c r="I30" s="1589">
        <f>ROUND(SUM(I14:I29),0)</f>
        <v>44729</v>
      </c>
      <c r="J30" s="1183"/>
      <c r="K30" s="1589">
        <f>ROUND(SUM(K14:K29),0)</f>
        <v>39226</v>
      </c>
      <c r="L30" s="1183"/>
      <c r="M30" s="1589">
        <f>ROUND(SUM(M14:M29),0)</f>
        <v>36218</v>
      </c>
      <c r="N30" s="1183"/>
      <c r="O30" s="1589">
        <f>ROUND(SUM(O14:O29),0)</f>
        <v>20617</v>
      </c>
      <c r="P30" s="1183"/>
      <c r="Q30" s="1589">
        <f>ROUND(SUM(Q14:Q29),0)</f>
        <v>66613</v>
      </c>
      <c r="R30" s="1183"/>
      <c r="S30" s="1589">
        <f>ROUND(SUM(S14:S29),0)</f>
        <v>75258</v>
      </c>
      <c r="T30" s="1183"/>
      <c r="U30" s="1589">
        <f>ROUND(SUM(U14:U29),0)</f>
        <v>30253</v>
      </c>
      <c r="V30" s="1183"/>
      <c r="W30" s="1589">
        <f>ROUND(SUM(W14:W29),0)</f>
        <v>46763</v>
      </c>
      <c r="X30" s="1183"/>
      <c r="Y30" s="1589">
        <f>ROUND(SUM(Y14:Y29),0)</f>
        <v>50392</v>
      </c>
      <c r="Z30" s="1183"/>
      <c r="AA30" s="1589">
        <f>ROUND(SUM(AA14:AA29),0)</f>
        <v>555063</v>
      </c>
      <c r="AB30" s="2377"/>
      <c r="AC30" s="775"/>
    </row>
    <row r="31" spans="1:29" s="776" customFormat="1" ht="17.399999999999999">
      <c r="A31"/>
      <c r="B31" s="1250"/>
      <c r="C31" s="1250"/>
      <c r="D31" s="1250"/>
      <c r="E31" s="1250"/>
      <c r="F31" s="1250"/>
      <c r="G31" s="1250"/>
      <c r="H31" s="1250"/>
      <c r="I31" s="1250"/>
      <c r="J31" s="1250"/>
      <c r="K31" s="1250"/>
      <c r="L31" s="1250"/>
      <c r="M31" s="1250"/>
      <c r="N31" s="1250"/>
      <c r="O31" s="1250"/>
      <c r="P31" s="1250"/>
      <c r="Q31" s="1250"/>
      <c r="R31" s="1250"/>
      <c r="S31" s="1250"/>
      <c r="T31" s="1250"/>
      <c r="U31" s="1250"/>
      <c r="V31" s="1250"/>
      <c r="W31" s="1250"/>
      <c r="X31" s="1250"/>
      <c r="Y31" s="1250"/>
      <c r="Z31" s="1250"/>
      <c r="AA31" s="1183"/>
      <c r="AB31" s="2377"/>
      <c r="AC31" s="775"/>
    </row>
    <row r="32" spans="1:29" s="776" customFormat="1" ht="17.399999999999999">
      <c r="A32" s="1183"/>
      <c r="B32" s="1250"/>
      <c r="C32" s="1250"/>
      <c r="D32" s="1250"/>
      <c r="E32" s="1250"/>
      <c r="F32" s="1250"/>
      <c r="G32" s="1250"/>
      <c r="H32" s="1250"/>
      <c r="I32" s="1250"/>
      <c r="J32" s="1250"/>
      <c r="K32" s="1250"/>
      <c r="L32" s="1250"/>
      <c r="M32" s="1250"/>
      <c r="N32" s="1250"/>
      <c r="O32" s="1250"/>
      <c r="P32" s="1250"/>
      <c r="Q32" s="1250"/>
      <c r="R32" s="1250"/>
      <c r="S32" s="1250"/>
      <c r="T32" s="1250"/>
      <c r="U32" s="1250"/>
      <c r="V32" s="1250"/>
      <c r="W32" s="1250"/>
      <c r="X32" s="1250"/>
      <c r="Y32" s="1250"/>
      <c r="Z32" s="1250"/>
      <c r="AA32" s="1183"/>
      <c r="AB32" s="2377"/>
      <c r="AC32" s="775"/>
    </row>
    <row r="33" spans="1:29" s="776" customFormat="1" ht="17.399999999999999">
      <c r="A33" s="1251" t="s">
        <v>653</v>
      </c>
      <c r="B33" s="1250"/>
      <c r="C33" s="1250"/>
      <c r="D33" s="1250"/>
      <c r="E33" s="1250"/>
      <c r="F33" s="1250"/>
      <c r="G33" s="1250"/>
      <c r="H33" s="1250"/>
      <c r="I33" s="1250"/>
      <c r="J33" s="1250"/>
      <c r="K33" s="1250"/>
      <c r="L33" s="1250"/>
      <c r="M33" s="1250"/>
      <c r="N33" s="1250"/>
      <c r="O33" s="1250"/>
      <c r="P33" s="1250"/>
      <c r="Q33" s="1250"/>
      <c r="R33" s="1250"/>
      <c r="S33" s="1250"/>
      <c r="T33" s="1250"/>
      <c r="U33" s="1250"/>
      <c r="V33" s="1250"/>
      <c r="W33" s="1250"/>
      <c r="X33" s="1250"/>
      <c r="Y33" s="1250"/>
      <c r="Z33" s="1250"/>
      <c r="AA33" s="1183"/>
      <c r="AB33" s="2377"/>
      <c r="AC33" s="775"/>
    </row>
    <row r="34" spans="1:29" s="776" customFormat="1" ht="17.399999999999999">
      <c r="A34" s="1183" t="s">
        <v>643</v>
      </c>
      <c r="B34" s="1250"/>
      <c r="C34" s="1250"/>
      <c r="D34" s="1250"/>
      <c r="E34" s="1250"/>
      <c r="F34" s="1250"/>
      <c r="G34" s="1250"/>
      <c r="H34" s="1250"/>
      <c r="I34" s="1250"/>
      <c r="J34" s="1250"/>
      <c r="K34" s="1250"/>
      <c r="L34" s="1250"/>
      <c r="M34" s="1250"/>
      <c r="N34" s="1250"/>
      <c r="O34" s="1250"/>
      <c r="P34" s="1250"/>
      <c r="Q34" s="1250"/>
      <c r="R34" s="1250"/>
      <c r="S34" s="1250"/>
      <c r="T34" s="1250"/>
      <c r="U34" s="1250"/>
      <c r="V34" s="1250"/>
      <c r="W34" s="1250"/>
      <c r="X34" s="1250"/>
      <c r="Y34" s="1250"/>
      <c r="Z34" s="1250"/>
      <c r="AA34" s="1183"/>
      <c r="AB34" s="2377"/>
      <c r="AC34" s="775"/>
    </row>
    <row r="35" spans="1:29" s="776" customFormat="1" ht="17.399999999999999">
      <c r="A35" s="1183" t="s">
        <v>654</v>
      </c>
      <c r="B35" s="1250"/>
      <c r="C35" s="1580">
        <v>0</v>
      </c>
      <c r="D35" s="1578"/>
      <c r="E35" s="1580">
        <v>0</v>
      </c>
      <c r="F35" s="1578"/>
      <c r="G35" s="1580">
        <v>0</v>
      </c>
      <c r="H35" s="1578"/>
      <c r="I35" s="1580">
        <v>0</v>
      </c>
      <c r="J35" s="1579"/>
      <c r="K35" s="1580">
        <v>0</v>
      </c>
      <c r="L35" s="1578"/>
      <c r="M35" s="1580">
        <v>0</v>
      </c>
      <c r="N35" s="1579"/>
      <c r="O35" s="1580">
        <v>0</v>
      </c>
      <c r="P35" s="1579"/>
      <c r="Q35" s="1580">
        <v>0</v>
      </c>
      <c r="R35" s="1579"/>
      <c r="S35" s="1580">
        <v>0</v>
      </c>
      <c r="T35" s="1579"/>
      <c r="U35" s="1580">
        <v>0</v>
      </c>
      <c r="V35" s="1579"/>
      <c r="W35" s="1580">
        <v>0</v>
      </c>
      <c r="X35" s="1579"/>
      <c r="Y35" s="1580">
        <v>0</v>
      </c>
      <c r="Z35" s="1250"/>
      <c r="AA35" s="1587">
        <f>ROUND(SUM(C35:Z35),0)</f>
        <v>0</v>
      </c>
      <c r="AB35" s="2377"/>
      <c r="AC35" s="775"/>
    </row>
    <row r="36" spans="1:29" s="776" customFormat="1" ht="17.399999999999999">
      <c r="A36" s="1183" t="s">
        <v>1378</v>
      </c>
      <c r="B36" s="1250"/>
      <c r="C36" s="1578">
        <v>0</v>
      </c>
      <c r="D36" s="1578"/>
      <c r="E36" s="1580">
        <v>2033</v>
      </c>
      <c r="F36" s="1578"/>
      <c r="G36" s="1580">
        <v>19</v>
      </c>
      <c r="H36" s="1578"/>
      <c r="I36" s="1577">
        <v>0</v>
      </c>
      <c r="J36" s="1579"/>
      <c r="K36" s="1580">
        <v>150</v>
      </c>
      <c r="L36" s="1578"/>
      <c r="M36" s="1577">
        <v>8</v>
      </c>
      <c r="N36" s="1579"/>
      <c r="O36" s="1577">
        <v>0</v>
      </c>
      <c r="P36" s="1579"/>
      <c r="Q36" s="1580">
        <v>9</v>
      </c>
      <c r="R36" s="1579"/>
      <c r="S36" s="1580">
        <v>28</v>
      </c>
      <c r="T36" s="1579"/>
      <c r="U36" s="1580">
        <v>13</v>
      </c>
      <c r="V36" s="1579"/>
      <c r="W36" s="1580">
        <v>0</v>
      </c>
      <c r="X36" s="1579"/>
      <c r="Y36" s="1580">
        <v>13</v>
      </c>
      <c r="Z36" s="1250"/>
      <c r="AA36" s="1587">
        <f>ROUND(SUM(C36:Z36),0)</f>
        <v>2273</v>
      </c>
      <c r="AB36" s="2377"/>
      <c r="AC36" s="775"/>
    </row>
    <row r="37" spans="1:29" s="776" customFormat="1" ht="17.399999999999999">
      <c r="A37" s="1183" t="s">
        <v>655</v>
      </c>
      <c r="B37" s="1250"/>
      <c r="C37" s="1580">
        <v>0</v>
      </c>
      <c r="D37" s="1578"/>
      <c r="E37" s="1580">
        <v>0</v>
      </c>
      <c r="F37" s="1578"/>
      <c r="G37" s="1580">
        <v>0</v>
      </c>
      <c r="H37" s="1578"/>
      <c r="I37" s="1580">
        <v>0</v>
      </c>
      <c r="J37" s="1579"/>
      <c r="K37" s="1580">
        <v>0</v>
      </c>
      <c r="L37" s="1578"/>
      <c r="M37" s="1580">
        <v>0</v>
      </c>
      <c r="N37" s="1579"/>
      <c r="O37" s="1580">
        <v>0</v>
      </c>
      <c r="P37" s="1579"/>
      <c r="Q37" s="1580">
        <v>0</v>
      </c>
      <c r="R37" s="1579"/>
      <c r="S37" s="1580">
        <v>0</v>
      </c>
      <c r="T37" s="1579"/>
      <c r="U37" s="1580">
        <v>0</v>
      </c>
      <c r="V37" s="1579"/>
      <c r="W37" s="1580">
        <v>0</v>
      </c>
      <c r="X37" s="1579"/>
      <c r="Y37" s="1580">
        <v>0</v>
      </c>
      <c r="Z37" s="1250"/>
      <c r="AA37" s="1587">
        <f>ROUND(SUM(C37:Z37),0)</f>
        <v>0</v>
      </c>
      <c r="AB37" s="2377"/>
      <c r="AC37" s="775"/>
    </row>
    <row r="38" spans="1:29" s="776" customFormat="1" ht="17.399999999999999">
      <c r="A38" s="1183" t="s">
        <v>1142</v>
      </c>
      <c r="B38" s="1250"/>
      <c r="C38" s="1580">
        <v>0</v>
      </c>
      <c r="D38" s="1578"/>
      <c r="E38" s="1580">
        <v>10467</v>
      </c>
      <c r="F38" s="1583"/>
      <c r="G38" s="1580">
        <v>0</v>
      </c>
      <c r="H38" s="1583"/>
      <c r="I38" s="1580">
        <v>0</v>
      </c>
      <c r="J38" s="1586"/>
      <c r="K38" s="1580">
        <v>0</v>
      </c>
      <c r="L38" s="1583"/>
      <c r="M38" s="1577">
        <v>0</v>
      </c>
      <c r="N38" s="1586"/>
      <c r="O38" s="1580">
        <v>0</v>
      </c>
      <c r="P38" s="1586"/>
      <c r="Q38" s="1580">
        <v>0</v>
      </c>
      <c r="R38" s="1586"/>
      <c r="S38" s="1580">
        <v>0</v>
      </c>
      <c r="T38" s="1586"/>
      <c r="U38" s="1580">
        <v>0</v>
      </c>
      <c r="V38" s="1586"/>
      <c r="W38" s="1580">
        <v>0</v>
      </c>
      <c r="X38" s="1586"/>
      <c r="Y38" s="1580">
        <v>0</v>
      </c>
      <c r="Z38" s="1250"/>
      <c r="AA38" s="1587">
        <f>ROUND(SUM(C38:Z38),0)</f>
        <v>10467</v>
      </c>
      <c r="AB38" s="2377"/>
      <c r="AC38" s="775"/>
    </row>
    <row r="39" spans="1:29" s="773" customFormat="1" ht="17.399999999999999">
      <c r="A39" s="1183" t="s">
        <v>656</v>
      </c>
      <c r="B39" s="1250"/>
      <c r="C39" s="1585">
        <v>0</v>
      </c>
      <c r="D39" s="1578"/>
      <c r="E39" s="1585">
        <v>0</v>
      </c>
      <c r="F39" s="1578"/>
      <c r="G39" s="1585">
        <v>0</v>
      </c>
      <c r="H39" s="1578"/>
      <c r="I39" s="1580">
        <v>0</v>
      </c>
      <c r="J39" s="1579"/>
      <c r="K39" s="1580">
        <v>0</v>
      </c>
      <c r="L39" s="1578"/>
      <c r="M39" s="1580">
        <v>0</v>
      </c>
      <c r="N39" s="1579"/>
      <c r="O39" s="1580">
        <v>0</v>
      </c>
      <c r="P39" s="1579"/>
      <c r="Q39" s="1585">
        <v>0</v>
      </c>
      <c r="R39" s="1579"/>
      <c r="S39" s="1585">
        <v>0</v>
      </c>
      <c r="T39" s="1579"/>
      <c r="U39" s="1585">
        <v>0</v>
      </c>
      <c r="V39" s="1579"/>
      <c r="W39" s="1585">
        <v>0</v>
      </c>
      <c r="X39" s="1579"/>
      <c r="Y39" s="1585"/>
      <c r="Z39" s="1250"/>
      <c r="AA39" s="1587">
        <f>ROUND(SUM(C39:Z39),0)</f>
        <v>0</v>
      </c>
      <c r="AB39" s="2378"/>
      <c r="AC39" s="777"/>
    </row>
    <row r="40" spans="1:29" s="773" customFormat="1" ht="17.399999999999999">
      <c r="A40" s="1251" t="s">
        <v>1004</v>
      </c>
      <c r="B40" s="1250"/>
      <c r="C40" s="1589">
        <f>ROUND(SUM(C35:C39),0)</f>
        <v>0</v>
      </c>
      <c r="D40" s="1183"/>
      <c r="E40" s="1589">
        <f>ROUND(SUM(E35:E39),0)</f>
        <v>12500</v>
      </c>
      <c r="F40" s="1183"/>
      <c r="G40" s="1589">
        <f>ROUND(SUM(G35:G39),0)</f>
        <v>19</v>
      </c>
      <c r="H40" s="1183"/>
      <c r="I40" s="1589">
        <f>ROUND(SUM(I35:I39),0)</f>
        <v>0</v>
      </c>
      <c r="J40" s="1183"/>
      <c r="K40" s="1589">
        <f>ROUND(SUM(K35:K39),0)</f>
        <v>150</v>
      </c>
      <c r="L40" s="1183"/>
      <c r="M40" s="1589">
        <f>ROUND(SUM(M35:M39),0)</f>
        <v>8</v>
      </c>
      <c r="N40" s="1183"/>
      <c r="O40" s="1589">
        <f>ROUND(SUM(O35:O39),0)</f>
        <v>0</v>
      </c>
      <c r="P40" s="1183"/>
      <c r="Q40" s="1589">
        <f>ROUND(SUM(Q35:Q39),0)</f>
        <v>9</v>
      </c>
      <c r="R40" s="1183"/>
      <c r="S40" s="1589">
        <f>ROUND(SUM(S35:S39),0)</f>
        <v>28</v>
      </c>
      <c r="T40" s="1183"/>
      <c r="U40" s="1589">
        <f>ROUND(SUM(U35:U39),0)</f>
        <v>13</v>
      </c>
      <c r="V40" s="1183"/>
      <c r="W40" s="1589">
        <f>ROUND(SUM(W35:W39),0)</f>
        <v>0</v>
      </c>
      <c r="X40" s="1183"/>
      <c r="Y40" s="1589">
        <f>ROUND(SUM(Y35:Y39),0)</f>
        <v>13</v>
      </c>
      <c r="Z40" s="1183"/>
      <c r="AA40" s="1589">
        <f>ROUND(SUM(AA35:AA39),0)</f>
        <v>12740</v>
      </c>
      <c r="AB40" s="2378"/>
      <c r="AC40" s="777"/>
    </row>
    <row r="41" spans="1:29" ht="17.399999999999999">
      <c r="A41" s="1183"/>
      <c r="B41" s="1250"/>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183"/>
      <c r="AB41" s="2378"/>
      <c r="AC41" s="778"/>
    </row>
    <row r="42" spans="1:29" ht="17.399999999999999">
      <c r="A42" s="1183"/>
      <c r="B42" s="1250"/>
      <c r="C42" s="1250"/>
      <c r="D42" s="1250"/>
      <c r="E42" s="1250"/>
      <c r="F42" s="1250"/>
      <c r="G42" s="1250"/>
      <c r="H42" s="1250"/>
      <c r="I42" s="1250"/>
      <c r="J42" s="1250"/>
      <c r="K42" s="1250"/>
      <c r="L42" s="1250"/>
      <c r="M42" s="1250"/>
      <c r="N42" s="1250"/>
      <c r="O42" s="1250"/>
      <c r="P42" s="1250"/>
      <c r="Q42" s="1250"/>
      <c r="R42" s="1250"/>
      <c r="S42" s="1794"/>
      <c r="T42" s="1250"/>
      <c r="U42" s="1250"/>
      <c r="V42" s="1250"/>
      <c r="W42" s="1250"/>
      <c r="X42" s="1250"/>
      <c r="Y42" s="1250"/>
      <c r="Z42" s="1250"/>
      <c r="AA42" s="1183"/>
    </row>
    <row r="43" spans="1:29" s="780" customFormat="1" ht="18" thickBot="1">
      <c r="A43" s="1251" t="s">
        <v>1003</v>
      </c>
      <c r="B43" s="1250"/>
      <c r="C43" s="1793">
        <f>ROUND(C30+C40,0)</f>
        <v>56149</v>
      </c>
      <c r="D43" s="1183"/>
      <c r="E43" s="1793">
        <f>ROUND(E30+E40,0)</f>
        <v>30257</v>
      </c>
      <c r="F43" s="1183"/>
      <c r="G43" s="1793">
        <f>ROUND(G30+G40,0)</f>
        <v>71107</v>
      </c>
      <c r="H43" s="1183"/>
      <c r="I43" s="1793">
        <f>ROUND(I30+I40,0)</f>
        <v>44729</v>
      </c>
      <c r="J43" s="1183"/>
      <c r="K43" s="1793">
        <f>ROUND(K30+K40,0)</f>
        <v>39376</v>
      </c>
      <c r="L43" s="1183"/>
      <c r="M43" s="1793">
        <f>ROUND(M30+M40,0)</f>
        <v>36226</v>
      </c>
      <c r="N43" s="1183"/>
      <c r="O43" s="1793">
        <f>ROUND(O30+O40,0)</f>
        <v>20617</v>
      </c>
      <c r="P43" s="1183"/>
      <c r="Q43" s="1793">
        <f>ROUND(Q30+Q40,0)</f>
        <v>66622</v>
      </c>
      <c r="R43" s="1183"/>
      <c r="S43" s="1793">
        <f>ROUND(S30+S40,0)</f>
        <v>75286</v>
      </c>
      <c r="T43" s="1183"/>
      <c r="U43" s="1793">
        <f>ROUND(U30+U40,0)</f>
        <v>30266</v>
      </c>
      <c r="V43" s="1183"/>
      <c r="W43" s="1793">
        <f>ROUND(W30+W40,0)</f>
        <v>46763</v>
      </c>
      <c r="X43" s="1183"/>
      <c r="Y43" s="1793">
        <f>ROUND(Y30+Y40,0)</f>
        <v>50405</v>
      </c>
      <c r="Z43" s="1183"/>
      <c r="AA43" s="1793">
        <f>ROUND(AA30+AA40,0)</f>
        <v>567803</v>
      </c>
    </row>
    <row r="44" spans="1:29" ht="15.6" thickTop="1">
      <c r="A44" s="2379"/>
      <c r="C44" s="781"/>
      <c r="D44" s="781"/>
      <c r="E44" s="781"/>
      <c r="F44" s="781"/>
      <c r="G44" s="781"/>
      <c r="H44" s="781"/>
      <c r="I44" s="781"/>
      <c r="J44" s="781"/>
      <c r="K44" s="781"/>
      <c r="L44" s="781"/>
      <c r="M44" s="781"/>
      <c r="N44" s="781"/>
      <c r="O44" s="781"/>
      <c r="P44" s="781"/>
      <c r="Q44" s="781"/>
      <c r="R44" s="781"/>
      <c r="S44" s="781"/>
      <c r="T44" s="781"/>
      <c r="U44" s="781"/>
      <c r="V44" s="781"/>
      <c r="W44" s="781"/>
      <c r="X44" s="781"/>
      <c r="Y44" s="782"/>
      <c r="AA44" s="779"/>
    </row>
    <row r="45" spans="1:29" ht="13.8" thickBot="1"/>
    <row r="46" spans="1:29" ht="20.100000000000001" customHeight="1">
      <c r="A46" s="3440" t="s">
        <v>657</v>
      </c>
      <c r="B46" s="3441"/>
      <c r="C46" s="3441"/>
      <c r="D46" s="3441"/>
      <c r="E46" s="3441"/>
      <c r="F46" s="3441"/>
      <c r="G46" s="3441"/>
      <c r="H46" s="3441"/>
      <c r="I46" s="3441"/>
      <c r="J46" s="3441"/>
      <c r="K46" s="3441"/>
      <c r="L46" s="3441"/>
      <c r="M46" s="3441"/>
      <c r="N46" s="3441"/>
      <c r="O46" s="3441"/>
      <c r="P46" s="3441"/>
      <c r="Q46" s="3441"/>
      <c r="R46" s="3441"/>
      <c r="S46" s="3441"/>
      <c r="T46" s="3441"/>
      <c r="U46" s="3441"/>
      <c r="V46" s="3441"/>
      <c r="W46" s="3441"/>
      <c r="X46" s="3441"/>
      <c r="Y46" s="3441"/>
      <c r="Z46" s="3441"/>
      <c r="AA46" s="3442"/>
    </row>
    <row r="47" spans="1:29" ht="20.100000000000001" customHeight="1">
      <c r="A47" s="3443"/>
      <c r="B47" s="3444"/>
      <c r="C47" s="3444"/>
      <c r="D47" s="3444"/>
      <c r="E47" s="3444"/>
      <c r="F47" s="3444"/>
      <c r="G47" s="3444"/>
      <c r="H47" s="3444"/>
      <c r="I47" s="3444"/>
      <c r="J47" s="3444"/>
      <c r="K47" s="3444"/>
      <c r="L47" s="3444"/>
      <c r="M47" s="3444"/>
      <c r="N47" s="3444"/>
      <c r="O47" s="3444"/>
      <c r="P47" s="3444"/>
      <c r="Q47" s="3444"/>
      <c r="R47" s="3444"/>
      <c r="S47" s="3444"/>
      <c r="T47" s="3444"/>
      <c r="U47" s="3444"/>
      <c r="V47" s="3444"/>
      <c r="W47" s="3444"/>
      <c r="X47" s="3444"/>
      <c r="Y47" s="3444"/>
      <c r="Z47" s="3444"/>
      <c r="AA47" s="3445"/>
    </row>
    <row r="48" spans="1:29" ht="20.100000000000001" customHeight="1">
      <c r="A48" s="3443"/>
      <c r="B48" s="3444"/>
      <c r="C48" s="3444"/>
      <c r="D48" s="3444"/>
      <c r="E48" s="3444"/>
      <c r="F48" s="3444"/>
      <c r="G48" s="3444"/>
      <c r="H48" s="3444"/>
      <c r="I48" s="3444"/>
      <c r="J48" s="3444"/>
      <c r="K48" s="3444"/>
      <c r="L48" s="3444"/>
      <c r="M48" s="3444"/>
      <c r="N48" s="3444"/>
      <c r="O48" s="3444"/>
      <c r="P48" s="3444"/>
      <c r="Q48" s="3444"/>
      <c r="R48" s="3444"/>
      <c r="S48" s="3444"/>
      <c r="T48" s="3444"/>
      <c r="U48" s="3444"/>
      <c r="V48" s="3444"/>
      <c r="W48" s="3444"/>
      <c r="X48" s="3444"/>
      <c r="Y48" s="3444"/>
      <c r="Z48" s="3444"/>
      <c r="AA48" s="3445"/>
    </row>
    <row r="49" spans="1:27" ht="20.100000000000001" customHeight="1" thickBot="1">
      <c r="A49" s="3446"/>
      <c r="B49" s="3447"/>
      <c r="C49" s="3447"/>
      <c r="D49" s="3447"/>
      <c r="E49" s="3447"/>
      <c r="F49" s="3447"/>
      <c r="G49" s="3447"/>
      <c r="H49" s="3447"/>
      <c r="I49" s="3447"/>
      <c r="J49" s="3447"/>
      <c r="K49" s="3447"/>
      <c r="L49" s="3447"/>
      <c r="M49" s="3447"/>
      <c r="N49" s="3447"/>
      <c r="O49" s="3447"/>
      <c r="P49" s="3447"/>
      <c r="Q49" s="3447"/>
      <c r="R49" s="3447"/>
      <c r="S49" s="3447"/>
      <c r="T49" s="3447"/>
      <c r="U49" s="3447"/>
      <c r="V49" s="3447"/>
      <c r="W49" s="3447"/>
      <c r="X49" s="3447"/>
      <c r="Y49" s="3447"/>
      <c r="Z49" s="3447"/>
      <c r="AA49" s="3448"/>
    </row>
    <row r="51" spans="1:27" ht="14.4" customHeight="1"/>
    <row r="54" spans="1:27" ht="14.1" customHeight="1"/>
  </sheetData>
  <customSheetViews>
    <customSheetView guid="{8EE6466D-211E-4E05-9F84-CC0A1C6F79F4}" scale="68" showGridLines="0" outlineSymbols="0" fitToPage="1">
      <selection activeCell="AA14" sqref="AA14:AA43"/>
      <pageMargins left="0.5" right="0.42708333300000001" top="0.46666666666666701" bottom="0.6" header="0" footer="0.25"/>
      <pageSetup scale="47" orientation="landscape" r:id="rId1"/>
      <headerFooter scaleWithDoc="0" alignWithMargins="0">
        <oddFooter>&amp;C&amp;8 54</oddFooter>
      </headerFooter>
    </customSheetView>
  </customSheetViews>
  <mergeCells count="1">
    <mergeCell ref="A46:AA49"/>
  </mergeCells>
  <pageMargins left="0.5" right="0.42708333300000001" top="0.46666666666666701" bottom="0.6" header="0" footer="0.25"/>
  <pageSetup scale="46" firstPageNumber="52" orientation="landscape" useFirstPageNumber="1" r:id="rId2"/>
  <headerFooter scaleWithDoc="0" alignWithMargins="0">
    <oddFooter>&amp;C&amp;8&amp;P</oddFooter>
  </headerFooter>
  <ignoredErrors>
    <ignoredError sqref="AA14:AA27 AA31:AA43 AA29" unlockedFormula="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P290"/>
  <sheetViews>
    <sheetView zoomScale="60" zoomScaleNormal="60" workbookViewId="0"/>
  </sheetViews>
  <sheetFormatPr defaultRowHeight="14.4"/>
  <cols>
    <col min="1" max="1" width="8.90625" style="2357" customWidth="1"/>
    <col min="2" max="2" width="10.1796875" style="2357" customWidth="1"/>
    <col min="3" max="3" width="2.1796875" style="2368" customWidth="1"/>
    <col min="4" max="4" width="50.453125" style="2357" customWidth="1"/>
    <col min="5" max="5" width="8.90625" style="2368" customWidth="1"/>
    <col min="6" max="6" width="2.08984375" style="1312" customWidth="1"/>
    <col min="7" max="7" width="23.90625" style="3295" customWidth="1"/>
    <col min="8" max="8" width="2.08984375" style="2368" customWidth="1"/>
    <col min="9" max="9" width="23.90625" style="2357" customWidth="1"/>
    <col min="10" max="10" width="2.08984375" style="2368" customWidth="1"/>
    <col min="11" max="11" width="23.90625" style="2357" customWidth="1"/>
    <col min="12" max="12" width="2.08984375" style="2368" customWidth="1"/>
    <col min="13" max="13" width="20.1796875" style="2357" customWidth="1"/>
    <col min="14" max="14" width="2.08984375" style="2368" customWidth="1"/>
    <col min="15" max="15" width="23.90625" style="2357" customWidth="1"/>
    <col min="16" max="16" width="6" style="2357" customWidth="1"/>
    <col min="17" max="255" width="8.90625" style="2357"/>
    <col min="256" max="257" width="8.90625" style="2357" customWidth="1"/>
    <col min="258" max="258" width="10.1796875" style="2357" customWidth="1"/>
    <col min="259" max="259" width="2.1796875" style="2357" customWidth="1"/>
    <col min="260" max="260" width="50.453125" style="2357" customWidth="1"/>
    <col min="261" max="261" width="8.90625" style="2357"/>
    <col min="262" max="262" width="2.08984375" style="2357" customWidth="1"/>
    <col min="263" max="263" width="23.90625" style="2357" customWidth="1"/>
    <col min="264" max="264" width="2.08984375" style="2357" customWidth="1"/>
    <col min="265" max="265" width="23.90625" style="2357" customWidth="1"/>
    <col min="266" max="266" width="2.08984375" style="2357" customWidth="1"/>
    <col min="267" max="267" width="23.90625" style="2357" customWidth="1"/>
    <col min="268" max="268" width="2.08984375" style="2357" customWidth="1"/>
    <col min="269" max="269" width="23.90625" style="2357" customWidth="1"/>
    <col min="270" max="270" width="2.08984375" style="2357" customWidth="1"/>
    <col min="271" max="271" width="23.90625" style="2357" customWidth="1"/>
    <col min="272" max="272" width="2.81640625" style="2357" bestFit="1" customWidth="1"/>
    <col min="273" max="511" width="8.90625" style="2357"/>
    <col min="512" max="513" width="8.90625" style="2357" customWidth="1"/>
    <col min="514" max="514" width="10.1796875" style="2357" customWidth="1"/>
    <col min="515" max="515" width="2.1796875" style="2357" customWidth="1"/>
    <col min="516" max="516" width="50.453125" style="2357" customWidth="1"/>
    <col min="517" max="517" width="8.90625" style="2357"/>
    <col min="518" max="518" width="2.08984375" style="2357" customWidth="1"/>
    <col min="519" max="519" width="23.90625" style="2357" customWidth="1"/>
    <col min="520" max="520" width="2.08984375" style="2357" customWidth="1"/>
    <col min="521" max="521" width="23.90625" style="2357" customWidth="1"/>
    <col min="522" max="522" width="2.08984375" style="2357" customWidth="1"/>
    <col min="523" max="523" width="23.90625" style="2357" customWidth="1"/>
    <col min="524" max="524" width="2.08984375" style="2357" customWidth="1"/>
    <col min="525" max="525" width="23.90625" style="2357" customWidth="1"/>
    <col min="526" max="526" width="2.08984375" style="2357" customWidth="1"/>
    <col min="527" max="527" width="23.90625" style="2357" customWidth="1"/>
    <col min="528" max="528" width="2.81640625" style="2357" bestFit="1" customWidth="1"/>
    <col min="529" max="767" width="8.90625" style="2357"/>
    <col min="768" max="769" width="8.90625" style="2357" customWidth="1"/>
    <col min="770" max="770" width="10.1796875" style="2357" customWidth="1"/>
    <col min="771" max="771" width="2.1796875" style="2357" customWidth="1"/>
    <col min="772" max="772" width="50.453125" style="2357" customWidth="1"/>
    <col min="773" max="773" width="8.90625" style="2357"/>
    <col min="774" max="774" width="2.08984375" style="2357" customWidth="1"/>
    <col min="775" max="775" width="23.90625" style="2357" customWidth="1"/>
    <col min="776" max="776" width="2.08984375" style="2357" customWidth="1"/>
    <col min="777" max="777" width="23.90625" style="2357" customWidth="1"/>
    <col min="778" max="778" width="2.08984375" style="2357" customWidth="1"/>
    <col min="779" max="779" width="23.90625" style="2357" customWidth="1"/>
    <col min="780" max="780" width="2.08984375" style="2357" customWidth="1"/>
    <col min="781" max="781" width="23.90625" style="2357" customWidth="1"/>
    <col min="782" max="782" width="2.08984375" style="2357" customWidth="1"/>
    <col min="783" max="783" width="23.90625" style="2357" customWidth="1"/>
    <col min="784" max="784" width="2.81640625" style="2357" bestFit="1" customWidth="1"/>
    <col min="785" max="1023" width="8.90625" style="2357"/>
    <col min="1024" max="1025" width="8.90625" style="2357" customWidth="1"/>
    <col min="1026" max="1026" width="10.1796875" style="2357" customWidth="1"/>
    <col min="1027" max="1027" width="2.1796875" style="2357" customWidth="1"/>
    <col min="1028" max="1028" width="50.453125" style="2357" customWidth="1"/>
    <col min="1029" max="1029" width="8.90625" style="2357"/>
    <col min="1030" max="1030" width="2.08984375" style="2357" customWidth="1"/>
    <col min="1031" max="1031" width="23.90625" style="2357" customWidth="1"/>
    <col min="1032" max="1032" width="2.08984375" style="2357" customWidth="1"/>
    <col min="1033" max="1033" width="23.90625" style="2357" customWidth="1"/>
    <col min="1034" max="1034" width="2.08984375" style="2357" customWidth="1"/>
    <col min="1035" max="1035" width="23.90625" style="2357" customWidth="1"/>
    <col min="1036" max="1036" width="2.08984375" style="2357" customWidth="1"/>
    <col min="1037" max="1037" width="23.90625" style="2357" customWidth="1"/>
    <col min="1038" max="1038" width="2.08984375" style="2357" customWidth="1"/>
    <col min="1039" max="1039" width="23.90625" style="2357" customWidth="1"/>
    <col min="1040" max="1040" width="2.81640625" style="2357" bestFit="1" customWidth="1"/>
    <col min="1041" max="1279" width="8.90625" style="2357"/>
    <col min="1280" max="1281" width="8.90625" style="2357" customWidth="1"/>
    <col min="1282" max="1282" width="10.1796875" style="2357" customWidth="1"/>
    <col min="1283" max="1283" width="2.1796875" style="2357" customWidth="1"/>
    <col min="1284" max="1284" width="50.453125" style="2357" customWidth="1"/>
    <col min="1285" max="1285" width="8.90625" style="2357"/>
    <col min="1286" max="1286" width="2.08984375" style="2357" customWidth="1"/>
    <col min="1287" max="1287" width="23.90625" style="2357" customWidth="1"/>
    <col min="1288" max="1288" width="2.08984375" style="2357" customWidth="1"/>
    <col min="1289" max="1289" width="23.90625" style="2357" customWidth="1"/>
    <col min="1290" max="1290" width="2.08984375" style="2357" customWidth="1"/>
    <col min="1291" max="1291" width="23.90625" style="2357" customWidth="1"/>
    <col min="1292" max="1292" width="2.08984375" style="2357" customWidth="1"/>
    <col min="1293" max="1293" width="23.90625" style="2357" customWidth="1"/>
    <col min="1294" max="1294" width="2.08984375" style="2357" customWidth="1"/>
    <col min="1295" max="1295" width="23.90625" style="2357" customWidth="1"/>
    <col min="1296" max="1296" width="2.81640625" style="2357" bestFit="1" customWidth="1"/>
    <col min="1297" max="1535" width="8.90625" style="2357"/>
    <col min="1536" max="1537" width="8.90625" style="2357" customWidth="1"/>
    <col min="1538" max="1538" width="10.1796875" style="2357" customWidth="1"/>
    <col min="1539" max="1539" width="2.1796875" style="2357" customWidth="1"/>
    <col min="1540" max="1540" width="50.453125" style="2357" customWidth="1"/>
    <col min="1541" max="1541" width="8.90625" style="2357"/>
    <col min="1542" max="1542" width="2.08984375" style="2357" customWidth="1"/>
    <col min="1543" max="1543" width="23.90625" style="2357" customWidth="1"/>
    <col min="1544" max="1544" width="2.08984375" style="2357" customWidth="1"/>
    <col min="1545" max="1545" width="23.90625" style="2357" customWidth="1"/>
    <col min="1546" max="1546" width="2.08984375" style="2357" customWidth="1"/>
    <col min="1547" max="1547" width="23.90625" style="2357" customWidth="1"/>
    <col min="1548" max="1548" width="2.08984375" style="2357" customWidth="1"/>
    <col min="1549" max="1549" width="23.90625" style="2357" customWidth="1"/>
    <col min="1550" max="1550" width="2.08984375" style="2357" customWidth="1"/>
    <col min="1551" max="1551" width="23.90625" style="2357" customWidth="1"/>
    <col min="1552" max="1552" width="2.81640625" style="2357" bestFit="1" customWidth="1"/>
    <col min="1553" max="1791" width="8.90625" style="2357"/>
    <col min="1792" max="1793" width="8.90625" style="2357" customWidth="1"/>
    <col min="1794" max="1794" width="10.1796875" style="2357" customWidth="1"/>
    <col min="1795" max="1795" width="2.1796875" style="2357" customWidth="1"/>
    <col min="1796" max="1796" width="50.453125" style="2357" customWidth="1"/>
    <col min="1797" max="1797" width="8.90625" style="2357"/>
    <col min="1798" max="1798" width="2.08984375" style="2357" customWidth="1"/>
    <col min="1799" max="1799" width="23.90625" style="2357" customWidth="1"/>
    <col min="1800" max="1800" width="2.08984375" style="2357" customWidth="1"/>
    <col min="1801" max="1801" width="23.90625" style="2357" customWidth="1"/>
    <col min="1802" max="1802" width="2.08984375" style="2357" customWidth="1"/>
    <col min="1803" max="1803" width="23.90625" style="2357" customWidth="1"/>
    <col min="1804" max="1804" width="2.08984375" style="2357" customWidth="1"/>
    <col min="1805" max="1805" width="23.90625" style="2357" customWidth="1"/>
    <col min="1806" max="1806" width="2.08984375" style="2357" customWidth="1"/>
    <col min="1807" max="1807" width="23.90625" style="2357" customWidth="1"/>
    <col min="1808" max="1808" width="2.81640625" style="2357" bestFit="1" customWidth="1"/>
    <col min="1809" max="2047" width="8.90625" style="2357"/>
    <col min="2048" max="2049" width="8.90625" style="2357" customWidth="1"/>
    <col min="2050" max="2050" width="10.1796875" style="2357" customWidth="1"/>
    <col min="2051" max="2051" width="2.1796875" style="2357" customWidth="1"/>
    <col min="2052" max="2052" width="50.453125" style="2357" customWidth="1"/>
    <col min="2053" max="2053" width="8.90625" style="2357"/>
    <col min="2054" max="2054" width="2.08984375" style="2357" customWidth="1"/>
    <col min="2055" max="2055" width="23.90625" style="2357" customWidth="1"/>
    <col min="2056" max="2056" width="2.08984375" style="2357" customWidth="1"/>
    <col min="2057" max="2057" width="23.90625" style="2357" customWidth="1"/>
    <col min="2058" max="2058" width="2.08984375" style="2357" customWidth="1"/>
    <col min="2059" max="2059" width="23.90625" style="2357" customWidth="1"/>
    <col min="2060" max="2060" width="2.08984375" style="2357" customWidth="1"/>
    <col min="2061" max="2061" width="23.90625" style="2357" customWidth="1"/>
    <col min="2062" max="2062" width="2.08984375" style="2357" customWidth="1"/>
    <col min="2063" max="2063" width="23.90625" style="2357" customWidth="1"/>
    <col min="2064" max="2064" width="2.81640625" style="2357" bestFit="1" customWidth="1"/>
    <col min="2065" max="2303" width="8.90625" style="2357"/>
    <col min="2304" max="2305" width="8.90625" style="2357" customWidth="1"/>
    <col min="2306" max="2306" width="10.1796875" style="2357" customWidth="1"/>
    <col min="2307" max="2307" width="2.1796875" style="2357" customWidth="1"/>
    <col min="2308" max="2308" width="50.453125" style="2357" customWidth="1"/>
    <col min="2309" max="2309" width="8.90625" style="2357"/>
    <col min="2310" max="2310" width="2.08984375" style="2357" customWidth="1"/>
    <col min="2311" max="2311" width="23.90625" style="2357" customWidth="1"/>
    <col min="2312" max="2312" width="2.08984375" style="2357" customWidth="1"/>
    <col min="2313" max="2313" width="23.90625" style="2357" customWidth="1"/>
    <col min="2314" max="2314" width="2.08984375" style="2357" customWidth="1"/>
    <col min="2315" max="2315" width="23.90625" style="2357" customWidth="1"/>
    <col min="2316" max="2316" width="2.08984375" style="2357" customWidth="1"/>
    <col min="2317" max="2317" width="23.90625" style="2357" customWidth="1"/>
    <col min="2318" max="2318" width="2.08984375" style="2357" customWidth="1"/>
    <col min="2319" max="2319" width="23.90625" style="2357" customWidth="1"/>
    <col min="2320" max="2320" width="2.81640625" style="2357" bestFit="1" customWidth="1"/>
    <col min="2321" max="2559" width="8.90625" style="2357"/>
    <col min="2560" max="2561" width="8.90625" style="2357" customWidth="1"/>
    <col min="2562" max="2562" width="10.1796875" style="2357" customWidth="1"/>
    <col min="2563" max="2563" width="2.1796875" style="2357" customWidth="1"/>
    <col min="2564" max="2564" width="50.453125" style="2357" customWidth="1"/>
    <col min="2565" max="2565" width="8.90625" style="2357"/>
    <col min="2566" max="2566" width="2.08984375" style="2357" customWidth="1"/>
    <col min="2567" max="2567" width="23.90625" style="2357" customWidth="1"/>
    <col min="2568" max="2568" width="2.08984375" style="2357" customWidth="1"/>
    <col min="2569" max="2569" width="23.90625" style="2357" customWidth="1"/>
    <col min="2570" max="2570" width="2.08984375" style="2357" customWidth="1"/>
    <col min="2571" max="2571" width="23.90625" style="2357" customWidth="1"/>
    <col min="2572" max="2572" width="2.08984375" style="2357" customWidth="1"/>
    <col min="2573" max="2573" width="23.90625" style="2357" customWidth="1"/>
    <col min="2574" max="2574" width="2.08984375" style="2357" customWidth="1"/>
    <col min="2575" max="2575" width="23.90625" style="2357" customWidth="1"/>
    <col min="2576" max="2576" width="2.81640625" style="2357" bestFit="1" customWidth="1"/>
    <col min="2577" max="2815" width="8.90625" style="2357"/>
    <col min="2816" max="2817" width="8.90625" style="2357" customWidth="1"/>
    <col min="2818" max="2818" width="10.1796875" style="2357" customWidth="1"/>
    <col min="2819" max="2819" width="2.1796875" style="2357" customWidth="1"/>
    <col min="2820" max="2820" width="50.453125" style="2357" customWidth="1"/>
    <col min="2821" max="2821" width="8.90625" style="2357"/>
    <col min="2822" max="2822" width="2.08984375" style="2357" customWidth="1"/>
    <col min="2823" max="2823" width="23.90625" style="2357" customWidth="1"/>
    <col min="2824" max="2824" width="2.08984375" style="2357" customWidth="1"/>
    <col min="2825" max="2825" width="23.90625" style="2357" customWidth="1"/>
    <col min="2826" max="2826" width="2.08984375" style="2357" customWidth="1"/>
    <col min="2827" max="2827" width="23.90625" style="2357" customWidth="1"/>
    <col min="2828" max="2828" width="2.08984375" style="2357" customWidth="1"/>
    <col min="2829" max="2829" width="23.90625" style="2357" customWidth="1"/>
    <col min="2830" max="2830" width="2.08984375" style="2357" customWidth="1"/>
    <col min="2831" max="2831" width="23.90625" style="2357" customWidth="1"/>
    <col min="2832" max="2832" width="2.81640625" style="2357" bestFit="1" customWidth="1"/>
    <col min="2833" max="3071" width="8.90625" style="2357"/>
    <col min="3072" max="3073" width="8.90625" style="2357" customWidth="1"/>
    <col min="3074" max="3074" width="10.1796875" style="2357" customWidth="1"/>
    <col min="3075" max="3075" width="2.1796875" style="2357" customWidth="1"/>
    <col min="3076" max="3076" width="50.453125" style="2357" customWidth="1"/>
    <col min="3077" max="3077" width="8.90625" style="2357"/>
    <col min="3078" max="3078" width="2.08984375" style="2357" customWidth="1"/>
    <col min="3079" max="3079" width="23.90625" style="2357" customWidth="1"/>
    <col min="3080" max="3080" width="2.08984375" style="2357" customWidth="1"/>
    <col min="3081" max="3081" width="23.90625" style="2357" customWidth="1"/>
    <col min="3082" max="3082" width="2.08984375" style="2357" customWidth="1"/>
    <col min="3083" max="3083" width="23.90625" style="2357" customWidth="1"/>
    <col min="3084" max="3084" width="2.08984375" style="2357" customWidth="1"/>
    <col min="3085" max="3085" width="23.90625" style="2357" customWidth="1"/>
    <col min="3086" max="3086" width="2.08984375" style="2357" customWidth="1"/>
    <col min="3087" max="3087" width="23.90625" style="2357" customWidth="1"/>
    <col min="3088" max="3088" width="2.81640625" style="2357" bestFit="1" customWidth="1"/>
    <col min="3089" max="3327" width="8.90625" style="2357"/>
    <col min="3328" max="3329" width="8.90625" style="2357" customWidth="1"/>
    <col min="3330" max="3330" width="10.1796875" style="2357" customWidth="1"/>
    <col min="3331" max="3331" width="2.1796875" style="2357" customWidth="1"/>
    <col min="3332" max="3332" width="50.453125" style="2357" customWidth="1"/>
    <col min="3333" max="3333" width="8.90625" style="2357"/>
    <col min="3334" max="3334" width="2.08984375" style="2357" customWidth="1"/>
    <col min="3335" max="3335" width="23.90625" style="2357" customWidth="1"/>
    <col min="3336" max="3336" width="2.08984375" style="2357" customWidth="1"/>
    <col min="3337" max="3337" width="23.90625" style="2357" customWidth="1"/>
    <col min="3338" max="3338" width="2.08984375" style="2357" customWidth="1"/>
    <col min="3339" max="3339" width="23.90625" style="2357" customWidth="1"/>
    <col min="3340" max="3340" width="2.08984375" style="2357" customWidth="1"/>
    <col min="3341" max="3341" width="23.90625" style="2357" customWidth="1"/>
    <col min="3342" max="3342" width="2.08984375" style="2357" customWidth="1"/>
    <col min="3343" max="3343" width="23.90625" style="2357" customWidth="1"/>
    <col min="3344" max="3344" width="2.81640625" style="2357" bestFit="1" customWidth="1"/>
    <col min="3345" max="3583" width="8.90625" style="2357"/>
    <col min="3584" max="3585" width="8.90625" style="2357" customWidth="1"/>
    <col min="3586" max="3586" width="10.1796875" style="2357" customWidth="1"/>
    <col min="3587" max="3587" width="2.1796875" style="2357" customWidth="1"/>
    <col min="3588" max="3588" width="50.453125" style="2357" customWidth="1"/>
    <col min="3589" max="3589" width="8.90625" style="2357"/>
    <col min="3590" max="3590" width="2.08984375" style="2357" customWidth="1"/>
    <col min="3591" max="3591" width="23.90625" style="2357" customWidth="1"/>
    <col min="3592" max="3592" width="2.08984375" style="2357" customWidth="1"/>
    <col min="3593" max="3593" width="23.90625" style="2357" customWidth="1"/>
    <col min="3594" max="3594" width="2.08984375" style="2357" customWidth="1"/>
    <col min="3595" max="3595" width="23.90625" style="2357" customWidth="1"/>
    <col min="3596" max="3596" width="2.08984375" style="2357" customWidth="1"/>
    <col min="3597" max="3597" width="23.90625" style="2357" customWidth="1"/>
    <col min="3598" max="3598" width="2.08984375" style="2357" customWidth="1"/>
    <col min="3599" max="3599" width="23.90625" style="2357" customWidth="1"/>
    <col min="3600" max="3600" width="2.81640625" style="2357" bestFit="1" customWidth="1"/>
    <col min="3601" max="3839" width="8.90625" style="2357"/>
    <col min="3840" max="3841" width="8.90625" style="2357" customWidth="1"/>
    <col min="3842" max="3842" width="10.1796875" style="2357" customWidth="1"/>
    <col min="3843" max="3843" width="2.1796875" style="2357" customWidth="1"/>
    <col min="3844" max="3844" width="50.453125" style="2357" customWidth="1"/>
    <col min="3845" max="3845" width="8.90625" style="2357"/>
    <col min="3846" max="3846" width="2.08984375" style="2357" customWidth="1"/>
    <col min="3847" max="3847" width="23.90625" style="2357" customWidth="1"/>
    <col min="3848" max="3848" width="2.08984375" style="2357" customWidth="1"/>
    <col min="3849" max="3849" width="23.90625" style="2357" customWidth="1"/>
    <col min="3850" max="3850" width="2.08984375" style="2357" customWidth="1"/>
    <col min="3851" max="3851" width="23.90625" style="2357" customWidth="1"/>
    <col min="3852" max="3852" width="2.08984375" style="2357" customWidth="1"/>
    <col min="3853" max="3853" width="23.90625" style="2357" customWidth="1"/>
    <col min="3854" max="3854" width="2.08984375" style="2357" customWidth="1"/>
    <col min="3855" max="3855" width="23.90625" style="2357" customWidth="1"/>
    <col min="3856" max="3856" width="2.81640625" style="2357" bestFit="1" customWidth="1"/>
    <col min="3857" max="4095" width="8.90625" style="2357"/>
    <col min="4096" max="4097" width="8.90625" style="2357" customWidth="1"/>
    <col min="4098" max="4098" width="10.1796875" style="2357" customWidth="1"/>
    <col min="4099" max="4099" width="2.1796875" style="2357" customWidth="1"/>
    <col min="4100" max="4100" width="50.453125" style="2357" customWidth="1"/>
    <col min="4101" max="4101" width="8.90625" style="2357"/>
    <col min="4102" max="4102" width="2.08984375" style="2357" customWidth="1"/>
    <col min="4103" max="4103" width="23.90625" style="2357" customWidth="1"/>
    <col min="4104" max="4104" width="2.08984375" style="2357" customWidth="1"/>
    <col min="4105" max="4105" width="23.90625" style="2357" customWidth="1"/>
    <col min="4106" max="4106" width="2.08984375" style="2357" customWidth="1"/>
    <col min="4107" max="4107" width="23.90625" style="2357" customWidth="1"/>
    <col min="4108" max="4108" width="2.08984375" style="2357" customWidth="1"/>
    <col min="4109" max="4109" width="23.90625" style="2357" customWidth="1"/>
    <col min="4110" max="4110" width="2.08984375" style="2357" customWidth="1"/>
    <col min="4111" max="4111" width="23.90625" style="2357" customWidth="1"/>
    <col min="4112" max="4112" width="2.81640625" style="2357" bestFit="1" customWidth="1"/>
    <col min="4113" max="4351" width="8.90625" style="2357"/>
    <col min="4352" max="4353" width="8.90625" style="2357" customWidth="1"/>
    <col min="4354" max="4354" width="10.1796875" style="2357" customWidth="1"/>
    <col min="4355" max="4355" width="2.1796875" style="2357" customWidth="1"/>
    <col min="4356" max="4356" width="50.453125" style="2357" customWidth="1"/>
    <col min="4357" max="4357" width="8.90625" style="2357"/>
    <col min="4358" max="4358" width="2.08984375" style="2357" customWidth="1"/>
    <col min="4359" max="4359" width="23.90625" style="2357" customWidth="1"/>
    <col min="4360" max="4360" width="2.08984375" style="2357" customWidth="1"/>
    <col min="4361" max="4361" width="23.90625" style="2357" customWidth="1"/>
    <col min="4362" max="4362" width="2.08984375" style="2357" customWidth="1"/>
    <col min="4363" max="4363" width="23.90625" style="2357" customWidth="1"/>
    <col min="4364" max="4364" width="2.08984375" style="2357" customWidth="1"/>
    <col min="4365" max="4365" width="23.90625" style="2357" customWidth="1"/>
    <col min="4366" max="4366" width="2.08984375" style="2357" customWidth="1"/>
    <col min="4367" max="4367" width="23.90625" style="2357" customWidth="1"/>
    <col min="4368" max="4368" width="2.81640625" style="2357" bestFit="1" customWidth="1"/>
    <col min="4369" max="4607" width="8.90625" style="2357"/>
    <col min="4608" max="4609" width="8.90625" style="2357" customWidth="1"/>
    <col min="4610" max="4610" width="10.1796875" style="2357" customWidth="1"/>
    <col min="4611" max="4611" width="2.1796875" style="2357" customWidth="1"/>
    <col min="4612" max="4612" width="50.453125" style="2357" customWidth="1"/>
    <col min="4613" max="4613" width="8.90625" style="2357"/>
    <col min="4614" max="4614" width="2.08984375" style="2357" customWidth="1"/>
    <col min="4615" max="4615" width="23.90625" style="2357" customWidth="1"/>
    <col min="4616" max="4616" width="2.08984375" style="2357" customWidth="1"/>
    <col min="4617" max="4617" width="23.90625" style="2357" customWidth="1"/>
    <col min="4618" max="4618" width="2.08984375" style="2357" customWidth="1"/>
    <col min="4619" max="4619" width="23.90625" style="2357" customWidth="1"/>
    <col min="4620" max="4620" width="2.08984375" style="2357" customWidth="1"/>
    <col min="4621" max="4621" width="23.90625" style="2357" customWidth="1"/>
    <col min="4622" max="4622" width="2.08984375" style="2357" customWidth="1"/>
    <col min="4623" max="4623" width="23.90625" style="2357" customWidth="1"/>
    <col min="4624" max="4624" width="2.81640625" style="2357" bestFit="1" customWidth="1"/>
    <col min="4625" max="4863" width="8.90625" style="2357"/>
    <col min="4864" max="4865" width="8.90625" style="2357" customWidth="1"/>
    <col min="4866" max="4866" width="10.1796875" style="2357" customWidth="1"/>
    <col min="4867" max="4867" width="2.1796875" style="2357" customWidth="1"/>
    <col min="4868" max="4868" width="50.453125" style="2357" customWidth="1"/>
    <col min="4869" max="4869" width="8.90625" style="2357"/>
    <col min="4870" max="4870" width="2.08984375" style="2357" customWidth="1"/>
    <col min="4871" max="4871" width="23.90625" style="2357" customWidth="1"/>
    <col min="4872" max="4872" width="2.08984375" style="2357" customWidth="1"/>
    <col min="4873" max="4873" width="23.90625" style="2357" customWidth="1"/>
    <col min="4874" max="4874" width="2.08984375" style="2357" customWidth="1"/>
    <col min="4875" max="4875" width="23.90625" style="2357" customWidth="1"/>
    <col min="4876" max="4876" width="2.08984375" style="2357" customWidth="1"/>
    <col min="4877" max="4877" width="23.90625" style="2357" customWidth="1"/>
    <col min="4878" max="4878" width="2.08984375" style="2357" customWidth="1"/>
    <col min="4879" max="4879" width="23.90625" style="2357" customWidth="1"/>
    <col min="4880" max="4880" width="2.81640625" style="2357" bestFit="1" customWidth="1"/>
    <col min="4881" max="5119" width="8.90625" style="2357"/>
    <col min="5120" max="5121" width="8.90625" style="2357" customWidth="1"/>
    <col min="5122" max="5122" width="10.1796875" style="2357" customWidth="1"/>
    <col min="5123" max="5123" width="2.1796875" style="2357" customWidth="1"/>
    <col min="5124" max="5124" width="50.453125" style="2357" customWidth="1"/>
    <col min="5125" max="5125" width="8.90625" style="2357"/>
    <col min="5126" max="5126" width="2.08984375" style="2357" customWidth="1"/>
    <col min="5127" max="5127" width="23.90625" style="2357" customWidth="1"/>
    <col min="5128" max="5128" width="2.08984375" style="2357" customWidth="1"/>
    <col min="5129" max="5129" width="23.90625" style="2357" customWidth="1"/>
    <col min="5130" max="5130" width="2.08984375" style="2357" customWidth="1"/>
    <col min="5131" max="5131" width="23.90625" style="2357" customWidth="1"/>
    <col min="5132" max="5132" width="2.08984375" style="2357" customWidth="1"/>
    <col min="5133" max="5133" width="23.90625" style="2357" customWidth="1"/>
    <col min="5134" max="5134" width="2.08984375" style="2357" customWidth="1"/>
    <col min="5135" max="5135" width="23.90625" style="2357" customWidth="1"/>
    <col min="5136" max="5136" width="2.81640625" style="2357" bestFit="1" customWidth="1"/>
    <col min="5137" max="5375" width="8.90625" style="2357"/>
    <col min="5376" max="5377" width="8.90625" style="2357" customWidth="1"/>
    <col min="5378" max="5378" width="10.1796875" style="2357" customWidth="1"/>
    <col min="5379" max="5379" width="2.1796875" style="2357" customWidth="1"/>
    <col min="5380" max="5380" width="50.453125" style="2357" customWidth="1"/>
    <col min="5381" max="5381" width="8.90625" style="2357"/>
    <col min="5382" max="5382" width="2.08984375" style="2357" customWidth="1"/>
    <col min="5383" max="5383" width="23.90625" style="2357" customWidth="1"/>
    <col min="5384" max="5384" width="2.08984375" style="2357" customWidth="1"/>
    <col min="5385" max="5385" width="23.90625" style="2357" customWidth="1"/>
    <col min="5386" max="5386" width="2.08984375" style="2357" customWidth="1"/>
    <col min="5387" max="5387" width="23.90625" style="2357" customWidth="1"/>
    <col min="5388" max="5388" width="2.08984375" style="2357" customWidth="1"/>
    <col min="5389" max="5389" width="23.90625" style="2357" customWidth="1"/>
    <col min="5390" max="5390" width="2.08984375" style="2357" customWidth="1"/>
    <col min="5391" max="5391" width="23.90625" style="2357" customWidth="1"/>
    <col min="5392" max="5392" width="2.81640625" style="2357" bestFit="1" customWidth="1"/>
    <col min="5393" max="5631" width="8.90625" style="2357"/>
    <col min="5632" max="5633" width="8.90625" style="2357" customWidth="1"/>
    <col min="5634" max="5634" width="10.1796875" style="2357" customWidth="1"/>
    <col min="5635" max="5635" width="2.1796875" style="2357" customWidth="1"/>
    <col min="5636" max="5636" width="50.453125" style="2357" customWidth="1"/>
    <col min="5637" max="5637" width="8.90625" style="2357"/>
    <col min="5638" max="5638" width="2.08984375" style="2357" customWidth="1"/>
    <col min="5639" max="5639" width="23.90625" style="2357" customWidth="1"/>
    <col min="5640" max="5640" width="2.08984375" style="2357" customWidth="1"/>
    <col min="5641" max="5641" width="23.90625" style="2357" customWidth="1"/>
    <col min="5642" max="5642" width="2.08984375" style="2357" customWidth="1"/>
    <col min="5643" max="5643" width="23.90625" style="2357" customWidth="1"/>
    <col min="5644" max="5644" width="2.08984375" style="2357" customWidth="1"/>
    <col min="5645" max="5645" width="23.90625" style="2357" customWidth="1"/>
    <col min="5646" max="5646" width="2.08984375" style="2357" customWidth="1"/>
    <col min="5647" max="5647" width="23.90625" style="2357" customWidth="1"/>
    <col min="5648" max="5648" width="2.81640625" style="2357" bestFit="1" customWidth="1"/>
    <col min="5649" max="5887" width="8.90625" style="2357"/>
    <col min="5888" max="5889" width="8.90625" style="2357" customWidth="1"/>
    <col min="5890" max="5890" width="10.1796875" style="2357" customWidth="1"/>
    <col min="5891" max="5891" width="2.1796875" style="2357" customWidth="1"/>
    <col min="5892" max="5892" width="50.453125" style="2357" customWidth="1"/>
    <col min="5893" max="5893" width="8.90625" style="2357"/>
    <col min="5894" max="5894" width="2.08984375" style="2357" customWidth="1"/>
    <col min="5895" max="5895" width="23.90625" style="2357" customWidth="1"/>
    <col min="5896" max="5896" width="2.08984375" style="2357" customWidth="1"/>
    <col min="5897" max="5897" width="23.90625" style="2357" customWidth="1"/>
    <col min="5898" max="5898" width="2.08984375" style="2357" customWidth="1"/>
    <col min="5899" max="5899" width="23.90625" style="2357" customWidth="1"/>
    <col min="5900" max="5900" width="2.08984375" style="2357" customWidth="1"/>
    <col min="5901" max="5901" width="23.90625" style="2357" customWidth="1"/>
    <col min="5902" max="5902" width="2.08984375" style="2357" customWidth="1"/>
    <col min="5903" max="5903" width="23.90625" style="2357" customWidth="1"/>
    <col min="5904" max="5904" width="2.81640625" style="2357" bestFit="1" customWidth="1"/>
    <col min="5905" max="6143" width="8.90625" style="2357"/>
    <col min="6144" max="6145" width="8.90625" style="2357" customWidth="1"/>
    <col min="6146" max="6146" width="10.1796875" style="2357" customWidth="1"/>
    <col min="6147" max="6147" width="2.1796875" style="2357" customWidth="1"/>
    <col min="6148" max="6148" width="50.453125" style="2357" customWidth="1"/>
    <col min="6149" max="6149" width="8.90625" style="2357"/>
    <col min="6150" max="6150" width="2.08984375" style="2357" customWidth="1"/>
    <col min="6151" max="6151" width="23.90625" style="2357" customWidth="1"/>
    <col min="6152" max="6152" width="2.08984375" style="2357" customWidth="1"/>
    <col min="6153" max="6153" width="23.90625" style="2357" customWidth="1"/>
    <col min="6154" max="6154" width="2.08984375" style="2357" customWidth="1"/>
    <col min="6155" max="6155" width="23.90625" style="2357" customWidth="1"/>
    <col min="6156" max="6156" width="2.08984375" style="2357" customWidth="1"/>
    <col min="6157" max="6157" width="23.90625" style="2357" customWidth="1"/>
    <col min="6158" max="6158" width="2.08984375" style="2357" customWidth="1"/>
    <col min="6159" max="6159" width="23.90625" style="2357" customWidth="1"/>
    <col min="6160" max="6160" width="2.81640625" style="2357" bestFit="1" customWidth="1"/>
    <col min="6161" max="6399" width="8.90625" style="2357"/>
    <col min="6400" max="6401" width="8.90625" style="2357" customWidth="1"/>
    <col min="6402" max="6402" width="10.1796875" style="2357" customWidth="1"/>
    <col min="6403" max="6403" width="2.1796875" style="2357" customWidth="1"/>
    <col min="6404" max="6404" width="50.453125" style="2357" customWidth="1"/>
    <col min="6405" max="6405" width="8.90625" style="2357"/>
    <col min="6406" max="6406" width="2.08984375" style="2357" customWidth="1"/>
    <col min="6407" max="6407" width="23.90625" style="2357" customWidth="1"/>
    <col min="6408" max="6408" width="2.08984375" style="2357" customWidth="1"/>
    <col min="6409" max="6409" width="23.90625" style="2357" customWidth="1"/>
    <col min="6410" max="6410" width="2.08984375" style="2357" customWidth="1"/>
    <col min="6411" max="6411" width="23.90625" style="2357" customWidth="1"/>
    <col min="6412" max="6412" width="2.08984375" style="2357" customWidth="1"/>
    <col min="6413" max="6413" width="23.90625" style="2357" customWidth="1"/>
    <col min="6414" max="6414" width="2.08984375" style="2357" customWidth="1"/>
    <col min="6415" max="6415" width="23.90625" style="2357" customWidth="1"/>
    <col min="6416" max="6416" width="2.81640625" style="2357" bestFit="1" customWidth="1"/>
    <col min="6417" max="6655" width="8.90625" style="2357"/>
    <col min="6656" max="6657" width="8.90625" style="2357" customWidth="1"/>
    <col min="6658" max="6658" width="10.1796875" style="2357" customWidth="1"/>
    <col min="6659" max="6659" width="2.1796875" style="2357" customWidth="1"/>
    <col min="6660" max="6660" width="50.453125" style="2357" customWidth="1"/>
    <col min="6661" max="6661" width="8.90625" style="2357"/>
    <col min="6662" max="6662" width="2.08984375" style="2357" customWidth="1"/>
    <col min="6663" max="6663" width="23.90625" style="2357" customWidth="1"/>
    <col min="6664" max="6664" width="2.08984375" style="2357" customWidth="1"/>
    <col min="6665" max="6665" width="23.90625" style="2357" customWidth="1"/>
    <col min="6666" max="6666" width="2.08984375" style="2357" customWidth="1"/>
    <col min="6667" max="6667" width="23.90625" style="2357" customWidth="1"/>
    <col min="6668" max="6668" width="2.08984375" style="2357" customWidth="1"/>
    <col min="6669" max="6669" width="23.90625" style="2357" customWidth="1"/>
    <col min="6670" max="6670" width="2.08984375" style="2357" customWidth="1"/>
    <col min="6671" max="6671" width="23.90625" style="2357" customWidth="1"/>
    <col min="6672" max="6672" width="2.81640625" style="2357" bestFit="1" customWidth="1"/>
    <col min="6673" max="6911" width="8.90625" style="2357"/>
    <col min="6912" max="6913" width="8.90625" style="2357" customWidth="1"/>
    <col min="6914" max="6914" width="10.1796875" style="2357" customWidth="1"/>
    <col min="6915" max="6915" width="2.1796875" style="2357" customWidth="1"/>
    <col min="6916" max="6916" width="50.453125" style="2357" customWidth="1"/>
    <col min="6917" max="6917" width="8.90625" style="2357"/>
    <col min="6918" max="6918" width="2.08984375" style="2357" customWidth="1"/>
    <col min="6919" max="6919" width="23.90625" style="2357" customWidth="1"/>
    <col min="6920" max="6920" width="2.08984375" style="2357" customWidth="1"/>
    <col min="6921" max="6921" width="23.90625" style="2357" customWidth="1"/>
    <col min="6922" max="6922" width="2.08984375" style="2357" customWidth="1"/>
    <col min="6923" max="6923" width="23.90625" style="2357" customWidth="1"/>
    <col min="6924" max="6924" width="2.08984375" style="2357" customWidth="1"/>
    <col min="6925" max="6925" width="23.90625" style="2357" customWidth="1"/>
    <col min="6926" max="6926" width="2.08984375" style="2357" customWidth="1"/>
    <col min="6927" max="6927" width="23.90625" style="2357" customWidth="1"/>
    <col min="6928" max="6928" width="2.81640625" style="2357" bestFit="1" customWidth="1"/>
    <col min="6929" max="7167" width="8.90625" style="2357"/>
    <col min="7168" max="7169" width="8.90625" style="2357" customWidth="1"/>
    <col min="7170" max="7170" width="10.1796875" style="2357" customWidth="1"/>
    <col min="7171" max="7171" width="2.1796875" style="2357" customWidth="1"/>
    <col min="7172" max="7172" width="50.453125" style="2357" customWidth="1"/>
    <col min="7173" max="7173" width="8.90625" style="2357"/>
    <col min="7174" max="7174" width="2.08984375" style="2357" customWidth="1"/>
    <col min="7175" max="7175" width="23.90625" style="2357" customWidth="1"/>
    <col min="7176" max="7176" width="2.08984375" style="2357" customWidth="1"/>
    <col min="7177" max="7177" width="23.90625" style="2357" customWidth="1"/>
    <col min="7178" max="7178" width="2.08984375" style="2357" customWidth="1"/>
    <col min="7179" max="7179" width="23.90625" style="2357" customWidth="1"/>
    <col min="7180" max="7180" width="2.08984375" style="2357" customWidth="1"/>
    <col min="7181" max="7181" width="23.90625" style="2357" customWidth="1"/>
    <col min="7182" max="7182" width="2.08984375" style="2357" customWidth="1"/>
    <col min="7183" max="7183" width="23.90625" style="2357" customWidth="1"/>
    <col min="7184" max="7184" width="2.81640625" style="2357" bestFit="1" customWidth="1"/>
    <col min="7185" max="7423" width="8.90625" style="2357"/>
    <col min="7424" max="7425" width="8.90625" style="2357" customWidth="1"/>
    <col min="7426" max="7426" width="10.1796875" style="2357" customWidth="1"/>
    <col min="7427" max="7427" width="2.1796875" style="2357" customWidth="1"/>
    <col min="7428" max="7428" width="50.453125" style="2357" customWidth="1"/>
    <col min="7429" max="7429" width="8.90625" style="2357"/>
    <col min="7430" max="7430" width="2.08984375" style="2357" customWidth="1"/>
    <col min="7431" max="7431" width="23.90625" style="2357" customWidth="1"/>
    <col min="7432" max="7432" width="2.08984375" style="2357" customWidth="1"/>
    <col min="7433" max="7433" width="23.90625" style="2357" customWidth="1"/>
    <col min="7434" max="7434" width="2.08984375" style="2357" customWidth="1"/>
    <col min="7435" max="7435" width="23.90625" style="2357" customWidth="1"/>
    <col min="7436" max="7436" width="2.08984375" style="2357" customWidth="1"/>
    <col min="7437" max="7437" width="23.90625" style="2357" customWidth="1"/>
    <col min="7438" max="7438" width="2.08984375" style="2357" customWidth="1"/>
    <col min="7439" max="7439" width="23.90625" style="2357" customWidth="1"/>
    <col min="7440" max="7440" width="2.81640625" style="2357" bestFit="1" customWidth="1"/>
    <col min="7441" max="7679" width="8.90625" style="2357"/>
    <col min="7680" max="7681" width="8.90625" style="2357" customWidth="1"/>
    <col min="7682" max="7682" width="10.1796875" style="2357" customWidth="1"/>
    <col min="7683" max="7683" width="2.1796875" style="2357" customWidth="1"/>
    <col min="7684" max="7684" width="50.453125" style="2357" customWidth="1"/>
    <col min="7685" max="7685" width="8.90625" style="2357"/>
    <col min="7686" max="7686" width="2.08984375" style="2357" customWidth="1"/>
    <col min="7687" max="7687" width="23.90625" style="2357" customWidth="1"/>
    <col min="7688" max="7688" width="2.08984375" style="2357" customWidth="1"/>
    <col min="7689" max="7689" width="23.90625" style="2357" customWidth="1"/>
    <col min="7690" max="7690" width="2.08984375" style="2357" customWidth="1"/>
    <col min="7691" max="7691" width="23.90625" style="2357" customWidth="1"/>
    <col min="7692" max="7692" width="2.08984375" style="2357" customWidth="1"/>
    <col min="7693" max="7693" width="23.90625" style="2357" customWidth="1"/>
    <col min="7694" max="7694" width="2.08984375" style="2357" customWidth="1"/>
    <col min="7695" max="7695" width="23.90625" style="2357" customWidth="1"/>
    <col min="7696" max="7696" width="2.81640625" style="2357" bestFit="1" customWidth="1"/>
    <col min="7697" max="7935" width="8.90625" style="2357"/>
    <col min="7936" max="7937" width="8.90625" style="2357" customWidth="1"/>
    <col min="7938" max="7938" width="10.1796875" style="2357" customWidth="1"/>
    <col min="7939" max="7939" width="2.1796875" style="2357" customWidth="1"/>
    <col min="7940" max="7940" width="50.453125" style="2357" customWidth="1"/>
    <col min="7941" max="7941" width="8.90625" style="2357"/>
    <col min="7942" max="7942" width="2.08984375" style="2357" customWidth="1"/>
    <col min="7943" max="7943" width="23.90625" style="2357" customWidth="1"/>
    <col min="7944" max="7944" width="2.08984375" style="2357" customWidth="1"/>
    <col min="7945" max="7945" width="23.90625" style="2357" customWidth="1"/>
    <col min="7946" max="7946" width="2.08984375" style="2357" customWidth="1"/>
    <col min="7947" max="7947" width="23.90625" style="2357" customWidth="1"/>
    <col min="7948" max="7948" width="2.08984375" style="2357" customWidth="1"/>
    <col min="7949" max="7949" width="23.90625" style="2357" customWidth="1"/>
    <col min="7950" max="7950" width="2.08984375" style="2357" customWidth="1"/>
    <col min="7951" max="7951" width="23.90625" style="2357" customWidth="1"/>
    <col min="7952" max="7952" width="2.81640625" style="2357" bestFit="1" customWidth="1"/>
    <col min="7953" max="8191" width="8.90625" style="2357"/>
    <col min="8192" max="8193" width="8.90625" style="2357" customWidth="1"/>
    <col min="8194" max="8194" width="10.1796875" style="2357" customWidth="1"/>
    <col min="8195" max="8195" width="2.1796875" style="2357" customWidth="1"/>
    <col min="8196" max="8196" width="50.453125" style="2357" customWidth="1"/>
    <col min="8197" max="8197" width="8.90625" style="2357"/>
    <col min="8198" max="8198" width="2.08984375" style="2357" customWidth="1"/>
    <col min="8199" max="8199" width="23.90625" style="2357" customWidth="1"/>
    <col min="8200" max="8200" width="2.08984375" style="2357" customWidth="1"/>
    <col min="8201" max="8201" width="23.90625" style="2357" customWidth="1"/>
    <col min="8202" max="8202" width="2.08984375" style="2357" customWidth="1"/>
    <col min="8203" max="8203" width="23.90625" style="2357" customWidth="1"/>
    <col min="8204" max="8204" width="2.08984375" style="2357" customWidth="1"/>
    <col min="8205" max="8205" width="23.90625" style="2357" customWidth="1"/>
    <col min="8206" max="8206" width="2.08984375" style="2357" customWidth="1"/>
    <col min="8207" max="8207" width="23.90625" style="2357" customWidth="1"/>
    <col min="8208" max="8208" width="2.81640625" style="2357" bestFit="1" customWidth="1"/>
    <col min="8209" max="8447" width="8.90625" style="2357"/>
    <col min="8448" max="8449" width="8.90625" style="2357" customWidth="1"/>
    <col min="8450" max="8450" width="10.1796875" style="2357" customWidth="1"/>
    <col min="8451" max="8451" width="2.1796875" style="2357" customWidth="1"/>
    <col min="8452" max="8452" width="50.453125" style="2357" customWidth="1"/>
    <col min="8453" max="8453" width="8.90625" style="2357"/>
    <col min="8454" max="8454" width="2.08984375" style="2357" customWidth="1"/>
    <col min="8455" max="8455" width="23.90625" style="2357" customWidth="1"/>
    <col min="8456" max="8456" width="2.08984375" style="2357" customWidth="1"/>
    <col min="8457" max="8457" width="23.90625" style="2357" customWidth="1"/>
    <col min="8458" max="8458" width="2.08984375" style="2357" customWidth="1"/>
    <col min="8459" max="8459" width="23.90625" style="2357" customWidth="1"/>
    <col min="8460" max="8460" width="2.08984375" style="2357" customWidth="1"/>
    <col min="8461" max="8461" width="23.90625" style="2357" customWidth="1"/>
    <col min="8462" max="8462" width="2.08984375" style="2357" customWidth="1"/>
    <col min="8463" max="8463" width="23.90625" style="2357" customWidth="1"/>
    <col min="8464" max="8464" width="2.81640625" style="2357" bestFit="1" customWidth="1"/>
    <col min="8465" max="8703" width="8.90625" style="2357"/>
    <col min="8704" max="8705" width="8.90625" style="2357" customWidth="1"/>
    <col min="8706" max="8706" width="10.1796875" style="2357" customWidth="1"/>
    <col min="8707" max="8707" width="2.1796875" style="2357" customWidth="1"/>
    <col min="8708" max="8708" width="50.453125" style="2357" customWidth="1"/>
    <col min="8709" max="8709" width="8.90625" style="2357"/>
    <col min="8710" max="8710" width="2.08984375" style="2357" customWidth="1"/>
    <col min="8711" max="8711" width="23.90625" style="2357" customWidth="1"/>
    <col min="8712" max="8712" width="2.08984375" style="2357" customWidth="1"/>
    <col min="8713" max="8713" width="23.90625" style="2357" customWidth="1"/>
    <col min="8714" max="8714" width="2.08984375" style="2357" customWidth="1"/>
    <col min="8715" max="8715" width="23.90625" style="2357" customWidth="1"/>
    <col min="8716" max="8716" width="2.08984375" style="2357" customWidth="1"/>
    <col min="8717" max="8717" width="23.90625" style="2357" customWidth="1"/>
    <col min="8718" max="8718" width="2.08984375" style="2357" customWidth="1"/>
    <col min="8719" max="8719" width="23.90625" style="2357" customWidth="1"/>
    <col min="8720" max="8720" width="2.81640625" style="2357" bestFit="1" customWidth="1"/>
    <col min="8721" max="8959" width="8.90625" style="2357"/>
    <col min="8960" max="8961" width="8.90625" style="2357" customWidth="1"/>
    <col min="8962" max="8962" width="10.1796875" style="2357" customWidth="1"/>
    <col min="8963" max="8963" width="2.1796875" style="2357" customWidth="1"/>
    <col min="8964" max="8964" width="50.453125" style="2357" customWidth="1"/>
    <col min="8965" max="8965" width="8.90625" style="2357"/>
    <col min="8966" max="8966" width="2.08984375" style="2357" customWidth="1"/>
    <col min="8967" max="8967" width="23.90625" style="2357" customWidth="1"/>
    <col min="8968" max="8968" width="2.08984375" style="2357" customWidth="1"/>
    <col min="8969" max="8969" width="23.90625" style="2357" customWidth="1"/>
    <col min="8970" max="8970" width="2.08984375" style="2357" customWidth="1"/>
    <col min="8971" max="8971" width="23.90625" style="2357" customWidth="1"/>
    <col min="8972" max="8972" width="2.08984375" style="2357" customWidth="1"/>
    <col min="8973" max="8973" width="23.90625" style="2357" customWidth="1"/>
    <col min="8974" max="8974" width="2.08984375" style="2357" customWidth="1"/>
    <col min="8975" max="8975" width="23.90625" style="2357" customWidth="1"/>
    <col min="8976" max="8976" width="2.81640625" style="2357" bestFit="1" customWidth="1"/>
    <col min="8977" max="9215" width="8.90625" style="2357"/>
    <col min="9216" max="9217" width="8.90625" style="2357" customWidth="1"/>
    <col min="9218" max="9218" width="10.1796875" style="2357" customWidth="1"/>
    <col min="9219" max="9219" width="2.1796875" style="2357" customWidth="1"/>
    <col min="9220" max="9220" width="50.453125" style="2357" customWidth="1"/>
    <col min="9221" max="9221" width="8.90625" style="2357"/>
    <col min="9222" max="9222" width="2.08984375" style="2357" customWidth="1"/>
    <col min="9223" max="9223" width="23.90625" style="2357" customWidth="1"/>
    <col min="9224" max="9224" width="2.08984375" style="2357" customWidth="1"/>
    <col min="9225" max="9225" width="23.90625" style="2357" customWidth="1"/>
    <col min="9226" max="9226" width="2.08984375" style="2357" customWidth="1"/>
    <col min="9227" max="9227" width="23.90625" style="2357" customWidth="1"/>
    <col min="9228" max="9228" width="2.08984375" style="2357" customWidth="1"/>
    <col min="9229" max="9229" width="23.90625" style="2357" customWidth="1"/>
    <col min="9230" max="9230" width="2.08984375" style="2357" customWidth="1"/>
    <col min="9231" max="9231" width="23.90625" style="2357" customWidth="1"/>
    <col min="9232" max="9232" width="2.81640625" style="2357" bestFit="1" customWidth="1"/>
    <col min="9233" max="9471" width="8.90625" style="2357"/>
    <col min="9472" max="9473" width="8.90625" style="2357" customWidth="1"/>
    <col min="9474" max="9474" width="10.1796875" style="2357" customWidth="1"/>
    <col min="9475" max="9475" width="2.1796875" style="2357" customWidth="1"/>
    <col min="9476" max="9476" width="50.453125" style="2357" customWidth="1"/>
    <col min="9477" max="9477" width="8.90625" style="2357"/>
    <col min="9478" max="9478" width="2.08984375" style="2357" customWidth="1"/>
    <col min="9479" max="9479" width="23.90625" style="2357" customWidth="1"/>
    <col min="9480" max="9480" width="2.08984375" style="2357" customWidth="1"/>
    <col min="9481" max="9481" width="23.90625" style="2357" customWidth="1"/>
    <col min="9482" max="9482" width="2.08984375" style="2357" customWidth="1"/>
    <col min="9483" max="9483" width="23.90625" style="2357" customWidth="1"/>
    <col min="9484" max="9484" width="2.08984375" style="2357" customWidth="1"/>
    <col min="9485" max="9485" width="23.90625" style="2357" customWidth="1"/>
    <col min="9486" max="9486" width="2.08984375" style="2357" customWidth="1"/>
    <col min="9487" max="9487" width="23.90625" style="2357" customWidth="1"/>
    <col min="9488" max="9488" width="2.81640625" style="2357" bestFit="1" customWidth="1"/>
    <col min="9489" max="9727" width="8.90625" style="2357"/>
    <col min="9728" max="9729" width="8.90625" style="2357" customWidth="1"/>
    <col min="9730" max="9730" width="10.1796875" style="2357" customWidth="1"/>
    <col min="9731" max="9731" width="2.1796875" style="2357" customWidth="1"/>
    <col min="9732" max="9732" width="50.453125" style="2357" customWidth="1"/>
    <col min="9733" max="9733" width="8.90625" style="2357"/>
    <col min="9734" max="9734" width="2.08984375" style="2357" customWidth="1"/>
    <col min="9735" max="9735" width="23.90625" style="2357" customWidth="1"/>
    <col min="9736" max="9736" width="2.08984375" style="2357" customWidth="1"/>
    <col min="9737" max="9737" width="23.90625" style="2357" customWidth="1"/>
    <col min="9738" max="9738" width="2.08984375" style="2357" customWidth="1"/>
    <col min="9739" max="9739" width="23.90625" style="2357" customWidth="1"/>
    <col min="9740" max="9740" width="2.08984375" style="2357" customWidth="1"/>
    <col min="9741" max="9741" width="23.90625" style="2357" customWidth="1"/>
    <col min="9742" max="9742" width="2.08984375" style="2357" customWidth="1"/>
    <col min="9743" max="9743" width="23.90625" style="2357" customWidth="1"/>
    <col min="9744" max="9744" width="2.81640625" style="2357" bestFit="1" customWidth="1"/>
    <col min="9745" max="9983" width="8.90625" style="2357"/>
    <col min="9984" max="9985" width="8.90625" style="2357" customWidth="1"/>
    <col min="9986" max="9986" width="10.1796875" style="2357" customWidth="1"/>
    <col min="9987" max="9987" width="2.1796875" style="2357" customWidth="1"/>
    <col min="9988" max="9988" width="50.453125" style="2357" customWidth="1"/>
    <col min="9989" max="9989" width="8.90625" style="2357"/>
    <col min="9990" max="9990" width="2.08984375" style="2357" customWidth="1"/>
    <col min="9991" max="9991" width="23.90625" style="2357" customWidth="1"/>
    <col min="9992" max="9992" width="2.08984375" style="2357" customWidth="1"/>
    <col min="9993" max="9993" width="23.90625" style="2357" customWidth="1"/>
    <col min="9994" max="9994" width="2.08984375" style="2357" customWidth="1"/>
    <col min="9995" max="9995" width="23.90625" style="2357" customWidth="1"/>
    <col min="9996" max="9996" width="2.08984375" style="2357" customWidth="1"/>
    <col min="9997" max="9997" width="23.90625" style="2357" customWidth="1"/>
    <col min="9998" max="9998" width="2.08984375" style="2357" customWidth="1"/>
    <col min="9999" max="9999" width="23.90625" style="2357" customWidth="1"/>
    <col min="10000" max="10000" width="2.81640625" style="2357" bestFit="1" customWidth="1"/>
    <col min="10001" max="10239" width="8.90625" style="2357"/>
    <col min="10240" max="10241" width="8.90625" style="2357" customWidth="1"/>
    <col min="10242" max="10242" width="10.1796875" style="2357" customWidth="1"/>
    <col min="10243" max="10243" width="2.1796875" style="2357" customWidth="1"/>
    <col min="10244" max="10244" width="50.453125" style="2357" customWidth="1"/>
    <col min="10245" max="10245" width="8.90625" style="2357"/>
    <col min="10246" max="10246" width="2.08984375" style="2357" customWidth="1"/>
    <col min="10247" max="10247" width="23.90625" style="2357" customWidth="1"/>
    <col min="10248" max="10248" width="2.08984375" style="2357" customWidth="1"/>
    <col min="10249" max="10249" width="23.90625" style="2357" customWidth="1"/>
    <col min="10250" max="10250" width="2.08984375" style="2357" customWidth="1"/>
    <col min="10251" max="10251" width="23.90625" style="2357" customWidth="1"/>
    <col min="10252" max="10252" width="2.08984375" style="2357" customWidth="1"/>
    <col min="10253" max="10253" width="23.90625" style="2357" customWidth="1"/>
    <col min="10254" max="10254" width="2.08984375" style="2357" customWidth="1"/>
    <col min="10255" max="10255" width="23.90625" style="2357" customWidth="1"/>
    <col min="10256" max="10256" width="2.81640625" style="2357" bestFit="1" customWidth="1"/>
    <col min="10257" max="10495" width="8.90625" style="2357"/>
    <col min="10496" max="10497" width="8.90625" style="2357" customWidth="1"/>
    <col min="10498" max="10498" width="10.1796875" style="2357" customWidth="1"/>
    <col min="10499" max="10499" width="2.1796875" style="2357" customWidth="1"/>
    <col min="10500" max="10500" width="50.453125" style="2357" customWidth="1"/>
    <col min="10501" max="10501" width="8.90625" style="2357"/>
    <col min="10502" max="10502" width="2.08984375" style="2357" customWidth="1"/>
    <col min="10503" max="10503" width="23.90625" style="2357" customWidth="1"/>
    <col min="10504" max="10504" width="2.08984375" style="2357" customWidth="1"/>
    <col min="10505" max="10505" width="23.90625" style="2357" customWidth="1"/>
    <col min="10506" max="10506" width="2.08984375" style="2357" customWidth="1"/>
    <col min="10507" max="10507" width="23.90625" style="2357" customWidth="1"/>
    <col min="10508" max="10508" width="2.08984375" style="2357" customWidth="1"/>
    <col min="10509" max="10509" width="23.90625" style="2357" customWidth="1"/>
    <col min="10510" max="10510" width="2.08984375" style="2357" customWidth="1"/>
    <col min="10511" max="10511" width="23.90625" style="2357" customWidth="1"/>
    <col min="10512" max="10512" width="2.81640625" style="2357" bestFit="1" customWidth="1"/>
    <col min="10513" max="10751" width="8.90625" style="2357"/>
    <col min="10752" max="10753" width="8.90625" style="2357" customWidth="1"/>
    <col min="10754" max="10754" width="10.1796875" style="2357" customWidth="1"/>
    <col min="10755" max="10755" width="2.1796875" style="2357" customWidth="1"/>
    <col min="10756" max="10756" width="50.453125" style="2357" customWidth="1"/>
    <col min="10757" max="10757" width="8.90625" style="2357"/>
    <col min="10758" max="10758" width="2.08984375" style="2357" customWidth="1"/>
    <col min="10759" max="10759" width="23.90625" style="2357" customWidth="1"/>
    <col min="10760" max="10760" width="2.08984375" style="2357" customWidth="1"/>
    <col min="10761" max="10761" width="23.90625" style="2357" customWidth="1"/>
    <col min="10762" max="10762" width="2.08984375" style="2357" customWidth="1"/>
    <col min="10763" max="10763" width="23.90625" style="2357" customWidth="1"/>
    <col min="10764" max="10764" width="2.08984375" style="2357" customWidth="1"/>
    <col min="10765" max="10765" width="23.90625" style="2357" customWidth="1"/>
    <col min="10766" max="10766" width="2.08984375" style="2357" customWidth="1"/>
    <col min="10767" max="10767" width="23.90625" style="2357" customWidth="1"/>
    <col min="10768" max="10768" width="2.81640625" style="2357" bestFit="1" customWidth="1"/>
    <col min="10769" max="11007" width="8.90625" style="2357"/>
    <col min="11008" max="11009" width="8.90625" style="2357" customWidth="1"/>
    <col min="11010" max="11010" width="10.1796875" style="2357" customWidth="1"/>
    <col min="11011" max="11011" width="2.1796875" style="2357" customWidth="1"/>
    <col min="11012" max="11012" width="50.453125" style="2357" customWidth="1"/>
    <col min="11013" max="11013" width="8.90625" style="2357"/>
    <col min="11014" max="11014" width="2.08984375" style="2357" customWidth="1"/>
    <col min="11015" max="11015" width="23.90625" style="2357" customWidth="1"/>
    <col min="11016" max="11016" width="2.08984375" style="2357" customWidth="1"/>
    <col min="11017" max="11017" width="23.90625" style="2357" customWidth="1"/>
    <col min="11018" max="11018" width="2.08984375" style="2357" customWidth="1"/>
    <col min="11019" max="11019" width="23.90625" style="2357" customWidth="1"/>
    <col min="11020" max="11020" width="2.08984375" style="2357" customWidth="1"/>
    <col min="11021" max="11021" width="23.90625" style="2357" customWidth="1"/>
    <col min="11022" max="11022" width="2.08984375" style="2357" customWidth="1"/>
    <col min="11023" max="11023" width="23.90625" style="2357" customWidth="1"/>
    <col min="11024" max="11024" width="2.81640625" style="2357" bestFit="1" customWidth="1"/>
    <col min="11025" max="11263" width="8.90625" style="2357"/>
    <col min="11264" max="11265" width="8.90625" style="2357" customWidth="1"/>
    <col min="11266" max="11266" width="10.1796875" style="2357" customWidth="1"/>
    <col min="11267" max="11267" width="2.1796875" style="2357" customWidth="1"/>
    <col min="11268" max="11268" width="50.453125" style="2357" customWidth="1"/>
    <col min="11269" max="11269" width="8.90625" style="2357"/>
    <col min="11270" max="11270" width="2.08984375" style="2357" customWidth="1"/>
    <col min="11271" max="11271" width="23.90625" style="2357" customWidth="1"/>
    <col min="11272" max="11272" width="2.08984375" style="2357" customWidth="1"/>
    <col min="11273" max="11273" width="23.90625" style="2357" customWidth="1"/>
    <col min="11274" max="11274" width="2.08984375" style="2357" customWidth="1"/>
    <col min="11275" max="11275" width="23.90625" style="2357" customWidth="1"/>
    <col min="11276" max="11276" width="2.08984375" style="2357" customWidth="1"/>
    <col min="11277" max="11277" width="23.90625" style="2357" customWidth="1"/>
    <col min="11278" max="11278" width="2.08984375" style="2357" customWidth="1"/>
    <col min="11279" max="11279" width="23.90625" style="2357" customWidth="1"/>
    <col min="11280" max="11280" width="2.81640625" style="2357" bestFit="1" customWidth="1"/>
    <col min="11281" max="11519" width="8.90625" style="2357"/>
    <col min="11520" max="11521" width="8.90625" style="2357" customWidth="1"/>
    <col min="11522" max="11522" width="10.1796875" style="2357" customWidth="1"/>
    <col min="11523" max="11523" width="2.1796875" style="2357" customWidth="1"/>
    <col min="11524" max="11524" width="50.453125" style="2357" customWidth="1"/>
    <col min="11525" max="11525" width="8.90625" style="2357"/>
    <col min="11526" max="11526" width="2.08984375" style="2357" customWidth="1"/>
    <col min="11527" max="11527" width="23.90625" style="2357" customWidth="1"/>
    <col min="11528" max="11528" width="2.08984375" style="2357" customWidth="1"/>
    <col min="11529" max="11529" width="23.90625" style="2357" customWidth="1"/>
    <col min="11530" max="11530" width="2.08984375" style="2357" customWidth="1"/>
    <col min="11531" max="11531" width="23.90625" style="2357" customWidth="1"/>
    <col min="11532" max="11532" width="2.08984375" style="2357" customWidth="1"/>
    <col min="11533" max="11533" width="23.90625" style="2357" customWidth="1"/>
    <col min="11534" max="11534" width="2.08984375" style="2357" customWidth="1"/>
    <col min="11535" max="11535" width="23.90625" style="2357" customWidth="1"/>
    <col min="11536" max="11536" width="2.81640625" style="2357" bestFit="1" customWidth="1"/>
    <col min="11537" max="11775" width="8.90625" style="2357"/>
    <col min="11776" max="11777" width="8.90625" style="2357" customWidth="1"/>
    <col min="11778" max="11778" width="10.1796875" style="2357" customWidth="1"/>
    <col min="11779" max="11779" width="2.1796875" style="2357" customWidth="1"/>
    <col min="11780" max="11780" width="50.453125" style="2357" customWidth="1"/>
    <col min="11781" max="11781" width="8.90625" style="2357"/>
    <col min="11782" max="11782" width="2.08984375" style="2357" customWidth="1"/>
    <col min="11783" max="11783" width="23.90625" style="2357" customWidth="1"/>
    <col min="11784" max="11784" width="2.08984375" style="2357" customWidth="1"/>
    <col min="11785" max="11785" width="23.90625" style="2357" customWidth="1"/>
    <col min="11786" max="11786" width="2.08984375" style="2357" customWidth="1"/>
    <col min="11787" max="11787" width="23.90625" style="2357" customWidth="1"/>
    <col min="11788" max="11788" width="2.08984375" style="2357" customWidth="1"/>
    <col min="11789" max="11789" width="23.90625" style="2357" customWidth="1"/>
    <col min="11790" max="11790" width="2.08984375" style="2357" customWidth="1"/>
    <col min="11791" max="11791" width="23.90625" style="2357" customWidth="1"/>
    <col min="11792" max="11792" width="2.81640625" style="2357" bestFit="1" customWidth="1"/>
    <col min="11793" max="12031" width="8.90625" style="2357"/>
    <col min="12032" max="12033" width="8.90625" style="2357" customWidth="1"/>
    <col min="12034" max="12034" width="10.1796875" style="2357" customWidth="1"/>
    <col min="12035" max="12035" width="2.1796875" style="2357" customWidth="1"/>
    <col min="12036" max="12036" width="50.453125" style="2357" customWidth="1"/>
    <col min="12037" max="12037" width="8.90625" style="2357"/>
    <col min="12038" max="12038" width="2.08984375" style="2357" customWidth="1"/>
    <col min="12039" max="12039" width="23.90625" style="2357" customWidth="1"/>
    <col min="12040" max="12040" width="2.08984375" style="2357" customWidth="1"/>
    <col min="12041" max="12041" width="23.90625" style="2357" customWidth="1"/>
    <col min="12042" max="12042" width="2.08984375" style="2357" customWidth="1"/>
    <col min="12043" max="12043" width="23.90625" style="2357" customWidth="1"/>
    <col min="12044" max="12044" width="2.08984375" style="2357" customWidth="1"/>
    <col min="12045" max="12045" width="23.90625" style="2357" customWidth="1"/>
    <col min="12046" max="12046" width="2.08984375" style="2357" customWidth="1"/>
    <col min="12047" max="12047" width="23.90625" style="2357" customWidth="1"/>
    <col min="12048" max="12048" width="2.81640625" style="2357" bestFit="1" customWidth="1"/>
    <col min="12049" max="12287" width="8.90625" style="2357"/>
    <col min="12288" max="12289" width="8.90625" style="2357" customWidth="1"/>
    <col min="12290" max="12290" width="10.1796875" style="2357" customWidth="1"/>
    <col min="12291" max="12291" width="2.1796875" style="2357" customWidth="1"/>
    <col min="12292" max="12292" width="50.453125" style="2357" customWidth="1"/>
    <col min="12293" max="12293" width="8.90625" style="2357"/>
    <col min="12294" max="12294" width="2.08984375" style="2357" customWidth="1"/>
    <col min="12295" max="12295" width="23.90625" style="2357" customWidth="1"/>
    <col min="12296" max="12296" width="2.08984375" style="2357" customWidth="1"/>
    <col min="12297" max="12297" width="23.90625" style="2357" customWidth="1"/>
    <col min="12298" max="12298" width="2.08984375" style="2357" customWidth="1"/>
    <col min="12299" max="12299" width="23.90625" style="2357" customWidth="1"/>
    <col min="12300" max="12300" width="2.08984375" style="2357" customWidth="1"/>
    <col min="12301" max="12301" width="23.90625" style="2357" customWidth="1"/>
    <col min="12302" max="12302" width="2.08984375" style="2357" customWidth="1"/>
    <col min="12303" max="12303" width="23.90625" style="2357" customWidth="1"/>
    <col min="12304" max="12304" width="2.81640625" style="2357" bestFit="1" customWidth="1"/>
    <col min="12305" max="12543" width="8.90625" style="2357"/>
    <col min="12544" max="12545" width="8.90625" style="2357" customWidth="1"/>
    <col min="12546" max="12546" width="10.1796875" style="2357" customWidth="1"/>
    <col min="12547" max="12547" width="2.1796875" style="2357" customWidth="1"/>
    <col min="12548" max="12548" width="50.453125" style="2357" customWidth="1"/>
    <col min="12549" max="12549" width="8.90625" style="2357"/>
    <col min="12550" max="12550" width="2.08984375" style="2357" customWidth="1"/>
    <col min="12551" max="12551" width="23.90625" style="2357" customWidth="1"/>
    <col min="12552" max="12552" width="2.08984375" style="2357" customWidth="1"/>
    <col min="12553" max="12553" width="23.90625" style="2357" customWidth="1"/>
    <col min="12554" max="12554" width="2.08984375" style="2357" customWidth="1"/>
    <col min="12555" max="12555" width="23.90625" style="2357" customWidth="1"/>
    <col min="12556" max="12556" width="2.08984375" style="2357" customWidth="1"/>
    <col min="12557" max="12557" width="23.90625" style="2357" customWidth="1"/>
    <col min="12558" max="12558" width="2.08984375" style="2357" customWidth="1"/>
    <col min="12559" max="12559" width="23.90625" style="2357" customWidth="1"/>
    <col min="12560" max="12560" width="2.81640625" style="2357" bestFit="1" customWidth="1"/>
    <col min="12561" max="12799" width="8.90625" style="2357"/>
    <col min="12800" max="12801" width="8.90625" style="2357" customWidth="1"/>
    <col min="12802" max="12802" width="10.1796875" style="2357" customWidth="1"/>
    <col min="12803" max="12803" width="2.1796875" style="2357" customWidth="1"/>
    <col min="12804" max="12804" width="50.453125" style="2357" customWidth="1"/>
    <col min="12805" max="12805" width="8.90625" style="2357"/>
    <col min="12806" max="12806" width="2.08984375" style="2357" customWidth="1"/>
    <col min="12807" max="12807" width="23.90625" style="2357" customWidth="1"/>
    <col min="12808" max="12808" width="2.08984375" style="2357" customWidth="1"/>
    <col min="12809" max="12809" width="23.90625" style="2357" customWidth="1"/>
    <col min="12810" max="12810" width="2.08984375" style="2357" customWidth="1"/>
    <col min="12811" max="12811" width="23.90625" style="2357" customWidth="1"/>
    <col min="12812" max="12812" width="2.08984375" style="2357" customWidth="1"/>
    <col min="12813" max="12813" width="23.90625" style="2357" customWidth="1"/>
    <col min="12814" max="12814" width="2.08984375" style="2357" customWidth="1"/>
    <col min="12815" max="12815" width="23.90625" style="2357" customWidth="1"/>
    <col min="12816" max="12816" width="2.81640625" style="2357" bestFit="1" customWidth="1"/>
    <col min="12817" max="13055" width="8.90625" style="2357"/>
    <col min="13056" max="13057" width="8.90625" style="2357" customWidth="1"/>
    <col min="13058" max="13058" width="10.1796875" style="2357" customWidth="1"/>
    <col min="13059" max="13059" width="2.1796875" style="2357" customWidth="1"/>
    <col min="13060" max="13060" width="50.453125" style="2357" customWidth="1"/>
    <col min="13061" max="13061" width="8.90625" style="2357"/>
    <col min="13062" max="13062" width="2.08984375" style="2357" customWidth="1"/>
    <col min="13063" max="13063" width="23.90625" style="2357" customWidth="1"/>
    <col min="13064" max="13064" width="2.08984375" style="2357" customWidth="1"/>
    <col min="13065" max="13065" width="23.90625" style="2357" customWidth="1"/>
    <col min="13066" max="13066" width="2.08984375" style="2357" customWidth="1"/>
    <col min="13067" max="13067" width="23.90625" style="2357" customWidth="1"/>
    <col min="13068" max="13068" width="2.08984375" style="2357" customWidth="1"/>
    <col min="13069" max="13069" width="23.90625" style="2357" customWidth="1"/>
    <col min="13070" max="13070" width="2.08984375" style="2357" customWidth="1"/>
    <col min="13071" max="13071" width="23.90625" style="2357" customWidth="1"/>
    <col min="13072" max="13072" width="2.81640625" style="2357" bestFit="1" customWidth="1"/>
    <col min="13073" max="13311" width="8.90625" style="2357"/>
    <col min="13312" max="13313" width="8.90625" style="2357" customWidth="1"/>
    <col min="13314" max="13314" width="10.1796875" style="2357" customWidth="1"/>
    <col min="13315" max="13315" width="2.1796875" style="2357" customWidth="1"/>
    <col min="13316" max="13316" width="50.453125" style="2357" customWidth="1"/>
    <col min="13317" max="13317" width="8.90625" style="2357"/>
    <col min="13318" max="13318" width="2.08984375" style="2357" customWidth="1"/>
    <col min="13319" max="13319" width="23.90625" style="2357" customWidth="1"/>
    <col min="13320" max="13320" width="2.08984375" style="2357" customWidth="1"/>
    <col min="13321" max="13321" width="23.90625" style="2357" customWidth="1"/>
    <col min="13322" max="13322" width="2.08984375" style="2357" customWidth="1"/>
    <col min="13323" max="13323" width="23.90625" style="2357" customWidth="1"/>
    <col min="13324" max="13324" width="2.08984375" style="2357" customWidth="1"/>
    <col min="13325" max="13325" width="23.90625" style="2357" customWidth="1"/>
    <col min="13326" max="13326" width="2.08984375" style="2357" customWidth="1"/>
    <col min="13327" max="13327" width="23.90625" style="2357" customWidth="1"/>
    <col min="13328" max="13328" width="2.81640625" style="2357" bestFit="1" customWidth="1"/>
    <col min="13329" max="13567" width="8.90625" style="2357"/>
    <col min="13568" max="13569" width="8.90625" style="2357" customWidth="1"/>
    <col min="13570" max="13570" width="10.1796875" style="2357" customWidth="1"/>
    <col min="13571" max="13571" width="2.1796875" style="2357" customWidth="1"/>
    <col min="13572" max="13572" width="50.453125" style="2357" customWidth="1"/>
    <col min="13573" max="13573" width="8.90625" style="2357"/>
    <col min="13574" max="13574" width="2.08984375" style="2357" customWidth="1"/>
    <col min="13575" max="13575" width="23.90625" style="2357" customWidth="1"/>
    <col min="13576" max="13576" width="2.08984375" style="2357" customWidth="1"/>
    <col min="13577" max="13577" width="23.90625" style="2357" customWidth="1"/>
    <col min="13578" max="13578" width="2.08984375" style="2357" customWidth="1"/>
    <col min="13579" max="13579" width="23.90625" style="2357" customWidth="1"/>
    <col min="13580" max="13580" width="2.08984375" style="2357" customWidth="1"/>
    <col min="13581" max="13581" width="23.90625" style="2357" customWidth="1"/>
    <col min="13582" max="13582" width="2.08984375" style="2357" customWidth="1"/>
    <col min="13583" max="13583" width="23.90625" style="2357" customWidth="1"/>
    <col min="13584" max="13584" width="2.81640625" style="2357" bestFit="1" customWidth="1"/>
    <col min="13585" max="13823" width="8.90625" style="2357"/>
    <col min="13824" max="13825" width="8.90625" style="2357" customWidth="1"/>
    <col min="13826" max="13826" width="10.1796875" style="2357" customWidth="1"/>
    <col min="13827" max="13827" width="2.1796875" style="2357" customWidth="1"/>
    <col min="13828" max="13828" width="50.453125" style="2357" customWidth="1"/>
    <col min="13829" max="13829" width="8.90625" style="2357"/>
    <col min="13830" max="13830" width="2.08984375" style="2357" customWidth="1"/>
    <col min="13831" max="13831" width="23.90625" style="2357" customWidth="1"/>
    <col min="13832" max="13832" width="2.08984375" style="2357" customWidth="1"/>
    <col min="13833" max="13833" width="23.90625" style="2357" customWidth="1"/>
    <col min="13834" max="13834" width="2.08984375" style="2357" customWidth="1"/>
    <col min="13835" max="13835" width="23.90625" style="2357" customWidth="1"/>
    <col min="13836" max="13836" width="2.08984375" style="2357" customWidth="1"/>
    <col min="13837" max="13837" width="23.90625" style="2357" customWidth="1"/>
    <col min="13838" max="13838" width="2.08984375" style="2357" customWidth="1"/>
    <col min="13839" max="13839" width="23.90625" style="2357" customWidth="1"/>
    <col min="13840" max="13840" width="2.81640625" style="2357" bestFit="1" customWidth="1"/>
    <col min="13841" max="14079" width="8.90625" style="2357"/>
    <col min="14080" max="14081" width="8.90625" style="2357" customWidth="1"/>
    <col min="14082" max="14082" width="10.1796875" style="2357" customWidth="1"/>
    <col min="14083" max="14083" width="2.1796875" style="2357" customWidth="1"/>
    <col min="14084" max="14084" width="50.453125" style="2357" customWidth="1"/>
    <col min="14085" max="14085" width="8.90625" style="2357"/>
    <col min="14086" max="14086" width="2.08984375" style="2357" customWidth="1"/>
    <col min="14087" max="14087" width="23.90625" style="2357" customWidth="1"/>
    <col min="14088" max="14088" width="2.08984375" style="2357" customWidth="1"/>
    <col min="14089" max="14089" width="23.90625" style="2357" customWidth="1"/>
    <col min="14090" max="14090" width="2.08984375" style="2357" customWidth="1"/>
    <col min="14091" max="14091" width="23.90625" style="2357" customWidth="1"/>
    <col min="14092" max="14092" width="2.08984375" style="2357" customWidth="1"/>
    <col min="14093" max="14093" width="23.90625" style="2357" customWidth="1"/>
    <col min="14094" max="14094" width="2.08984375" style="2357" customWidth="1"/>
    <col min="14095" max="14095" width="23.90625" style="2357" customWidth="1"/>
    <col min="14096" max="14096" width="2.81640625" style="2357" bestFit="1" customWidth="1"/>
    <col min="14097" max="14335" width="8.90625" style="2357"/>
    <col min="14336" max="14337" width="8.90625" style="2357" customWidth="1"/>
    <col min="14338" max="14338" width="10.1796875" style="2357" customWidth="1"/>
    <col min="14339" max="14339" width="2.1796875" style="2357" customWidth="1"/>
    <col min="14340" max="14340" width="50.453125" style="2357" customWidth="1"/>
    <col min="14341" max="14341" width="8.90625" style="2357"/>
    <col min="14342" max="14342" width="2.08984375" style="2357" customWidth="1"/>
    <col min="14343" max="14343" width="23.90625" style="2357" customWidth="1"/>
    <col min="14344" max="14344" width="2.08984375" style="2357" customWidth="1"/>
    <col min="14345" max="14345" width="23.90625" style="2357" customWidth="1"/>
    <col min="14346" max="14346" width="2.08984375" style="2357" customWidth="1"/>
    <col min="14347" max="14347" width="23.90625" style="2357" customWidth="1"/>
    <col min="14348" max="14348" width="2.08984375" style="2357" customWidth="1"/>
    <col min="14349" max="14349" width="23.90625" style="2357" customWidth="1"/>
    <col min="14350" max="14350" width="2.08984375" style="2357" customWidth="1"/>
    <col min="14351" max="14351" width="23.90625" style="2357" customWidth="1"/>
    <col min="14352" max="14352" width="2.81640625" style="2357" bestFit="1" customWidth="1"/>
    <col min="14353" max="14591" width="8.90625" style="2357"/>
    <col min="14592" max="14593" width="8.90625" style="2357" customWidth="1"/>
    <col min="14594" max="14594" width="10.1796875" style="2357" customWidth="1"/>
    <col min="14595" max="14595" width="2.1796875" style="2357" customWidth="1"/>
    <col min="14596" max="14596" width="50.453125" style="2357" customWidth="1"/>
    <col min="14597" max="14597" width="8.90625" style="2357"/>
    <col min="14598" max="14598" width="2.08984375" style="2357" customWidth="1"/>
    <col min="14599" max="14599" width="23.90625" style="2357" customWidth="1"/>
    <col min="14600" max="14600" width="2.08984375" style="2357" customWidth="1"/>
    <col min="14601" max="14601" width="23.90625" style="2357" customWidth="1"/>
    <col min="14602" max="14602" width="2.08984375" style="2357" customWidth="1"/>
    <col min="14603" max="14603" width="23.90625" style="2357" customWidth="1"/>
    <col min="14604" max="14604" width="2.08984375" style="2357" customWidth="1"/>
    <col min="14605" max="14605" width="23.90625" style="2357" customWidth="1"/>
    <col min="14606" max="14606" width="2.08984375" style="2357" customWidth="1"/>
    <col min="14607" max="14607" width="23.90625" style="2357" customWidth="1"/>
    <col min="14608" max="14608" width="2.81640625" style="2357" bestFit="1" customWidth="1"/>
    <col min="14609" max="14847" width="8.90625" style="2357"/>
    <col min="14848" max="14849" width="8.90625" style="2357" customWidth="1"/>
    <col min="14850" max="14850" width="10.1796875" style="2357" customWidth="1"/>
    <col min="14851" max="14851" width="2.1796875" style="2357" customWidth="1"/>
    <col min="14852" max="14852" width="50.453125" style="2357" customWidth="1"/>
    <col min="14853" max="14853" width="8.90625" style="2357"/>
    <col min="14854" max="14854" width="2.08984375" style="2357" customWidth="1"/>
    <col min="14855" max="14855" width="23.90625" style="2357" customWidth="1"/>
    <col min="14856" max="14856" width="2.08984375" style="2357" customWidth="1"/>
    <col min="14857" max="14857" width="23.90625" style="2357" customWidth="1"/>
    <col min="14858" max="14858" width="2.08984375" style="2357" customWidth="1"/>
    <col min="14859" max="14859" width="23.90625" style="2357" customWidth="1"/>
    <col min="14860" max="14860" width="2.08984375" style="2357" customWidth="1"/>
    <col min="14861" max="14861" width="23.90625" style="2357" customWidth="1"/>
    <col min="14862" max="14862" width="2.08984375" style="2357" customWidth="1"/>
    <col min="14863" max="14863" width="23.90625" style="2357" customWidth="1"/>
    <col min="14864" max="14864" width="2.81640625" style="2357" bestFit="1" customWidth="1"/>
    <col min="14865" max="15103" width="8.90625" style="2357"/>
    <col min="15104" max="15105" width="8.90625" style="2357" customWidth="1"/>
    <col min="15106" max="15106" width="10.1796875" style="2357" customWidth="1"/>
    <col min="15107" max="15107" width="2.1796875" style="2357" customWidth="1"/>
    <col min="15108" max="15108" width="50.453125" style="2357" customWidth="1"/>
    <col min="15109" max="15109" width="8.90625" style="2357"/>
    <col min="15110" max="15110" width="2.08984375" style="2357" customWidth="1"/>
    <col min="15111" max="15111" width="23.90625" style="2357" customWidth="1"/>
    <col min="15112" max="15112" width="2.08984375" style="2357" customWidth="1"/>
    <col min="15113" max="15113" width="23.90625" style="2357" customWidth="1"/>
    <col min="15114" max="15114" width="2.08984375" style="2357" customWidth="1"/>
    <col min="15115" max="15115" width="23.90625" style="2357" customWidth="1"/>
    <col min="15116" max="15116" width="2.08984375" style="2357" customWidth="1"/>
    <col min="15117" max="15117" width="23.90625" style="2357" customWidth="1"/>
    <col min="15118" max="15118" width="2.08984375" style="2357" customWidth="1"/>
    <col min="15119" max="15119" width="23.90625" style="2357" customWidth="1"/>
    <col min="15120" max="15120" width="2.81640625" style="2357" bestFit="1" customWidth="1"/>
    <col min="15121" max="15359" width="8.90625" style="2357"/>
    <col min="15360" max="15361" width="8.90625" style="2357" customWidth="1"/>
    <col min="15362" max="15362" width="10.1796875" style="2357" customWidth="1"/>
    <col min="15363" max="15363" width="2.1796875" style="2357" customWidth="1"/>
    <col min="15364" max="15364" width="50.453125" style="2357" customWidth="1"/>
    <col min="15365" max="15365" width="8.90625" style="2357"/>
    <col min="15366" max="15366" width="2.08984375" style="2357" customWidth="1"/>
    <col min="15367" max="15367" width="23.90625" style="2357" customWidth="1"/>
    <col min="15368" max="15368" width="2.08984375" style="2357" customWidth="1"/>
    <col min="15369" max="15369" width="23.90625" style="2357" customWidth="1"/>
    <col min="15370" max="15370" width="2.08984375" style="2357" customWidth="1"/>
    <col min="15371" max="15371" width="23.90625" style="2357" customWidth="1"/>
    <col min="15372" max="15372" width="2.08984375" style="2357" customWidth="1"/>
    <col min="15373" max="15373" width="23.90625" style="2357" customWidth="1"/>
    <col min="15374" max="15374" width="2.08984375" style="2357" customWidth="1"/>
    <col min="15375" max="15375" width="23.90625" style="2357" customWidth="1"/>
    <col min="15376" max="15376" width="2.81640625" style="2357" bestFit="1" customWidth="1"/>
    <col min="15377" max="15615" width="8.90625" style="2357"/>
    <col min="15616" max="15617" width="8.90625" style="2357" customWidth="1"/>
    <col min="15618" max="15618" width="10.1796875" style="2357" customWidth="1"/>
    <col min="15619" max="15619" width="2.1796875" style="2357" customWidth="1"/>
    <col min="15620" max="15620" width="50.453125" style="2357" customWidth="1"/>
    <col min="15621" max="15621" width="8.90625" style="2357"/>
    <col min="15622" max="15622" width="2.08984375" style="2357" customWidth="1"/>
    <col min="15623" max="15623" width="23.90625" style="2357" customWidth="1"/>
    <col min="15624" max="15624" width="2.08984375" style="2357" customWidth="1"/>
    <col min="15625" max="15625" width="23.90625" style="2357" customWidth="1"/>
    <col min="15626" max="15626" width="2.08984375" style="2357" customWidth="1"/>
    <col min="15627" max="15627" width="23.90625" style="2357" customWidth="1"/>
    <col min="15628" max="15628" width="2.08984375" style="2357" customWidth="1"/>
    <col min="15629" max="15629" width="23.90625" style="2357" customWidth="1"/>
    <col min="15630" max="15630" width="2.08984375" style="2357" customWidth="1"/>
    <col min="15631" max="15631" width="23.90625" style="2357" customWidth="1"/>
    <col min="15632" max="15632" width="2.81640625" style="2357" bestFit="1" customWidth="1"/>
    <col min="15633" max="15871" width="8.90625" style="2357"/>
    <col min="15872" max="15873" width="8.90625" style="2357" customWidth="1"/>
    <col min="15874" max="15874" width="10.1796875" style="2357" customWidth="1"/>
    <col min="15875" max="15875" width="2.1796875" style="2357" customWidth="1"/>
    <col min="15876" max="15876" width="50.453125" style="2357" customWidth="1"/>
    <col min="15877" max="15877" width="8.90625" style="2357"/>
    <col min="15878" max="15878" width="2.08984375" style="2357" customWidth="1"/>
    <col min="15879" max="15879" width="23.90625" style="2357" customWidth="1"/>
    <col min="15880" max="15880" width="2.08984375" style="2357" customWidth="1"/>
    <col min="15881" max="15881" width="23.90625" style="2357" customWidth="1"/>
    <col min="15882" max="15882" width="2.08984375" style="2357" customWidth="1"/>
    <col min="15883" max="15883" width="23.90625" style="2357" customWidth="1"/>
    <col min="15884" max="15884" width="2.08984375" style="2357" customWidth="1"/>
    <col min="15885" max="15885" width="23.90625" style="2357" customWidth="1"/>
    <col min="15886" max="15886" width="2.08984375" style="2357" customWidth="1"/>
    <col min="15887" max="15887" width="23.90625" style="2357" customWidth="1"/>
    <col min="15888" max="15888" width="2.81640625" style="2357" bestFit="1" customWidth="1"/>
    <col min="15889" max="16127" width="8.90625" style="2357"/>
    <col min="16128" max="16129" width="8.90625" style="2357" customWidth="1"/>
    <col min="16130" max="16130" width="10.1796875" style="2357" customWidth="1"/>
    <col min="16131" max="16131" width="2.1796875" style="2357" customWidth="1"/>
    <col min="16132" max="16132" width="50.453125" style="2357" customWidth="1"/>
    <col min="16133" max="16133" width="8.90625" style="2357"/>
    <col min="16134" max="16134" width="2.08984375" style="2357" customWidth="1"/>
    <col min="16135" max="16135" width="23.90625" style="2357" customWidth="1"/>
    <col min="16136" max="16136" width="2.08984375" style="2357" customWidth="1"/>
    <col min="16137" max="16137" width="23.90625" style="2357" customWidth="1"/>
    <col min="16138" max="16138" width="2.08984375" style="2357" customWidth="1"/>
    <col min="16139" max="16139" width="23.90625" style="2357" customWidth="1"/>
    <col min="16140" max="16140" width="2.08984375" style="2357" customWidth="1"/>
    <col min="16141" max="16141" width="23.90625" style="2357" customWidth="1"/>
    <col min="16142" max="16142" width="2.08984375" style="2357" customWidth="1"/>
    <col min="16143" max="16143" width="23.90625" style="2357" customWidth="1"/>
    <col min="16144" max="16144" width="2.81640625" style="2357" bestFit="1" customWidth="1"/>
    <col min="16145" max="16384" width="8.90625" style="2357"/>
  </cols>
  <sheetData>
    <row r="1" spans="2:16" ht="15.6">
      <c r="B1" s="1828"/>
      <c r="C1" s="2355"/>
      <c r="D1" s="1172" t="s">
        <v>1103</v>
      </c>
      <c r="E1" s="2355"/>
      <c r="F1" s="2356"/>
      <c r="G1" s="1828"/>
      <c r="H1" s="2355"/>
      <c r="I1" s="1828"/>
      <c r="J1" s="2355"/>
      <c r="K1" s="1828"/>
      <c r="L1" s="2355"/>
      <c r="M1" s="1828"/>
      <c r="N1" s="2355"/>
      <c r="P1" s="1277"/>
    </row>
    <row r="2" spans="2:16" ht="15.6">
      <c r="B2" s="1828"/>
      <c r="C2" s="2355"/>
      <c r="D2" s="1828"/>
      <c r="E2" s="2355"/>
      <c r="F2" s="2356"/>
      <c r="G2" s="1828"/>
      <c r="H2" s="2355"/>
      <c r="I2" s="1828"/>
      <c r="J2" s="2355"/>
      <c r="K2" s="1828"/>
      <c r="L2" s="2355"/>
      <c r="M2" s="1828"/>
      <c r="N2" s="2355"/>
      <c r="O2" s="2590" t="s">
        <v>636</v>
      </c>
      <c r="P2" s="1277"/>
    </row>
    <row r="3" spans="2:16" ht="15.6">
      <c r="B3" s="1828"/>
      <c r="C3" s="2355"/>
      <c r="D3" s="1828"/>
      <c r="E3" s="2355"/>
      <c r="F3" s="2356"/>
      <c r="G3" s="1828"/>
      <c r="H3" s="2355"/>
      <c r="I3" s="1828"/>
      <c r="J3" s="2355"/>
      <c r="K3" s="1828"/>
      <c r="L3" s="2355"/>
      <c r="M3" s="1828"/>
      <c r="N3" s="2355"/>
      <c r="O3" s="1278"/>
      <c r="P3" s="1279"/>
    </row>
    <row r="4" spans="2:16" ht="17.399999999999999">
      <c r="B4" s="1199"/>
      <c r="C4" s="1280"/>
      <c r="D4" s="1205" t="s">
        <v>0</v>
      </c>
      <c r="E4" s="1280"/>
      <c r="F4" s="1280"/>
      <c r="G4"/>
      <c r="H4" s="1281"/>
      <c r="I4"/>
      <c r="J4" s="1281"/>
      <c r="K4"/>
      <c r="L4" s="1281"/>
      <c r="M4" s="1201"/>
      <c r="N4" s="1201"/>
      <c r="O4" s="2591"/>
      <c r="P4" s="1282"/>
    </row>
    <row r="5" spans="2:16" ht="17.399999999999999">
      <c r="B5" s="1199"/>
      <c r="C5" s="1280"/>
      <c r="D5" s="1205" t="s">
        <v>974</v>
      </c>
      <c r="E5" s="1280"/>
      <c r="F5" s="1280"/>
      <c r="G5"/>
      <c r="H5" s="1281"/>
      <c r="I5"/>
      <c r="J5" s="1281"/>
      <c r="K5"/>
      <c r="L5" s="1281"/>
      <c r="M5" s="1202"/>
      <c r="N5" s="1202"/>
      <c r="O5" s="1202"/>
      <c r="P5" s="1283"/>
    </row>
    <row r="6" spans="2:16" ht="15.6">
      <c r="B6" s="1199"/>
      <c r="C6" s="1280"/>
      <c r="D6" s="1200"/>
      <c r="E6" s="1280"/>
      <c r="F6" s="1280"/>
      <c r="G6"/>
      <c r="H6" s="1281"/>
      <c r="I6"/>
      <c r="J6" s="1281"/>
      <c r="K6"/>
      <c r="L6" s="1281"/>
      <c r="M6" s="1203"/>
      <c r="N6" s="1203"/>
      <c r="O6" s="1203"/>
      <c r="P6" s="1284"/>
    </row>
    <row r="7" spans="2:16" ht="15.6">
      <c r="B7" s="1199"/>
      <c r="C7" s="1285"/>
      <c r="D7" s="1198"/>
      <c r="E7" s="1286"/>
      <c r="F7" s="1286"/>
      <c r="G7"/>
      <c r="H7" s="1281"/>
      <c r="I7"/>
      <c r="J7" s="1281"/>
      <c r="K7"/>
      <c r="L7" s="1281"/>
      <c r="M7" s="1204"/>
      <c r="N7" s="1204"/>
      <c r="O7" s="1204"/>
      <c r="P7" s="1287"/>
    </row>
    <row r="8" spans="2:16" s="976" customFormat="1" ht="16.2" thickBot="1">
      <c r="B8" s="1206" t="s">
        <v>659</v>
      </c>
      <c r="C8" s="1609"/>
      <c r="D8" s="1207" t="s">
        <v>660</v>
      </c>
      <c r="E8" s="1207"/>
      <c r="F8" s="1207"/>
      <c r="G8" s="2358">
        <v>42400</v>
      </c>
      <c r="H8" s="1610"/>
      <c r="I8" s="2358">
        <v>42429</v>
      </c>
      <c r="J8" s="1610"/>
      <c r="K8" s="2358">
        <v>42460</v>
      </c>
      <c r="L8" s="1610"/>
      <c r="M8" s="1610" t="s">
        <v>661</v>
      </c>
      <c r="N8" s="1611"/>
      <c r="O8" s="2358">
        <v>42490</v>
      </c>
      <c r="P8" s="1289"/>
    </row>
    <row r="9" spans="2:16" s="976" customFormat="1" ht="15.6">
      <c r="B9" s="1388"/>
      <c r="C9" s="1291"/>
      <c r="D9" s="3296" t="s">
        <v>151</v>
      </c>
      <c r="E9" s="1288"/>
      <c r="F9" s="1288"/>
      <c r="G9" s="1613"/>
      <c r="H9" s="1612"/>
      <c r="I9" s="1613"/>
      <c r="J9" s="1612"/>
      <c r="K9" s="1613"/>
      <c r="L9" s="1612"/>
      <c r="M9" s="1613"/>
      <c r="N9" s="1613"/>
      <c r="O9" s="1613"/>
      <c r="P9" s="1293"/>
    </row>
    <row r="10" spans="2:16" s="976" customFormat="1" ht="15.6">
      <c r="B10" s="2781">
        <v>10050</v>
      </c>
      <c r="C10" s="1388"/>
      <c r="D10" s="1209" t="s">
        <v>1104</v>
      </c>
      <c r="E10"/>
      <c r="F10" s="1614"/>
      <c r="G10" s="2359">
        <v>0</v>
      </c>
      <c r="H10" s="1615"/>
      <c r="I10" s="2359">
        <v>0</v>
      </c>
      <c r="J10" s="1615"/>
      <c r="K10" s="2359">
        <v>0</v>
      </c>
      <c r="L10" s="1615"/>
      <c r="M10" s="2359">
        <v>0</v>
      </c>
      <c r="N10" s="1615"/>
      <c r="O10" s="2359">
        <v>0</v>
      </c>
      <c r="P10" s="1294" t="s">
        <v>971</v>
      </c>
    </row>
    <row r="11" spans="2:16" s="976" customFormat="1" ht="16.2" thickBot="1">
      <c r="B11" s="1211"/>
      <c r="C11" s="1291"/>
      <c r="D11" s="3297" t="s">
        <v>662</v>
      </c>
      <c r="E11" s="1288"/>
      <c r="F11" s="1288"/>
      <c r="G11" s="2784">
        <f>ROUND(SUM(G10),2)</f>
        <v>0</v>
      </c>
      <c r="H11" s="2785"/>
      <c r="I11" s="2784">
        <f>ROUND(SUM(I10),2)</f>
        <v>0</v>
      </c>
      <c r="J11" s="2785"/>
      <c r="K11" s="2784">
        <f>ROUND(SUM(K10),2)</f>
        <v>0</v>
      </c>
      <c r="L11" s="2785"/>
      <c r="M11" s="2784">
        <f>ROUND(SUM(M10),2)</f>
        <v>0</v>
      </c>
      <c r="N11" s="2785"/>
      <c r="O11" s="2784">
        <f>ROUND(SUM(O10),2)</f>
        <v>0</v>
      </c>
      <c r="P11" s="1294"/>
    </row>
    <row r="12" spans="2:16" s="976" customFormat="1" ht="16.2" thickTop="1">
      <c r="B12" s="1211"/>
      <c r="C12" s="1295"/>
      <c r="D12" s="1213"/>
      <c r="E12" s="1233"/>
      <c r="F12" s="1233"/>
      <c r="G12" s="1232"/>
      <c r="H12" s="1616"/>
      <c r="I12" s="1232"/>
      <c r="J12" s="1616"/>
      <c r="K12" s="1232"/>
      <c r="L12" s="1616"/>
      <c r="M12" s="1232"/>
      <c r="N12" s="1232"/>
      <c r="O12" s="1232"/>
      <c r="P12" s="1225"/>
    </row>
    <row r="13" spans="2:16" s="976" customFormat="1" ht="15.6">
      <c r="B13" s="1211"/>
      <c r="C13" s="1291"/>
      <c r="D13" s="3296" t="s">
        <v>663</v>
      </c>
      <c r="E13" s="1288"/>
      <c r="F13" s="1288"/>
      <c r="G13" s="1618"/>
      <c r="H13" s="1617"/>
      <c r="I13" s="1618"/>
      <c r="J13" s="1617"/>
      <c r="K13" s="1618"/>
      <c r="L13" s="1617"/>
      <c r="M13" s="1618"/>
      <c r="N13" s="1618"/>
      <c r="O13" s="1618"/>
      <c r="P13" s="1225"/>
    </row>
    <row r="14" spans="2:16" s="976" customFormat="1" ht="15.6">
      <c r="B14" s="2781">
        <v>30051</v>
      </c>
      <c r="C14" s="1828"/>
      <c r="D14" s="1209" t="s">
        <v>664</v>
      </c>
      <c r="E14" s="1828"/>
      <c r="F14" s="1829">
        <v>227042324.13</v>
      </c>
      <c r="G14" s="1829">
        <v>306669749.93000001</v>
      </c>
      <c r="H14" s="1829"/>
      <c r="I14" s="1829">
        <v>398025896.06999999</v>
      </c>
      <c r="J14" s="1829"/>
      <c r="K14" s="1829">
        <v>0</v>
      </c>
      <c r="L14" s="1829"/>
      <c r="M14" s="2360">
        <f>ROUND(SUM(O14)-SUM(K14),2)</f>
        <v>0</v>
      </c>
      <c r="N14" s="1829"/>
      <c r="O14" s="3115">
        <v>0</v>
      </c>
      <c r="P14" s="1294"/>
    </row>
    <row r="15" spans="2:16" s="976" customFormat="1" ht="15.6">
      <c r="B15" s="2781">
        <v>30101</v>
      </c>
      <c r="C15" s="1828"/>
      <c r="D15" s="1209" t="s">
        <v>665</v>
      </c>
      <c r="E15" s="1828"/>
      <c r="F15" s="1829">
        <v>0</v>
      </c>
      <c r="G15" s="1829">
        <v>0</v>
      </c>
      <c r="H15" s="1829"/>
      <c r="I15" s="1829">
        <v>0</v>
      </c>
      <c r="J15" s="1829"/>
      <c r="K15" s="1829">
        <v>0</v>
      </c>
      <c r="L15" s="1829"/>
      <c r="M15" s="2360">
        <f t="shared" ref="M15:M78" si="0">ROUND(SUM(O15)-SUM(K15),2)</f>
        <v>0</v>
      </c>
      <c r="N15" s="1829"/>
      <c r="O15" s="3115">
        <v>0</v>
      </c>
      <c r="P15" s="1225"/>
    </row>
    <row r="16" spans="2:16" s="976" customFormat="1" ht="15.6">
      <c r="B16" s="2781">
        <v>30102</v>
      </c>
      <c r="C16" s="1828"/>
      <c r="D16" s="1209" t="s">
        <v>666</v>
      </c>
      <c r="E16" s="1828"/>
      <c r="F16" s="1829">
        <v>0</v>
      </c>
      <c r="G16" s="1829">
        <v>0</v>
      </c>
      <c r="H16" s="1829"/>
      <c r="I16" s="1829">
        <v>0</v>
      </c>
      <c r="J16" s="1829"/>
      <c r="K16" s="1829">
        <v>0</v>
      </c>
      <c r="L16" s="1829"/>
      <c r="M16" s="2360">
        <f t="shared" si="0"/>
        <v>0</v>
      </c>
      <c r="N16" s="1829"/>
      <c r="O16" s="3115">
        <v>0</v>
      </c>
      <c r="P16" s="1225"/>
    </row>
    <row r="17" spans="2:16" s="976" customFormat="1" ht="15.6">
      <c r="B17" s="2781">
        <v>30103</v>
      </c>
      <c r="C17" s="1828"/>
      <c r="D17" s="1209" t="s">
        <v>667</v>
      </c>
      <c r="E17" s="1828"/>
      <c r="F17" s="1829">
        <v>0</v>
      </c>
      <c r="G17" s="1829">
        <v>0</v>
      </c>
      <c r="H17" s="1829"/>
      <c r="I17" s="1829">
        <v>0</v>
      </c>
      <c r="J17" s="1829"/>
      <c r="K17" s="1829">
        <v>0</v>
      </c>
      <c r="L17" s="1829"/>
      <c r="M17" s="2360">
        <f t="shared" si="0"/>
        <v>0</v>
      </c>
      <c r="N17" s="1829"/>
      <c r="O17" s="3115">
        <v>0</v>
      </c>
      <c r="P17" s="1225"/>
    </row>
    <row r="18" spans="2:16" s="976" customFormat="1" ht="15.6">
      <c r="B18" s="2781">
        <v>30104</v>
      </c>
      <c r="C18" s="1828"/>
      <c r="D18" s="1209" t="s">
        <v>668</v>
      </c>
      <c r="E18" s="1828"/>
      <c r="F18" s="1829">
        <v>140390.18</v>
      </c>
      <c r="G18" s="1829">
        <v>0</v>
      </c>
      <c r="H18" s="1829"/>
      <c r="I18" s="1829">
        <v>0</v>
      </c>
      <c r="J18" s="1829"/>
      <c r="K18" s="1829">
        <v>0</v>
      </c>
      <c r="L18" s="1829"/>
      <c r="M18" s="2360">
        <f t="shared" si="0"/>
        <v>0</v>
      </c>
      <c r="N18" s="1829"/>
      <c r="O18" s="3115">
        <v>0</v>
      </c>
      <c r="P18" s="1225"/>
    </row>
    <row r="19" spans="2:16" s="976" customFormat="1" ht="15.6">
      <c r="B19" s="2781">
        <v>30105</v>
      </c>
      <c r="C19" s="1828"/>
      <c r="D19" s="1209" t="s">
        <v>669</v>
      </c>
      <c r="E19" s="1828"/>
      <c r="F19" s="1829">
        <v>0</v>
      </c>
      <c r="G19" s="1829">
        <v>0</v>
      </c>
      <c r="H19" s="1829"/>
      <c r="I19" s="1829">
        <v>0</v>
      </c>
      <c r="J19" s="1829"/>
      <c r="K19" s="1829">
        <v>0</v>
      </c>
      <c r="L19" s="1829"/>
      <c r="M19" s="2360">
        <f t="shared" si="0"/>
        <v>0</v>
      </c>
      <c r="N19" s="1829"/>
      <c r="O19" s="3115">
        <v>0</v>
      </c>
      <c r="P19" s="1225"/>
    </row>
    <row r="20" spans="2:16" s="976" customFormat="1" ht="15.6">
      <c r="B20" s="2781">
        <v>30106</v>
      </c>
      <c r="C20" s="1828"/>
      <c r="D20" s="1209" t="s">
        <v>1164</v>
      </c>
      <c r="E20" s="1828"/>
      <c r="F20" s="1829">
        <v>0</v>
      </c>
      <c r="G20" s="1829">
        <v>0</v>
      </c>
      <c r="H20" s="1829"/>
      <c r="I20" s="1829">
        <v>0</v>
      </c>
      <c r="J20" s="1829"/>
      <c r="K20" s="1829">
        <v>0</v>
      </c>
      <c r="L20" s="1829"/>
      <c r="M20" s="2360">
        <f t="shared" si="0"/>
        <v>0</v>
      </c>
      <c r="N20" s="1829"/>
      <c r="O20" s="3115">
        <v>0</v>
      </c>
      <c r="P20" s="1225"/>
    </row>
    <row r="21" spans="2:16" s="976" customFormat="1" ht="15.6">
      <c r="B21" s="2781">
        <v>30107</v>
      </c>
      <c r="C21" s="1828"/>
      <c r="D21" s="1209" t="s">
        <v>670</v>
      </c>
      <c r="E21" s="1828"/>
      <c r="F21" s="1829">
        <v>0</v>
      </c>
      <c r="G21" s="1829">
        <v>0</v>
      </c>
      <c r="H21" s="1829"/>
      <c r="I21" s="1829">
        <v>0</v>
      </c>
      <c r="J21" s="1829"/>
      <c r="K21" s="1829">
        <v>0</v>
      </c>
      <c r="L21" s="1829"/>
      <c r="M21" s="2360">
        <f t="shared" si="0"/>
        <v>0</v>
      </c>
      <c r="N21" s="1829"/>
      <c r="O21" s="3115">
        <v>0</v>
      </c>
      <c r="P21" s="1225"/>
    </row>
    <row r="22" spans="2:16" s="976" customFormat="1" ht="15.6">
      <c r="B22" s="2781">
        <v>30108</v>
      </c>
      <c r="C22" s="1828"/>
      <c r="D22" s="1209" t="s">
        <v>1165</v>
      </c>
      <c r="E22" s="1828"/>
      <c r="F22" s="1829">
        <v>0</v>
      </c>
      <c r="G22" s="1829">
        <v>0</v>
      </c>
      <c r="H22" s="1829"/>
      <c r="I22" s="1829">
        <v>0</v>
      </c>
      <c r="J22" s="1829"/>
      <c r="K22" s="1829">
        <v>0</v>
      </c>
      <c r="L22" s="1829"/>
      <c r="M22" s="2360">
        <f t="shared" si="0"/>
        <v>0</v>
      </c>
      <c r="N22" s="1829"/>
      <c r="O22" s="3115">
        <v>0</v>
      </c>
      <c r="P22" s="1225"/>
    </row>
    <row r="23" spans="2:16" s="976" customFormat="1" ht="15.6">
      <c r="B23" s="2781">
        <v>30109</v>
      </c>
      <c r="C23" s="1828"/>
      <c r="D23" s="1209" t="s">
        <v>671</v>
      </c>
      <c r="E23" s="1828"/>
      <c r="F23" s="1829">
        <v>0</v>
      </c>
      <c r="G23" s="1829">
        <v>0</v>
      </c>
      <c r="H23" s="1829"/>
      <c r="I23" s="1829">
        <v>0</v>
      </c>
      <c r="J23" s="1829"/>
      <c r="K23" s="1829">
        <v>0</v>
      </c>
      <c r="L23" s="1829"/>
      <c r="M23" s="2360">
        <f t="shared" si="0"/>
        <v>0</v>
      </c>
      <c r="N23" s="1829"/>
      <c r="O23" s="3115">
        <v>0</v>
      </c>
      <c r="P23" s="1225"/>
    </row>
    <row r="24" spans="2:16" s="976" customFormat="1" ht="15.6">
      <c r="B24" s="2781">
        <v>30110</v>
      </c>
      <c r="C24" s="1828"/>
      <c r="D24" s="1209" t="s">
        <v>672</v>
      </c>
      <c r="E24" s="1828"/>
      <c r="F24" s="1829">
        <v>0</v>
      </c>
      <c r="G24" s="1829">
        <v>0</v>
      </c>
      <c r="H24" s="1829"/>
      <c r="I24" s="1829">
        <v>0</v>
      </c>
      <c r="J24" s="1829"/>
      <c r="K24" s="1829">
        <v>0</v>
      </c>
      <c r="L24" s="1829"/>
      <c r="M24" s="2360">
        <f t="shared" si="0"/>
        <v>0</v>
      </c>
      <c r="N24" s="1829"/>
      <c r="O24" s="3115">
        <v>0</v>
      </c>
      <c r="P24" s="1225"/>
    </row>
    <row r="25" spans="2:16" s="976" customFormat="1" ht="15.6">
      <c r="B25" s="2781">
        <v>30111</v>
      </c>
      <c r="C25" s="1828"/>
      <c r="D25" s="1209" t="s">
        <v>673</v>
      </c>
      <c r="E25" s="1828"/>
      <c r="F25" s="1829">
        <v>0</v>
      </c>
      <c r="G25" s="1829">
        <v>0</v>
      </c>
      <c r="H25" s="1829"/>
      <c r="I25" s="1829">
        <v>0</v>
      </c>
      <c r="J25" s="1829"/>
      <c r="K25" s="1829">
        <v>0</v>
      </c>
      <c r="L25" s="1829"/>
      <c r="M25" s="2360">
        <f t="shared" si="0"/>
        <v>0</v>
      </c>
      <c r="N25" s="1829"/>
      <c r="O25" s="3115">
        <v>0</v>
      </c>
      <c r="P25" s="1225"/>
    </row>
    <row r="26" spans="2:16" s="976" customFormat="1" ht="15.6">
      <c r="B26" s="2781">
        <v>30112</v>
      </c>
      <c r="C26" s="1828"/>
      <c r="D26" s="1209" t="s">
        <v>674</v>
      </c>
      <c r="E26" s="1828"/>
      <c r="F26" s="1829">
        <v>0</v>
      </c>
      <c r="G26" s="1829">
        <v>0</v>
      </c>
      <c r="H26" s="1829"/>
      <c r="I26" s="1829">
        <v>0</v>
      </c>
      <c r="J26" s="1829"/>
      <c r="K26" s="1829">
        <v>0</v>
      </c>
      <c r="L26" s="1829"/>
      <c r="M26" s="2360">
        <f t="shared" si="0"/>
        <v>0</v>
      </c>
      <c r="N26" s="1829"/>
      <c r="O26" s="3115">
        <v>0</v>
      </c>
      <c r="P26" s="1225"/>
    </row>
    <row r="27" spans="2:16" s="976" customFormat="1" ht="15.6">
      <c r="B27" s="2781">
        <v>30113</v>
      </c>
      <c r="C27" s="1828"/>
      <c r="D27" s="1209" t="s">
        <v>675</v>
      </c>
      <c r="E27" s="1828"/>
      <c r="F27" s="1829">
        <v>0</v>
      </c>
      <c r="G27" s="1829">
        <v>0</v>
      </c>
      <c r="H27" s="1829"/>
      <c r="I27" s="1829">
        <v>0</v>
      </c>
      <c r="J27" s="1829"/>
      <c r="K27" s="1829">
        <v>0</v>
      </c>
      <c r="L27" s="1829"/>
      <c r="M27" s="2360">
        <f t="shared" si="0"/>
        <v>0</v>
      </c>
      <c r="N27" s="1829"/>
      <c r="O27" s="3115">
        <v>0</v>
      </c>
      <c r="P27" s="1225"/>
    </row>
    <row r="28" spans="2:16" s="976" customFormat="1" ht="15.6">
      <c r="B28" s="2781">
        <v>30114</v>
      </c>
      <c r="C28" s="1828"/>
      <c r="D28" s="1209" t="s">
        <v>676</v>
      </c>
      <c r="E28" s="1828"/>
      <c r="F28" s="1829">
        <v>0</v>
      </c>
      <c r="G28" s="1829">
        <v>0</v>
      </c>
      <c r="H28" s="1829"/>
      <c r="I28" s="1829">
        <v>0</v>
      </c>
      <c r="J28" s="1829"/>
      <c r="K28" s="1829">
        <v>0</v>
      </c>
      <c r="L28" s="1829"/>
      <c r="M28" s="2360">
        <f t="shared" si="0"/>
        <v>0</v>
      </c>
      <c r="N28" s="1829"/>
      <c r="O28" s="3115">
        <v>0</v>
      </c>
      <c r="P28" s="1225"/>
    </row>
    <row r="29" spans="2:16" s="976" customFormat="1" ht="15.6">
      <c r="B29" s="2781">
        <v>30115</v>
      </c>
      <c r="C29" s="1828"/>
      <c r="D29" s="1209" t="s">
        <v>677</v>
      </c>
      <c r="E29" s="1828"/>
      <c r="F29" s="1829">
        <v>0</v>
      </c>
      <c r="G29" s="1829">
        <v>0</v>
      </c>
      <c r="H29" s="1829"/>
      <c r="I29" s="1829">
        <v>0</v>
      </c>
      <c r="J29" s="1829"/>
      <c r="K29" s="1829">
        <v>0</v>
      </c>
      <c r="L29" s="1829"/>
      <c r="M29" s="2360">
        <f t="shared" si="0"/>
        <v>0</v>
      </c>
      <c r="N29" s="1829"/>
      <c r="O29" s="3115">
        <v>0</v>
      </c>
      <c r="P29" s="1225"/>
    </row>
    <row r="30" spans="2:16" s="976" customFormat="1" ht="15.6">
      <c r="B30" s="2781">
        <v>30116</v>
      </c>
      <c r="C30" s="1828"/>
      <c r="D30" s="1209" t="s">
        <v>678</v>
      </c>
      <c r="E30" s="1828"/>
      <c r="F30" s="1829">
        <v>0</v>
      </c>
      <c r="G30" s="1829">
        <v>0</v>
      </c>
      <c r="H30" s="1829"/>
      <c r="I30" s="1829">
        <v>0</v>
      </c>
      <c r="J30" s="1829"/>
      <c r="K30" s="1829">
        <v>0</v>
      </c>
      <c r="L30" s="1829"/>
      <c r="M30" s="2360">
        <f t="shared" si="0"/>
        <v>0</v>
      </c>
      <c r="N30" s="1829"/>
      <c r="O30" s="3115">
        <v>0</v>
      </c>
      <c r="P30" s="1225"/>
    </row>
    <row r="31" spans="2:16" s="976" customFormat="1" ht="15.6">
      <c r="B31" s="2781">
        <v>30117</v>
      </c>
      <c r="C31" s="1828"/>
      <c r="D31" s="1209" t="s">
        <v>679</v>
      </c>
      <c r="E31" s="1828"/>
      <c r="F31" s="1829">
        <v>0</v>
      </c>
      <c r="G31" s="1829">
        <v>0</v>
      </c>
      <c r="H31" s="1829"/>
      <c r="I31" s="1829">
        <v>0</v>
      </c>
      <c r="J31" s="1829"/>
      <c r="K31" s="1829">
        <v>0</v>
      </c>
      <c r="L31" s="1829"/>
      <c r="M31" s="2360">
        <f t="shared" si="0"/>
        <v>0</v>
      </c>
      <c r="N31" s="1829"/>
      <c r="O31" s="3115">
        <v>0</v>
      </c>
      <c r="P31" s="1225"/>
    </row>
    <row r="32" spans="2:16" s="976" customFormat="1" ht="15.6">
      <c r="B32" s="2781">
        <v>30118</v>
      </c>
      <c r="C32" s="1828"/>
      <c r="D32" s="1209" t="s">
        <v>680</v>
      </c>
      <c r="E32" s="1828"/>
      <c r="F32" s="1829">
        <v>0</v>
      </c>
      <c r="G32" s="1829">
        <v>0</v>
      </c>
      <c r="H32" s="1829"/>
      <c r="I32" s="1829">
        <v>0</v>
      </c>
      <c r="J32" s="1829"/>
      <c r="K32" s="1829">
        <v>0</v>
      </c>
      <c r="L32" s="1829"/>
      <c r="M32" s="2360">
        <f t="shared" si="0"/>
        <v>0</v>
      </c>
      <c r="N32" s="1829"/>
      <c r="O32" s="3115">
        <v>0</v>
      </c>
      <c r="P32" s="1225"/>
    </row>
    <row r="33" spans="2:16" s="976" customFormat="1" ht="15.6">
      <c r="B33" s="2781">
        <v>30119</v>
      </c>
      <c r="C33" s="1828"/>
      <c r="D33" s="1209" t="s">
        <v>681</v>
      </c>
      <c r="E33" s="1828"/>
      <c r="F33" s="1829">
        <v>0</v>
      </c>
      <c r="G33" s="1829">
        <v>0</v>
      </c>
      <c r="H33" s="1829"/>
      <c r="I33" s="1829">
        <v>0</v>
      </c>
      <c r="J33" s="1829"/>
      <c r="K33" s="1829">
        <v>0</v>
      </c>
      <c r="L33" s="1829"/>
      <c r="M33" s="2360">
        <f t="shared" si="0"/>
        <v>0</v>
      </c>
      <c r="N33" s="1829"/>
      <c r="O33" s="3115">
        <v>0</v>
      </c>
      <c r="P33" s="1225"/>
    </row>
    <row r="34" spans="2:16" s="976" customFormat="1" ht="15.6">
      <c r="B34" s="2781">
        <v>30120</v>
      </c>
      <c r="C34" s="1828"/>
      <c r="D34" s="1209" t="s">
        <v>682</v>
      </c>
      <c r="E34" s="1828"/>
      <c r="F34" s="1829">
        <v>0</v>
      </c>
      <c r="G34" s="1829">
        <v>0</v>
      </c>
      <c r="H34" s="1829"/>
      <c r="I34" s="1829">
        <v>0</v>
      </c>
      <c r="J34" s="1829"/>
      <c r="K34" s="1829">
        <v>0</v>
      </c>
      <c r="L34" s="1829"/>
      <c r="M34" s="2360">
        <f t="shared" si="0"/>
        <v>0</v>
      </c>
      <c r="N34" s="1829"/>
      <c r="O34" s="3115">
        <v>0</v>
      </c>
      <c r="P34" s="1225"/>
    </row>
    <row r="35" spans="2:16" s="976" customFormat="1" ht="15.6">
      <c r="B35" s="2781">
        <v>30121</v>
      </c>
      <c r="C35" s="1828"/>
      <c r="D35" s="1209" t="s">
        <v>683</v>
      </c>
      <c r="E35" s="1828"/>
      <c r="F35" s="1829">
        <v>0</v>
      </c>
      <c r="G35" s="1829">
        <v>0</v>
      </c>
      <c r="H35" s="1829"/>
      <c r="I35" s="1829">
        <v>0</v>
      </c>
      <c r="J35" s="1829"/>
      <c r="K35" s="1829">
        <v>0</v>
      </c>
      <c r="L35" s="1829"/>
      <c r="M35" s="2360">
        <f t="shared" si="0"/>
        <v>0</v>
      </c>
      <c r="N35" s="1829"/>
      <c r="O35" s="3115">
        <v>0</v>
      </c>
      <c r="P35" s="1225"/>
    </row>
    <row r="36" spans="2:16" s="976" customFormat="1" ht="15.6">
      <c r="B36" s="2781">
        <v>30122</v>
      </c>
      <c r="C36" s="1828"/>
      <c r="D36" s="1209" t="s">
        <v>684</v>
      </c>
      <c r="E36" s="1828"/>
      <c r="F36" s="1829">
        <v>0</v>
      </c>
      <c r="G36" s="1829">
        <v>0</v>
      </c>
      <c r="H36" s="1829"/>
      <c r="I36" s="1829">
        <v>0</v>
      </c>
      <c r="J36" s="1829"/>
      <c r="K36" s="1829">
        <v>0</v>
      </c>
      <c r="L36" s="1829"/>
      <c r="M36" s="2360">
        <f t="shared" si="0"/>
        <v>0</v>
      </c>
      <c r="N36" s="1829"/>
      <c r="O36" s="3115">
        <v>0</v>
      </c>
      <c r="P36" s="1225"/>
    </row>
    <row r="37" spans="2:16" s="976" customFormat="1" ht="15.6">
      <c r="B37" s="2781">
        <v>30123</v>
      </c>
      <c r="C37" s="1828"/>
      <c r="D37" s="1209" t="s">
        <v>685</v>
      </c>
      <c r="E37" s="1828"/>
      <c r="F37" s="1829">
        <v>0</v>
      </c>
      <c r="G37" s="1829">
        <v>0</v>
      </c>
      <c r="H37" s="1829"/>
      <c r="I37" s="1829">
        <v>0</v>
      </c>
      <c r="J37" s="1829"/>
      <c r="K37" s="1829">
        <v>0</v>
      </c>
      <c r="L37" s="1829"/>
      <c r="M37" s="2360">
        <f t="shared" si="0"/>
        <v>0</v>
      </c>
      <c r="N37" s="1829"/>
      <c r="O37" s="3115">
        <v>0</v>
      </c>
      <c r="P37" s="1225"/>
    </row>
    <row r="38" spans="2:16" s="976" customFormat="1" ht="15.6">
      <c r="B38" s="2781">
        <v>30124</v>
      </c>
      <c r="C38" s="1828"/>
      <c r="D38" s="1209" t="s">
        <v>686</v>
      </c>
      <c r="E38" s="1828"/>
      <c r="F38" s="1829">
        <v>0</v>
      </c>
      <c r="G38" s="1829">
        <v>0</v>
      </c>
      <c r="H38" s="1829"/>
      <c r="I38" s="1829">
        <v>0</v>
      </c>
      <c r="J38" s="1829"/>
      <c r="K38" s="1829">
        <v>0</v>
      </c>
      <c r="L38" s="1829"/>
      <c r="M38" s="2360">
        <f t="shared" si="0"/>
        <v>0</v>
      </c>
      <c r="N38" s="1829"/>
      <c r="O38" s="3115">
        <v>0</v>
      </c>
      <c r="P38" s="1225"/>
    </row>
    <row r="39" spans="2:16" s="976" customFormat="1" ht="15.6">
      <c r="B39" s="2781">
        <v>30125</v>
      </c>
      <c r="C39" s="1828"/>
      <c r="D39" s="1209" t="s">
        <v>687</v>
      </c>
      <c r="E39" s="1828"/>
      <c r="F39" s="1829">
        <v>0</v>
      </c>
      <c r="G39" s="1829">
        <v>0</v>
      </c>
      <c r="H39" s="1829"/>
      <c r="I39" s="1829">
        <v>0</v>
      </c>
      <c r="J39" s="1829"/>
      <c r="K39" s="1829">
        <v>0</v>
      </c>
      <c r="L39" s="1829"/>
      <c r="M39" s="2360">
        <f t="shared" si="0"/>
        <v>0</v>
      </c>
      <c r="N39" s="1829"/>
      <c r="O39" s="3115">
        <v>0</v>
      </c>
      <c r="P39" s="1225"/>
    </row>
    <row r="40" spans="2:16" s="976" customFormat="1" ht="15.6">
      <c r="B40" s="2781">
        <v>30126</v>
      </c>
      <c r="C40" s="1828"/>
      <c r="D40" s="1209" t="s">
        <v>688</v>
      </c>
      <c r="E40" s="1828"/>
      <c r="F40" s="1829">
        <v>0</v>
      </c>
      <c r="G40" s="1829">
        <v>0</v>
      </c>
      <c r="H40" s="1829"/>
      <c r="I40" s="1829">
        <v>0</v>
      </c>
      <c r="J40" s="1829"/>
      <c r="K40" s="1829">
        <v>0</v>
      </c>
      <c r="L40" s="1829"/>
      <c r="M40" s="2360">
        <f t="shared" si="0"/>
        <v>0</v>
      </c>
      <c r="N40" s="1829"/>
      <c r="O40" s="3115">
        <v>0</v>
      </c>
      <c r="P40" s="1225"/>
    </row>
    <row r="41" spans="2:16" s="976" customFormat="1" ht="15.6">
      <c r="B41" s="2781">
        <v>30127</v>
      </c>
      <c r="C41" s="1828"/>
      <c r="D41" s="1209" t="s">
        <v>689</v>
      </c>
      <c r="E41" s="1828"/>
      <c r="F41" s="1829">
        <v>0</v>
      </c>
      <c r="G41" s="1829">
        <v>0</v>
      </c>
      <c r="H41" s="1829"/>
      <c r="I41" s="1829">
        <v>0</v>
      </c>
      <c r="J41" s="1829"/>
      <c r="K41" s="1829">
        <v>0</v>
      </c>
      <c r="L41" s="1829"/>
      <c r="M41" s="2360">
        <f t="shared" si="0"/>
        <v>0</v>
      </c>
      <c r="N41" s="1829"/>
      <c r="O41" s="3115">
        <v>0</v>
      </c>
      <c r="P41" s="1225"/>
    </row>
    <row r="42" spans="2:16" s="976" customFormat="1" ht="15.6">
      <c r="B42" s="2781">
        <v>30128</v>
      </c>
      <c r="C42" s="1828"/>
      <c r="D42" s="1209" t="s">
        <v>690</v>
      </c>
      <c r="E42" s="1828"/>
      <c r="F42" s="1829">
        <v>0</v>
      </c>
      <c r="G42" s="1829">
        <v>0</v>
      </c>
      <c r="H42" s="1829"/>
      <c r="I42" s="1829">
        <v>0</v>
      </c>
      <c r="J42" s="1829"/>
      <c r="K42" s="1829">
        <v>0</v>
      </c>
      <c r="L42" s="1829"/>
      <c r="M42" s="2360">
        <f t="shared" si="0"/>
        <v>0</v>
      </c>
      <c r="N42" s="1829"/>
      <c r="O42" s="3115">
        <v>0</v>
      </c>
      <c r="P42" s="1225"/>
    </row>
    <row r="43" spans="2:16" s="976" customFormat="1" ht="15.6">
      <c r="B43" s="2781">
        <v>30129</v>
      </c>
      <c r="C43" s="1828"/>
      <c r="D43" s="1209" t="s">
        <v>691</v>
      </c>
      <c r="E43" s="1828"/>
      <c r="F43" s="1829">
        <v>0</v>
      </c>
      <c r="G43" s="1829">
        <v>0</v>
      </c>
      <c r="H43" s="1829"/>
      <c r="I43" s="1829">
        <v>0</v>
      </c>
      <c r="J43" s="1829"/>
      <c r="K43" s="1829">
        <v>0</v>
      </c>
      <c r="L43" s="1829"/>
      <c r="M43" s="2360">
        <f t="shared" si="0"/>
        <v>0</v>
      </c>
      <c r="N43" s="1829"/>
      <c r="O43" s="3115">
        <v>0</v>
      </c>
      <c r="P43" s="1225"/>
    </row>
    <row r="44" spans="2:16" s="976" customFormat="1" ht="15.6">
      <c r="B44" s="2781">
        <v>30130</v>
      </c>
      <c r="C44" s="1828"/>
      <c r="D44" s="1209" t="s">
        <v>692</v>
      </c>
      <c r="E44" s="1828"/>
      <c r="F44" s="1829">
        <v>0</v>
      </c>
      <c r="G44" s="1829">
        <v>0</v>
      </c>
      <c r="H44" s="1829"/>
      <c r="I44" s="1829">
        <v>0</v>
      </c>
      <c r="J44" s="1829"/>
      <c r="K44" s="1829">
        <v>0</v>
      </c>
      <c r="L44" s="1829"/>
      <c r="M44" s="2360">
        <f t="shared" si="0"/>
        <v>0</v>
      </c>
      <c r="N44" s="1829"/>
      <c r="O44" s="3115">
        <v>0</v>
      </c>
      <c r="P44" s="1225"/>
    </row>
    <row r="45" spans="2:16" s="976" customFormat="1" ht="15.6">
      <c r="B45" s="2781">
        <v>30131</v>
      </c>
      <c r="C45" s="1828"/>
      <c r="D45" s="1209" t="s">
        <v>693</v>
      </c>
      <c r="E45" s="1828"/>
      <c r="F45" s="1829">
        <v>0</v>
      </c>
      <c r="G45" s="1829">
        <v>0</v>
      </c>
      <c r="H45" s="1829"/>
      <c r="I45" s="1829">
        <v>0</v>
      </c>
      <c r="J45" s="1829"/>
      <c r="K45" s="1829">
        <v>0</v>
      </c>
      <c r="L45" s="1829"/>
      <c r="M45" s="2360">
        <f t="shared" si="0"/>
        <v>0</v>
      </c>
      <c r="N45" s="1829"/>
      <c r="O45" s="3115">
        <v>0</v>
      </c>
      <c r="P45" s="1225"/>
    </row>
    <row r="46" spans="2:16" s="976" customFormat="1" ht="15.6">
      <c r="B46" s="2781">
        <v>30132</v>
      </c>
      <c r="C46" s="1828"/>
      <c r="D46" s="1209" t="s">
        <v>694</v>
      </c>
      <c r="E46" s="1828"/>
      <c r="F46" s="1829">
        <v>0</v>
      </c>
      <c r="G46" s="1829">
        <v>0</v>
      </c>
      <c r="H46" s="1829"/>
      <c r="I46" s="1829">
        <v>0</v>
      </c>
      <c r="J46" s="1829"/>
      <c r="K46" s="1829">
        <v>0</v>
      </c>
      <c r="L46" s="1829"/>
      <c r="M46" s="2360">
        <f t="shared" si="0"/>
        <v>0</v>
      </c>
      <c r="N46" s="1829"/>
      <c r="O46" s="3115">
        <v>0</v>
      </c>
      <c r="P46" s="1225"/>
    </row>
    <row r="47" spans="2:16" s="976" customFormat="1" ht="15.6">
      <c r="B47" s="2781">
        <v>30133</v>
      </c>
      <c r="C47" s="1828"/>
      <c r="D47" s="1209" t="s">
        <v>695</v>
      </c>
      <c r="E47" s="1828"/>
      <c r="F47" s="1829">
        <v>0</v>
      </c>
      <c r="G47" s="1829">
        <v>0</v>
      </c>
      <c r="H47" s="1829"/>
      <c r="I47" s="1829">
        <v>0</v>
      </c>
      <c r="J47" s="1829"/>
      <c r="K47" s="1829">
        <v>0</v>
      </c>
      <c r="L47" s="1829"/>
      <c r="M47" s="2360">
        <f t="shared" si="0"/>
        <v>0</v>
      </c>
      <c r="N47" s="1829"/>
      <c r="O47" s="3115">
        <v>0</v>
      </c>
      <c r="P47" s="1225"/>
    </row>
    <row r="48" spans="2:16" s="976" customFormat="1" ht="15.6">
      <c r="B48" s="2781">
        <v>30134</v>
      </c>
      <c r="C48" s="1828"/>
      <c r="D48" s="1209" t="s">
        <v>696</v>
      </c>
      <c r="E48" s="1828"/>
      <c r="F48" s="1829">
        <v>0</v>
      </c>
      <c r="G48" s="1829">
        <v>0</v>
      </c>
      <c r="H48" s="1829"/>
      <c r="I48" s="1829">
        <v>0</v>
      </c>
      <c r="J48" s="1829"/>
      <c r="K48" s="1829">
        <v>0</v>
      </c>
      <c r="L48" s="1829"/>
      <c r="M48" s="2360">
        <f t="shared" si="0"/>
        <v>0</v>
      </c>
      <c r="N48" s="1829"/>
      <c r="O48" s="3115">
        <v>0</v>
      </c>
      <c r="P48" s="1225"/>
    </row>
    <row r="49" spans="2:16" s="976" customFormat="1" ht="15.6">
      <c r="B49" s="2781">
        <v>30135</v>
      </c>
      <c r="C49" s="1828"/>
      <c r="D49" s="1209" t="s">
        <v>697</v>
      </c>
      <c r="E49" s="1828"/>
      <c r="F49" s="1829">
        <v>0</v>
      </c>
      <c r="G49" s="1829">
        <v>0</v>
      </c>
      <c r="H49" s="1829"/>
      <c r="I49" s="1829">
        <v>0</v>
      </c>
      <c r="J49" s="1829"/>
      <c r="K49" s="1829">
        <v>0</v>
      </c>
      <c r="L49" s="1829"/>
      <c r="M49" s="2360">
        <f t="shared" si="0"/>
        <v>0</v>
      </c>
      <c r="N49" s="1829"/>
      <c r="O49" s="3115">
        <v>0</v>
      </c>
      <c r="P49" s="1225"/>
    </row>
    <row r="50" spans="2:16" s="976" customFormat="1" ht="15.6">
      <c r="B50" s="2781">
        <v>30136</v>
      </c>
      <c r="C50" s="1828"/>
      <c r="D50" s="1209" t="s">
        <v>698</v>
      </c>
      <c r="E50" s="1828"/>
      <c r="F50" s="1829">
        <v>0</v>
      </c>
      <c r="G50" s="1829">
        <v>0</v>
      </c>
      <c r="H50" s="1829"/>
      <c r="I50" s="1829">
        <v>0</v>
      </c>
      <c r="J50" s="1829"/>
      <c r="K50" s="1829">
        <v>0</v>
      </c>
      <c r="L50" s="1829"/>
      <c r="M50" s="2360">
        <f t="shared" si="0"/>
        <v>0</v>
      </c>
      <c r="N50" s="1829"/>
      <c r="O50" s="3115">
        <v>0</v>
      </c>
      <c r="P50" s="1225"/>
    </row>
    <row r="51" spans="2:16" s="976" customFormat="1" ht="15.6">
      <c r="B51" s="2781">
        <v>30137</v>
      </c>
      <c r="C51" s="1828"/>
      <c r="D51" s="1209" t="s">
        <v>699</v>
      </c>
      <c r="E51" s="1828"/>
      <c r="F51" s="1829">
        <v>2867.69</v>
      </c>
      <c r="G51" s="1829">
        <v>0</v>
      </c>
      <c r="H51" s="1829"/>
      <c r="I51" s="1829">
        <v>0</v>
      </c>
      <c r="J51" s="1829"/>
      <c r="K51" s="1829">
        <v>0</v>
      </c>
      <c r="L51" s="1829"/>
      <c r="M51" s="2360">
        <f t="shared" si="0"/>
        <v>0</v>
      </c>
      <c r="N51" s="1829"/>
      <c r="O51" s="3115">
        <v>0</v>
      </c>
      <c r="P51" s="1225"/>
    </row>
    <row r="52" spans="2:16" s="976" customFormat="1" ht="15.6">
      <c r="B52" s="2781">
        <v>30138</v>
      </c>
      <c r="C52" s="1828"/>
      <c r="D52" s="1209" t="s">
        <v>700</v>
      </c>
      <c r="E52" s="1828"/>
      <c r="F52" s="1829">
        <v>0</v>
      </c>
      <c r="G52" s="1829">
        <v>0</v>
      </c>
      <c r="H52" s="1829"/>
      <c r="I52" s="1829">
        <v>0</v>
      </c>
      <c r="J52" s="1829"/>
      <c r="K52" s="1829">
        <v>0</v>
      </c>
      <c r="L52" s="1829"/>
      <c r="M52" s="2360">
        <f t="shared" si="0"/>
        <v>0</v>
      </c>
      <c r="N52" s="1829"/>
      <c r="O52" s="3115">
        <v>0</v>
      </c>
      <c r="P52" s="1225"/>
    </row>
    <row r="53" spans="2:16" s="976" customFormat="1" ht="15.6">
      <c r="B53" s="2781">
        <v>30139</v>
      </c>
      <c r="C53" s="1828"/>
      <c r="D53" s="1209" t="s">
        <v>701</v>
      </c>
      <c r="E53" s="1828"/>
      <c r="F53" s="1829">
        <v>0</v>
      </c>
      <c r="G53" s="1829">
        <v>0</v>
      </c>
      <c r="H53" s="1829"/>
      <c r="I53" s="1829">
        <v>0</v>
      </c>
      <c r="J53" s="1829"/>
      <c r="K53" s="1829">
        <v>0</v>
      </c>
      <c r="L53" s="1829"/>
      <c r="M53" s="2360">
        <f t="shared" si="0"/>
        <v>0</v>
      </c>
      <c r="N53" s="1829"/>
      <c r="O53" s="3115">
        <v>0</v>
      </c>
      <c r="P53" s="1225"/>
    </row>
    <row r="54" spans="2:16" s="976" customFormat="1" ht="15.6">
      <c r="B54" s="2781">
        <v>30140</v>
      </c>
      <c r="C54" s="1828"/>
      <c r="D54" s="1209" t="s">
        <v>702</v>
      </c>
      <c r="E54" s="1828"/>
      <c r="F54" s="1829">
        <v>0</v>
      </c>
      <c r="G54" s="1829">
        <v>0</v>
      </c>
      <c r="H54" s="1829"/>
      <c r="I54" s="1829">
        <v>0</v>
      </c>
      <c r="J54" s="1829"/>
      <c r="K54" s="1829">
        <v>0</v>
      </c>
      <c r="L54" s="1829"/>
      <c r="M54" s="2360">
        <f t="shared" si="0"/>
        <v>0</v>
      </c>
      <c r="N54" s="1829"/>
      <c r="O54" s="3115">
        <v>0</v>
      </c>
      <c r="P54" s="1225"/>
    </row>
    <row r="55" spans="2:16" s="976" customFormat="1" ht="15.6">
      <c r="B55" s="2781">
        <v>30141</v>
      </c>
      <c r="C55" s="1828"/>
      <c r="D55" s="1209" t="s">
        <v>703</v>
      </c>
      <c r="E55" s="1828"/>
      <c r="F55" s="1829">
        <v>0</v>
      </c>
      <c r="G55" s="1829">
        <v>0</v>
      </c>
      <c r="H55" s="1829"/>
      <c r="I55" s="1829">
        <v>0</v>
      </c>
      <c r="J55" s="1829"/>
      <c r="K55" s="1829">
        <v>0</v>
      </c>
      <c r="L55" s="1829"/>
      <c r="M55" s="2360">
        <f t="shared" si="0"/>
        <v>0</v>
      </c>
      <c r="N55" s="1829"/>
      <c r="O55" s="3115">
        <v>0</v>
      </c>
      <c r="P55" s="1225"/>
    </row>
    <row r="56" spans="2:16" s="976" customFormat="1" ht="15.6">
      <c r="B56" s="2781">
        <v>30142</v>
      </c>
      <c r="C56" s="1828"/>
      <c r="D56" s="1209" t="s">
        <v>704</v>
      </c>
      <c r="E56" s="1828"/>
      <c r="F56" s="1829">
        <v>0</v>
      </c>
      <c r="G56" s="1829">
        <v>0</v>
      </c>
      <c r="H56" s="1829"/>
      <c r="I56" s="1829">
        <v>0</v>
      </c>
      <c r="J56" s="1829"/>
      <c r="K56" s="1829">
        <v>0</v>
      </c>
      <c r="L56" s="1829"/>
      <c r="M56" s="2360">
        <f t="shared" si="0"/>
        <v>0</v>
      </c>
      <c r="N56" s="1829"/>
      <c r="O56" s="3115">
        <v>0</v>
      </c>
      <c r="P56" s="1225"/>
    </row>
    <row r="57" spans="2:16" s="976" customFormat="1" ht="15.6">
      <c r="B57" s="2781">
        <v>30143</v>
      </c>
      <c r="C57" s="1828"/>
      <c r="D57" s="1209" t="s">
        <v>705</v>
      </c>
      <c r="E57" s="1828"/>
      <c r="F57" s="1829">
        <v>0</v>
      </c>
      <c r="G57" s="1829">
        <v>0</v>
      </c>
      <c r="H57" s="1829"/>
      <c r="I57" s="1829">
        <v>0</v>
      </c>
      <c r="J57" s="1829"/>
      <c r="K57" s="1829">
        <v>0</v>
      </c>
      <c r="L57" s="1829"/>
      <c r="M57" s="2360">
        <f t="shared" si="0"/>
        <v>0</v>
      </c>
      <c r="N57" s="1829"/>
      <c r="O57" s="3115">
        <v>0</v>
      </c>
      <c r="P57" s="1225"/>
    </row>
    <row r="58" spans="2:16" s="976" customFormat="1" ht="15.6">
      <c r="B58" s="2781">
        <v>30144</v>
      </c>
      <c r="C58" s="1828"/>
      <c r="D58" s="1209" t="s">
        <v>706</v>
      </c>
      <c r="E58" s="1828"/>
      <c r="F58" s="1829">
        <v>0</v>
      </c>
      <c r="G58" s="1829">
        <v>0</v>
      </c>
      <c r="H58" s="1829"/>
      <c r="I58" s="1829">
        <v>0</v>
      </c>
      <c r="J58" s="1829"/>
      <c r="K58" s="1829">
        <v>0</v>
      </c>
      <c r="L58" s="1829"/>
      <c r="M58" s="2360">
        <f t="shared" si="0"/>
        <v>0</v>
      </c>
      <c r="N58" s="1829"/>
      <c r="O58" s="3115">
        <v>0</v>
      </c>
      <c r="P58" s="1225"/>
    </row>
    <row r="59" spans="2:16" s="976" customFormat="1" ht="15.6">
      <c r="B59" s="2781">
        <v>30145</v>
      </c>
      <c r="C59" s="1828"/>
      <c r="D59" s="1209" t="s">
        <v>707</v>
      </c>
      <c r="E59" s="1828"/>
      <c r="F59" s="1829">
        <v>0</v>
      </c>
      <c r="G59" s="1829">
        <v>0</v>
      </c>
      <c r="H59" s="1829"/>
      <c r="I59" s="1829">
        <v>0</v>
      </c>
      <c r="J59" s="1829"/>
      <c r="K59" s="1829">
        <v>0</v>
      </c>
      <c r="L59" s="1829"/>
      <c r="M59" s="2360">
        <f t="shared" si="0"/>
        <v>0</v>
      </c>
      <c r="N59" s="1829"/>
      <c r="O59" s="3115">
        <v>0</v>
      </c>
      <c r="P59" s="1225"/>
    </row>
    <row r="60" spans="2:16" s="976" customFormat="1" ht="15.6">
      <c r="B60" s="2781">
        <v>30146</v>
      </c>
      <c r="C60" s="1828"/>
      <c r="D60" s="1209" t="s">
        <v>708</v>
      </c>
      <c r="E60" s="1828"/>
      <c r="F60" s="1829">
        <v>0</v>
      </c>
      <c r="G60" s="1829">
        <v>0</v>
      </c>
      <c r="H60" s="1829"/>
      <c r="I60" s="1829">
        <v>0</v>
      </c>
      <c r="J60" s="1829"/>
      <c r="K60" s="1829">
        <v>0</v>
      </c>
      <c r="L60" s="1829"/>
      <c r="M60" s="2360">
        <f t="shared" si="0"/>
        <v>0</v>
      </c>
      <c r="N60" s="1829"/>
      <c r="O60" s="3115">
        <v>0</v>
      </c>
      <c r="P60" s="1225"/>
    </row>
    <row r="61" spans="2:16" s="976" customFormat="1" ht="15.6">
      <c r="B61" s="2781">
        <v>30147</v>
      </c>
      <c r="C61" s="1828"/>
      <c r="D61" s="1209" t="s">
        <v>709</v>
      </c>
      <c r="E61" s="1828"/>
      <c r="F61" s="1829">
        <v>0</v>
      </c>
      <c r="G61" s="1829">
        <v>0</v>
      </c>
      <c r="H61" s="1829"/>
      <c r="I61" s="1829">
        <v>0</v>
      </c>
      <c r="J61" s="1829"/>
      <c r="K61" s="1829">
        <v>0</v>
      </c>
      <c r="L61" s="1829"/>
      <c r="M61" s="2360">
        <f t="shared" si="0"/>
        <v>0</v>
      </c>
      <c r="N61" s="1829"/>
      <c r="O61" s="3115">
        <v>0</v>
      </c>
      <c r="P61" s="1225"/>
    </row>
    <row r="62" spans="2:16" s="976" customFormat="1" ht="15.6">
      <c r="B62" s="2781">
        <v>30148</v>
      </c>
      <c r="C62" s="1828"/>
      <c r="D62" s="1209" t="s">
        <v>710</v>
      </c>
      <c r="E62" s="1828"/>
      <c r="F62" s="1829">
        <v>0</v>
      </c>
      <c r="G62" s="1829">
        <v>0</v>
      </c>
      <c r="H62" s="1829"/>
      <c r="I62" s="1829">
        <v>0</v>
      </c>
      <c r="J62" s="1829"/>
      <c r="K62" s="1829">
        <v>0</v>
      </c>
      <c r="L62" s="1829"/>
      <c r="M62" s="2360">
        <f t="shared" si="0"/>
        <v>0</v>
      </c>
      <c r="N62" s="1829"/>
      <c r="O62" s="3115">
        <v>0</v>
      </c>
      <c r="P62" s="1225"/>
    </row>
    <row r="63" spans="2:16" s="976" customFormat="1" ht="15.6">
      <c r="B63" s="2781">
        <v>30149</v>
      </c>
      <c r="C63" s="1828"/>
      <c r="D63" s="1209" t="s">
        <v>711</v>
      </c>
      <c r="E63" s="1828"/>
      <c r="F63" s="1829">
        <v>0</v>
      </c>
      <c r="G63" s="1829">
        <v>0</v>
      </c>
      <c r="H63" s="1829"/>
      <c r="I63" s="1829">
        <v>0</v>
      </c>
      <c r="J63" s="1829"/>
      <c r="K63" s="1829">
        <v>0</v>
      </c>
      <c r="L63" s="1829"/>
      <c r="M63" s="2360">
        <f t="shared" si="0"/>
        <v>0</v>
      </c>
      <c r="N63" s="1829"/>
      <c r="O63" s="3115">
        <v>0</v>
      </c>
      <c r="P63" s="1225"/>
    </row>
    <row r="64" spans="2:16" s="976" customFormat="1" ht="15.6">
      <c r="B64" s="2781">
        <v>30150</v>
      </c>
      <c r="C64" s="1828"/>
      <c r="D64" s="1209" t="s">
        <v>712</v>
      </c>
      <c r="E64" s="1828"/>
      <c r="F64" s="1829">
        <v>0</v>
      </c>
      <c r="G64" s="1829">
        <v>0</v>
      </c>
      <c r="H64" s="1829"/>
      <c r="I64" s="1829">
        <v>0</v>
      </c>
      <c r="J64" s="1829"/>
      <c r="K64" s="1829">
        <v>0</v>
      </c>
      <c r="L64" s="1829"/>
      <c r="M64" s="2360">
        <f t="shared" si="0"/>
        <v>0</v>
      </c>
      <c r="N64" s="1829"/>
      <c r="O64" s="3115">
        <v>0</v>
      </c>
      <c r="P64" s="1225"/>
    </row>
    <row r="65" spans="2:16" s="976" customFormat="1" ht="15.6">
      <c r="B65" s="2781">
        <v>30151</v>
      </c>
      <c r="C65" s="1828"/>
      <c r="D65" s="1209" t="s">
        <v>713</v>
      </c>
      <c r="E65" s="1828"/>
      <c r="F65" s="1829">
        <v>0</v>
      </c>
      <c r="G65" s="1829">
        <v>0</v>
      </c>
      <c r="H65" s="1829"/>
      <c r="I65" s="1829">
        <v>0</v>
      </c>
      <c r="J65" s="1829"/>
      <c r="K65" s="1829">
        <v>0</v>
      </c>
      <c r="L65" s="1829"/>
      <c r="M65" s="2360">
        <f t="shared" si="0"/>
        <v>0</v>
      </c>
      <c r="N65" s="1829"/>
      <c r="O65" s="3115">
        <v>0</v>
      </c>
      <c r="P65" s="1225"/>
    </row>
    <row r="66" spans="2:16" s="976" customFormat="1" ht="15.6">
      <c r="B66" s="2781">
        <v>30152</v>
      </c>
      <c r="C66" s="1828"/>
      <c r="D66" s="1209" t="s">
        <v>714</v>
      </c>
      <c r="E66" s="1828"/>
      <c r="F66" s="1829">
        <v>0</v>
      </c>
      <c r="G66" s="1829">
        <v>0</v>
      </c>
      <c r="H66" s="1829"/>
      <c r="I66" s="1829">
        <v>0</v>
      </c>
      <c r="J66" s="1829"/>
      <c r="K66" s="1829">
        <v>0</v>
      </c>
      <c r="L66" s="1829"/>
      <c r="M66" s="2360">
        <f t="shared" si="0"/>
        <v>0</v>
      </c>
      <c r="N66" s="1829"/>
      <c r="O66" s="3115">
        <v>0</v>
      </c>
      <c r="P66" s="1225"/>
    </row>
    <row r="67" spans="2:16" s="976" customFormat="1" ht="15.6">
      <c r="B67" s="2781">
        <v>30153</v>
      </c>
      <c r="C67" s="1828"/>
      <c r="D67" s="1209" t="s">
        <v>715</v>
      </c>
      <c r="E67" s="1828"/>
      <c r="F67" s="1829">
        <v>0</v>
      </c>
      <c r="G67" s="1829">
        <v>0</v>
      </c>
      <c r="H67" s="1829"/>
      <c r="I67" s="1829">
        <v>0</v>
      </c>
      <c r="J67" s="1829"/>
      <c r="K67" s="1829">
        <v>0</v>
      </c>
      <c r="L67" s="1829"/>
      <c r="M67" s="2360">
        <f t="shared" si="0"/>
        <v>0</v>
      </c>
      <c r="N67" s="1829"/>
      <c r="O67" s="3115">
        <v>0</v>
      </c>
      <c r="P67" s="1225"/>
    </row>
    <row r="68" spans="2:16" s="976" customFormat="1" ht="15.6">
      <c r="B68" s="2781">
        <v>30154</v>
      </c>
      <c r="C68" s="1828"/>
      <c r="D68" s="1209" t="s">
        <v>716</v>
      </c>
      <c r="E68" s="1828"/>
      <c r="F68" s="1829">
        <v>0</v>
      </c>
      <c r="G68" s="1829">
        <v>0</v>
      </c>
      <c r="H68" s="1829"/>
      <c r="I68" s="1829">
        <v>0</v>
      </c>
      <c r="J68" s="1829"/>
      <c r="K68" s="1829">
        <v>0</v>
      </c>
      <c r="L68" s="1829"/>
      <c r="M68" s="2360">
        <f t="shared" si="0"/>
        <v>0</v>
      </c>
      <c r="N68" s="1829"/>
      <c r="O68" s="3115">
        <v>0</v>
      </c>
      <c r="P68" s="1225"/>
    </row>
    <row r="69" spans="2:16" s="976" customFormat="1" ht="15.6">
      <c r="B69" s="2781">
        <v>30351</v>
      </c>
      <c r="C69" s="1828"/>
      <c r="D69" s="1209" t="s">
        <v>717</v>
      </c>
      <c r="E69" s="1828"/>
      <c r="F69" s="1829">
        <v>72792259.140000001</v>
      </c>
      <c r="G69" s="1829">
        <v>65526748.850000001</v>
      </c>
      <c r="H69" s="1829"/>
      <c r="I69" s="1829">
        <v>72723379.099999994</v>
      </c>
      <c r="J69" s="1829"/>
      <c r="K69" s="1829">
        <v>83050823.319999993</v>
      </c>
      <c r="L69" s="1829"/>
      <c r="M69" s="2360">
        <f t="shared" si="0"/>
        <v>9173177.4399999995</v>
      </c>
      <c r="N69" s="1829"/>
      <c r="O69" s="3115">
        <v>92224000.760000005</v>
      </c>
      <c r="P69" s="1225"/>
    </row>
    <row r="70" spans="2:16" s="976" customFormat="1" ht="15.6">
      <c r="B70" s="2781">
        <v>30501</v>
      </c>
      <c r="C70" s="1828"/>
      <c r="D70" s="1209" t="s">
        <v>718</v>
      </c>
      <c r="E70" s="1828"/>
      <c r="F70" s="1829">
        <v>169.29</v>
      </c>
      <c r="G70" s="1829">
        <v>0</v>
      </c>
      <c r="H70" s="1829"/>
      <c r="I70" s="1829">
        <v>0</v>
      </c>
      <c r="J70" s="1829"/>
      <c r="K70" s="1829">
        <v>0</v>
      </c>
      <c r="L70" s="1829"/>
      <c r="M70" s="2360">
        <f t="shared" si="0"/>
        <v>0</v>
      </c>
      <c r="N70" s="1829"/>
      <c r="O70" s="3115">
        <v>0</v>
      </c>
      <c r="P70" s="1225"/>
    </row>
    <row r="71" spans="2:16" s="976" customFormat="1" ht="15.6">
      <c r="B71" s="2781">
        <v>30502</v>
      </c>
      <c r="C71" s="1828"/>
      <c r="D71" s="1209" t="s">
        <v>719</v>
      </c>
      <c r="E71" s="1828"/>
      <c r="F71" s="1829">
        <v>0</v>
      </c>
      <c r="G71" s="1829">
        <v>0</v>
      </c>
      <c r="H71" s="1829"/>
      <c r="I71" s="1829">
        <v>0</v>
      </c>
      <c r="J71" s="1829"/>
      <c r="K71" s="1829">
        <v>0</v>
      </c>
      <c r="L71" s="1829"/>
      <c r="M71" s="2360">
        <f t="shared" si="0"/>
        <v>0</v>
      </c>
      <c r="N71" s="1829"/>
      <c r="O71" s="3115">
        <v>0</v>
      </c>
      <c r="P71" s="1225"/>
    </row>
    <row r="72" spans="2:16" s="976" customFormat="1" ht="15.6">
      <c r="B72" s="2781">
        <v>30503</v>
      </c>
      <c r="C72" s="1828"/>
      <c r="D72" s="1209" t="s">
        <v>720</v>
      </c>
      <c r="E72" s="1828"/>
      <c r="F72" s="1829">
        <v>0</v>
      </c>
      <c r="G72" s="1829">
        <v>0</v>
      </c>
      <c r="H72" s="1829"/>
      <c r="I72" s="1829">
        <v>0</v>
      </c>
      <c r="J72" s="1829"/>
      <c r="K72" s="1829">
        <v>0</v>
      </c>
      <c r="L72" s="1829"/>
      <c r="M72" s="2360">
        <f t="shared" si="0"/>
        <v>0</v>
      </c>
      <c r="N72" s="1829"/>
      <c r="O72" s="3115">
        <v>0</v>
      </c>
      <c r="P72" s="1225"/>
    </row>
    <row r="73" spans="2:16" s="976" customFormat="1" ht="15.6">
      <c r="B73" s="2781">
        <v>30504</v>
      </c>
      <c r="C73" s="1828"/>
      <c r="D73" s="1214" t="s">
        <v>721</v>
      </c>
      <c r="E73" s="1828"/>
      <c r="F73" s="1829">
        <v>0</v>
      </c>
      <c r="G73" s="1829">
        <v>0</v>
      </c>
      <c r="H73" s="1829"/>
      <c r="I73" s="1829">
        <v>0</v>
      </c>
      <c r="J73" s="1829"/>
      <c r="K73" s="1829">
        <v>0</v>
      </c>
      <c r="L73" s="1829"/>
      <c r="M73" s="2360">
        <f t="shared" si="0"/>
        <v>0</v>
      </c>
      <c r="N73" s="1829"/>
      <c r="O73" s="3115">
        <v>0</v>
      </c>
      <c r="P73" s="1225"/>
    </row>
    <row r="74" spans="2:16" s="976" customFormat="1" ht="15.6">
      <c r="B74" s="2781">
        <v>31506</v>
      </c>
      <c r="C74" s="1215"/>
      <c r="D74" s="1216" t="s">
        <v>722</v>
      </c>
      <c r="E74" s="1217"/>
      <c r="F74" s="1829">
        <v>109849194.79000001</v>
      </c>
      <c r="G74" s="1829">
        <v>120544411.59</v>
      </c>
      <c r="H74" s="1829"/>
      <c r="I74" s="1829">
        <v>130295328.23</v>
      </c>
      <c r="J74" s="1829"/>
      <c r="K74" s="1829">
        <v>147782868.11000001</v>
      </c>
      <c r="L74" s="1829"/>
      <c r="M74" s="2360">
        <f t="shared" si="0"/>
        <v>3715249.82</v>
      </c>
      <c r="N74" s="1829"/>
      <c r="O74" s="3115">
        <v>151498117.93000001</v>
      </c>
      <c r="P74" s="1225"/>
    </row>
    <row r="75" spans="2:16" s="976" customFormat="1" ht="15.6">
      <c r="B75" s="2781">
        <v>31701</v>
      </c>
      <c r="C75" s="1828"/>
      <c r="D75" s="1209" t="s">
        <v>723</v>
      </c>
      <c r="E75" s="1828"/>
      <c r="F75" s="1829">
        <v>7423246.6200000001</v>
      </c>
      <c r="G75" s="1829">
        <v>18668056.489999998</v>
      </c>
      <c r="H75" s="1829"/>
      <c r="I75" s="1829">
        <v>21016758.199999999</v>
      </c>
      <c r="J75" s="1829"/>
      <c r="K75" s="1829">
        <v>22590743.140000001</v>
      </c>
      <c r="L75" s="1829"/>
      <c r="M75" s="2360">
        <f t="shared" si="0"/>
        <v>1591494.78</v>
      </c>
      <c r="N75" s="1829"/>
      <c r="O75" s="3115">
        <v>24182237.920000002</v>
      </c>
      <c r="P75" s="1225"/>
    </row>
    <row r="76" spans="2:16" s="976" customFormat="1" ht="15.6">
      <c r="B76" s="2781">
        <v>31801</v>
      </c>
      <c r="C76" s="1828"/>
      <c r="D76" s="1209" t="s">
        <v>724</v>
      </c>
      <c r="E76" s="1828"/>
      <c r="F76" s="1829">
        <v>13150846.050000001</v>
      </c>
      <c r="G76" s="1829">
        <v>10815607.539999999</v>
      </c>
      <c r="H76" s="1829"/>
      <c r="I76" s="1829">
        <v>10815607.539999999</v>
      </c>
      <c r="J76" s="1829"/>
      <c r="K76" s="1829">
        <v>10815607.539999999</v>
      </c>
      <c r="L76" s="1829"/>
      <c r="M76" s="2360">
        <f t="shared" si="0"/>
        <v>0</v>
      </c>
      <c r="N76" s="1829"/>
      <c r="O76" s="3115">
        <v>10815607.539999999</v>
      </c>
      <c r="P76" s="1225"/>
    </row>
    <row r="77" spans="2:16" s="976" customFormat="1" ht="15.6">
      <c r="B77" s="2781">
        <v>31851</v>
      </c>
      <c r="C77" s="1828"/>
      <c r="D77" s="1214" t="s">
        <v>725</v>
      </c>
      <c r="E77" s="1828"/>
      <c r="F77" s="1829">
        <v>0</v>
      </c>
      <c r="G77" s="1829">
        <v>0</v>
      </c>
      <c r="H77" s="1829"/>
      <c r="I77" s="1829">
        <v>0</v>
      </c>
      <c r="J77" s="1829"/>
      <c r="K77" s="1829">
        <v>19608622.210000001</v>
      </c>
      <c r="L77" s="1829"/>
      <c r="M77" s="2360">
        <f t="shared" si="0"/>
        <v>0</v>
      </c>
      <c r="N77" s="1829"/>
      <c r="O77" s="3115">
        <v>19608622.210000001</v>
      </c>
      <c r="P77" s="1225"/>
    </row>
    <row r="78" spans="2:16" s="976" customFormat="1" ht="15.6">
      <c r="B78" s="2781">
        <v>31852</v>
      </c>
      <c r="C78" s="1828"/>
      <c r="D78" s="1209" t="s">
        <v>726</v>
      </c>
      <c r="E78" s="1828"/>
      <c r="F78" s="1829">
        <v>40679225.310000002</v>
      </c>
      <c r="G78" s="1829">
        <v>29437271.890000001</v>
      </c>
      <c r="H78" s="1829"/>
      <c r="I78" s="1829">
        <v>29437271.890000001</v>
      </c>
      <c r="J78" s="1829"/>
      <c r="K78" s="1829">
        <v>29437271.890000001</v>
      </c>
      <c r="L78" s="1829"/>
      <c r="M78" s="2360">
        <f t="shared" si="0"/>
        <v>0</v>
      </c>
      <c r="N78" s="1829"/>
      <c r="O78" s="3115">
        <v>29437271.890000001</v>
      </c>
      <c r="P78" s="1225"/>
    </row>
    <row r="79" spans="2:16" s="976" customFormat="1" ht="15.6">
      <c r="B79" s="2781">
        <v>31853</v>
      </c>
      <c r="C79" s="1828"/>
      <c r="D79" s="1214" t="s">
        <v>727</v>
      </c>
      <c r="E79" s="1828"/>
      <c r="F79" s="1829">
        <v>76297899.909999996</v>
      </c>
      <c r="G79" s="1829">
        <v>90415661.939999998</v>
      </c>
      <c r="H79" s="1829"/>
      <c r="I79" s="1829">
        <v>90476931.359999999</v>
      </c>
      <c r="J79" s="1829"/>
      <c r="K79" s="1829">
        <v>95498420.310000002</v>
      </c>
      <c r="L79" s="1829"/>
      <c r="M79" s="2360">
        <f t="shared" ref="M79:M97" si="1">ROUND(SUM(O79)-SUM(K79),2)</f>
        <v>57771.3</v>
      </c>
      <c r="N79" s="1829"/>
      <c r="O79" s="3115">
        <v>95556191.609999999</v>
      </c>
      <c r="P79" s="1225"/>
    </row>
    <row r="80" spans="2:16" s="976" customFormat="1" ht="15.6">
      <c r="B80" s="2781">
        <v>31854</v>
      </c>
      <c r="C80" s="1828"/>
      <c r="D80" s="1209" t="s">
        <v>728</v>
      </c>
      <c r="E80" s="1828"/>
      <c r="F80" s="1829">
        <v>0</v>
      </c>
      <c r="G80" s="1829">
        <v>0</v>
      </c>
      <c r="H80" s="1829"/>
      <c r="I80" s="1829">
        <v>0</v>
      </c>
      <c r="J80" s="1829"/>
      <c r="K80" s="1829">
        <v>0</v>
      </c>
      <c r="L80" s="1829"/>
      <c r="M80" s="2360">
        <f t="shared" si="1"/>
        <v>0</v>
      </c>
      <c r="N80" s="1829"/>
      <c r="O80" s="3115">
        <v>0</v>
      </c>
      <c r="P80" s="1225"/>
    </row>
    <row r="81" spans="2:16" s="976" customFormat="1" ht="15.6">
      <c r="B81" s="2781">
        <v>31951</v>
      </c>
      <c r="C81" s="1828"/>
      <c r="D81" s="1214" t="s">
        <v>729</v>
      </c>
      <c r="E81" s="1828"/>
      <c r="F81" s="1829">
        <v>12348115.710000001</v>
      </c>
      <c r="G81" s="1829">
        <v>12755433.09</v>
      </c>
      <c r="H81" s="1829"/>
      <c r="I81" s="1829">
        <v>13110170.67</v>
      </c>
      <c r="J81" s="1829"/>
      <c r="K81" s="1829">
        <v>12564162.119999999</v>
      </c>
      <c r="L81" s="1829"/>
      <c r="M81" s="2360">
        <f t="shared" si="1"/>
        <v>17573.099999999999</v>
      </c>
      <c r="N81" s="1829"/>
      <c r="O81" s="3115">
        <v>12581735.220000001</v>
      </c>
      <c r="P81" s="1225"/>
    </row>
    <row r="82" spans="2:16" s="976" customFormat="1" ht="15.6">
      <c r="B82" s="2781">
        <v>32213</v>
      </c>
      <c r="C82" s="1828"/>
      <c r="D82" s="1209" t="s">
        <v>730</v>
      </c>
      <c r="E82" s="1828"/>
      <c r="F82" s="1829">
        <v>153750</v>
      </c>
      <c r="G82" s="1829">
        <v>153750</v>
      </c>
      <c r="H82" s="1829"/>
      <c r="I82" s="1829">
        <v>153750</v>
      </c>
      <c r="J82" s="1829"/>
      <c r="K82" s="1829">
        <v>153750</v>
      </c>
      <c r="L82" s="1829"/>
      <c r="M82" s="2360">
        <f t="shared" si="1"/>
        <v>0</v>
      </c>
      <c r="N82" s="1829"/>
      <c r="O82" s="3115">
        <v>153750</v>
      </c>
      <c r="P82" s="1225"/>
    </row>
    <row r="83" spans="2:16" s="976" customFormat="1" ht="15.6">
      <c r="B83" s="2781">
        <v>32215</v>
      </c>
      <c r="C83" s="1828"/>
      <c r="D83" s="1209" t="s">
        <v>1476</v>
      </c>
      <c r="E83" s="1828"/>
      <c r="F83" s="1829"/>
      <c r="G83" s="1829">
        <v>0</v>
      </c>
      <c r="H83" s="1829"/>
      <c r="I83" s="1829">
        <v>0</v>
      </c>
      <c r="J83" s="1829"/>
      <c r="K83" s="1829">
        <v>29479.360000000001</v>
      </c>
      <c r="L83" s="1829"/>
      <c r="M83" s="2360">
        <f t="shared" si="1"/>
        <v>1.1100000000000001</v>
      </c>
      <c r="N83" s="1829"/>
      <c r="O83" s="3115">
        <v>29480.47</v>
      </c>
      <c r="P83" s="1225"/>
    </row>
    <row r="84" spans="2:16" s="976" customFormat="1" ht="15.6">
      <c r="B84" s="2781">
        <v>32301</v>
      </c>
      <c r="C84" s="1828"/>
      <c r="D84" s="1214" t="s">
        <v>731</v>
      </c>
      <c r="E84" s="1217"/>
      <c r="F84" s="1829">
        <v>0</v>
      </c>
      <c r="G84" s="1829">
        <v>0</v>
      </c>
      <c r="H84" s="1829"/>
      <c r="I84" s="1829">
        <v>0</v>
      </c>
      <c r="J84" s="1829"/>
      <c r="K84" s="1829">
        <v>0</v>
      </c>
      <c r="L84" s="1829"/>
      <c r="M84" s="2360">
        <f t="shared" si="1"/>
        <v>0</v>
      </c>
      <c r="N84" s="1829"/>
      <c r="O84" s="3115">
        <v>0</v>
      </c>
      <c r="P84" s="1225"/>
    </row>
    <row r="85" spans="2:16" s="976" customFormat="1" ht="15.6">
      <c r="B85" s="2781">
        <v>32302</v>
      </c>
      <c r="C85" s="1828"/>
      <c r="D85" s="1214" t="s">
        <v>1166</v>
      </c>
      <c r="E85" s="1217"/>
      <c r="F85" s="1829">
        <v>0</v>
      </c>
      <c r="G85" s="1829">
        <v>0</v>
      </c>
      <c r="H85" s="1829"/>
      <c r="I85" s="1829">
        <v>0</v>
      </c>
      <c r="J85" s="1829"/>
      <c r="K85" s="1829">
        <v>0</v>
      </c>
      <c r="L85" s="1829"/>
      <c r="M85" s="2360">
        <f t="shared" si="1"/>
        <v>0</v>
      </c>
      <c r="N85" s="1829"/>
      <c r="O85" s="3115">
        <v>0</v>
      </c>
      <c r="P85" s="1225"/>
    </row>
    <row r="86" spans="2:16" s="976" customFormat="1" ht="15.6">
      <c r="B86" s="2781">
        <v>32303</v>
      </c>
      <c r="C86" s="1828"/>
      <c r="D86" s="1209" t="s">
        <v>732</v>
      </c>
      <c r="E86" s="1217"/>
      <c r="F86" s="1829">
        <v>87723047.260000005</v>
      </c>
      <c r="G86" s="1829">
        <v>135366457.22999999</v>
      </c>
      <c r="H86" s="1829"/>
      <c r="I86" s="1829">
        <v>136398365.61000001</v>
      </c>
      <c r="J86" s="1829"/>
      <c r="K86" s="1829">
        <v>140333102.09</v>
      </c>
      <c r="L86" s="1829"/>
      <c r="M86" s="2360">
        <f t="shared" si="1"/>
        <v>816593.61</v>
      </c>
      <c r="N86" s="1829"/>
      <c r="O86" s="3115">
        <v>141149695.69999999</v>
      </c>
      <c r="P86" s="1225"/>
    </row>
    <row r="87" spans="2:16" s="976" customFormat="1" ht="15.6">
      <c r="B87" s="2781">
        <v>32304</v>
      </c>
      <c r="C87" s="1828"/>
      <c r="D87" s="1209" t="s">
        <v>1167</v>
      </c>
      <c r="E87" s="1217"/>
      <c r="F87" s="1829">
        <v>0</v>
      </c>
      <c r="G87" s="1829">
        <v>0</v>
      </c>
      <c r="H87" s="1829"/>
      <c r="I87" s="1829">
        <v>0</v>
      </c>
      <c r="J87" s="1829"/>
      <c r="K87" s="1829">
        <v>0</v>
      </c>
      <c r="L87" s="1829"/>
      <c r="M87" s="2360">
        <f t="shared" si="1"/>
        <v>0</v>
      </c>
      <c r="N87" s="1829"/>
      <c r="O87" s="3115">
        <v>0</v>
      </c>
      <c r="P87" s="1225"/>
    </row>
    <row r="88" spans="2:16" s="976" customFormat="1" ht="15.6">
      <c r="B88" s="2781">
        <v>32305</v>
      </c>
      <c r="C88" s="1828"/>
      <c r="D88" s="1209" t="s">
        <v>733</v>
      </c>
      <c r="E88" s="1217"/>
      <c r="F88" s="1829">
        <v>172362230.61000001</v>
      </c>
      <c r="G88" s="1829">
        <v>190201729.56</v>
      </c>
      <c r="H88" s="1829"/>
      <c r="I88" s="1829">
        <v>192055110.52000001</v>
      </c>
      <c r="J88" s="1829"/>
      <c r="K88" s="1829">
        <v>207976432.06999999</v>
      </c>
      <c r="L88" s="1829"/>
      <c r="M88" s="2360">
        <f t="shared" si="1"/>
        <v>1538307.04</v>
      </c>
      <c r="N88" s="1829"/>
      <c r="O88" s="3115">
        <v>209514739.11000001</v>
      </c>
      <c r="P88" s="1225"/>
    </row>
    <row r="89" spans="2:16" s="976" customFormat="1" ht="15.6">
      <c r="B89" s="2781">
        <v>32306</v>
      </c>
      <c r="C89" s="1828"/>
      <c r="D89" s="1214" t="s">
        <v>734</v>
      </c>
      <c r="E89" s="1217"/>
      <c r="F89" s="1829">
        <v>26767629.280000001</v>
      </c>
      <c r="G89" s="1829">
        <v>33120499.66</v>
      </c>
      <c r="H89" s="1829"/>
      <c r="I89" s="1829">
        <v>29558373.850000001</v>
      </c>
      <c r="J89" s="1829"/>
      <c r="K89" s="1829">
        <v>29742082.890000001</v>
      </c>
      <c r="L89" s="1829"/>
      <c r="M89" s="2360">
        <f t="shared" si="1"/>
        <v>6549151.2699999996</v>
      </c>
      <c r="N89" s="1829"/>
      <c r="O89" s="3115">
        <v>36291234.159999996</v>
      </c>
      <c r="P89" s="1225"/>
    </row>
    <row r="90" spans="2:16" s="976" customFormat="1" ht="15.6">
      <c r="B90" s="2781">
        <v>32307</v>
      </c>
      <c r="C90" s="1828"/>
      <c r="D90" s="1214" t="s">
        <v>735</v>
      </c>
      <c r="E90" s="1217"/>
      <c r="F90" s="1829">
        <v>5430710.0300000003</v>
      </c>
      <c r="G90" s="1829">
        <v>4985552.3600000003</v>
      </c>
      <c r="H90" s="1829"/>
      <c r="I90" s="1829">
        <v>2906639.89</v>
      </c>
      <c r="J90" s="1829"/>
      <c r="K90" s="1829">
        <v>2906639.89</v>
      </c>
      <c r="L90" s="1829"/>
      <c r="M90" s="2360">
        <f t="shared" si="1"/>
        <v>0</v>
      </c>
      <c r="N90" s="1829"/>
      <c r="O90" s="3115">
        <v>2906639.89</v>
      </c>
      <c r="P90" s="1225"/>
    </row>
    <row r="91" spans="2:16" s="976" customFormat="1" ht="15.6">
      <c r="B91" s="2781">
        <v>32308</v>
      </c>
      <c r="C91" s="1828"/>
      <c r="D91" s="1214" t="s">
        <v>736</v>
      </c>
      <c r="E91" s="1217"/>
      <c r="F91" s="1829">
        <v>539890.44999999995</v>
      </c>
      <c r="G91" s="1829">
        <v>430310.66</v>
      </c>
      <c r="H91" s="1829"/>
      <c r="I91" s="1829">
        <v>488054.67</v>
      </c>
      <c r="J91" s="1829"/>
      <c r="K91" s="1829">
        <v>488054.67</v>
      </c>
      <c r="L91" s="1829"/>
      <c r="M91" s="2360">
        <f t="shared" si="1"/>
        <v>265500</v>
      </c>
      <c r="N91" s="1829"/>
      <c r="O91" s="3115">
        <v>753554.67</v>
      </c>
      <c r="P91" s="1225"/>
    </row>
    <row r="92" spans="2:16" s="976" customFormat="1" ht="15.6">
      <c r="B92" s="2781">
        <v>32309</v>
      </c>
      <c r="C92" s="1828"/>
      <c r="D92" s="1214" t="s">
        <v>737</v>
      </c>
      <c r="E92" s="1217"/>
      <c r="F92" s="1829">
        <v>104401100.42</v>
      </c>
      <c r="G92" s="1829">
        <v>68945566.370000005</v>
      </c>
      <c r="H92" s="1829"/>
      <c r="I92" s="1829">
        <v>73448519.980000004</v>
      </c>
      <c r="J92" s="1829"/>
      <c r="K92" s="1829">
        <v>80145576.25</v>
      </c>
      <c r="L92" s="1829"/>
      <c r="M92" s="2360">
        <f t="shared" si="1"/>
        <v>1352475.26</v>
      </c>
      <c r="N92" s="1829"/>
      <c r="O92" s="3115">
        <v>81498051.510000005</v>
      </c>
      <c r="P92" s="1225"/>
    </row>
    <row r="93" spans="2:16" s="976" customFormat="1" ht="15.6">
      <c r="B93" s="2781">
        <v>32310</v>
      </c>
      <c r="C93" s="1828"/>
      <c r="D93" s="1214" t="s">
        <v>738</v>
      </c>
      <c r="E93" s="1217"/>
      <c r="F93" s="1829">
        <v>0</v>
      </c>
      <c r="G93" s="1829">
        <v>0</v>
      </c>
      <c r="H93" s="1829"/>
      <c r="I93" s="1829">
        <v>0</v>
      </c>
      <c r="J93" s="1829"/>
      <c r="K93" s="1829">
        <v>0</v>
      </c>
      <c r="L93" s="1829"/>
      <c r="M93" s="2360">
        <f t="shared" si="1"/>
        <v>0</v>
      </c>
      <c r="N93" s="1829"/>
      <c r="O93" s="3115">
        <v>0</v>
      </c>
      <c r="P93" s="1225"/>
    </row>
    <row r="94" spans="2:16" s="976" customFormat="1" ht="16.8">
      <c r="B94" s="2781">
        <v>32311</v>
      </c>
      <c r="C94" s="1828"/>
      <c r="D94" s="1830" t="s">
        <v>739</v>
      </c>
      <c r="E94" s="1217"/>
      <c r="F94" s="1829">
        <v>2486315.4700000002</v>
      </c>
      <c r="G94" s="1829">
        <v>1399855.54</v>
      </c>
      <c r="H94" s="1829"/>
      <c r="I94" s="1829">
        <v>1520129.54</v>
      </c>
      <c r="J94" s="1829"/>
      <c r="K94" s="1829">
        <v>1615744.7</v>
      </c>
      <c r="L94" s="1829"/>
      <c r="M94" s="2360">
        <f t="shared" si="1"/>
        <v>78098.23</v>
      </c>
      <c r="N94" s="1829"/>
      <c r="O94" s="3115">
        <v>1693842.93</v>
      </c>
      <c r="P94" s="1225"/>
    </row>
    <row r="95" spans="2:16" s="976" customFormat="1" ht="15.6">
      <c r="B95" s="2781">
        <v>32351</v>
      </c>
      <c r="C95" s="1828"/>
      <c r="D95" s="1214" t="s">
        <v>740</v>
      </c>
      <c r="E95" s="1217"/>
      <c r="F95" s="1829">
        <v>11110.01</v>
      </c>
      <c r="G95" s="1829">
        <v>0</v>
      </c>
      <c r="H95" s="1829"/>
      <c r="I95" s="1829">
        <v>0</v>
      </c>
      <c r="J95" s="1829"/>
      <c r="K95" s="1829">
        <v>0</v>
      </c>
      <c r="L95" s="1829"/>
      <c r="M95" s="2360">
        <f t="shared" si="1"/>
        <v>0</v>
      </c>
      <c r="N95" s="1829"/>
      <c r="O95" s="3115">
        <v>0</v>
      </c>
      <c r="P95" s="1225"/>
    </row>
    <row r="96" spans="2:16" s="976" customFormat="1" ht="15.6">
      <c r="B96" s="2781">
        <v>32352</v>
      </c>
      <c r="C96" s="1828"/>
      <c r="D96" s="1209" t="s">
        <v>741</v>
      </c>
      <c r="E96" s="1217"/>
      <c r="F96" s="1829">
        <v>65245293.57</v>
      </c>
      <c r="G96" s="1829">
        <v>123488799.68000001</v>
      </c>
      <c r="H96" s="1829"/>
      <c r="I96" s="1829">
        <v>139980975.87</v>
      </c>
      <c r="J96" s="1829"/>
      <c r="K96" s="1829">
        <v>33034954.859999999</v>
      </c>
      <c r="L96" s="1829"/>
      <c r="M96" s="2360">
        <f t="shared" si="1"/>
        <v>11173962.689999999</v>
      </c>
      <c r="N96" s="1829"/>
      <c r="O96" s="3115">
        <v>44208917.549999997</v>
      </c>
      <c r="P96" s="1298"/>
    </row>
    <row r="97" spans="2:16" s="976" customFormat="1" ht="15.6">
      <c r="B97" s="2781">
        <v>33001</v>
      </c>
      <c r="C97" s="1828"/>
      <c r="D97" s="1209" t="s">
        <v>742</v>
      </c>
      <c r="E97" s="1217"/>
      <c r="F97" s="1829">
        <v>10000000</v>
      </c>
      <c r="G97" s="1829">
        <v>51091211.520000003</v>
      </c>
      <c r="H97" s="1829"/>
      <c r="I97" s="1829">
        <v>52969201.200000003</v>
      </c>
      <c r="J97" s="1829"/>
      <c r="K97" s="1829">
        <v>48673643.619999997</v>
      </c>
      <c r="L97" s="1829"/>
      <c r="M97" s="2360">
        <f t="shared" si="1"/>
        <v>2168854.59</v>
      </c>
      <c r="N97" s="1829"/>
      <c r="O97" s="3115">
        <v>50842498.210000001</v>
      </c>
      <c r="P97" s="1225"/>
    </row>
    <row r="98" spans="2:16" s="976" customFormat="1" ht="16.2" thickBot="1">
      <c r="B98" s="1621"/>
      <c r="C98" s="1622"/>
      <c r="D98" s="3297" t="s">
        <v>743</v>
      </c>
      <c r="E98" s="1288"/>
      <c r="F98" s="1288"/>
      <c r="G98" s="3201">
        <f>ROUND(SUM(G14:G97),2)</f>
        <v>1264016673.9000001</v>
      </c>
      <c r="H98" s="2786"/>
      <c r="I98" s="3201">
        <f>ROUND(SUM(I14:I97),2)</f>
        <v>1395380464.1900001</v>
      </c>
      <c r="J98" s="2786"/>
      <c r="K98" s="3201">
        <f>ROUND(SUM(K14:K97),2)</f>
        <v>966447979.03999996</v>
      </c>
      <c r="L98"/>
      <c r="M98" s="2362">
        <f>ROUND(SUM(M14:M97),2)</f>
        <v>38498210.240000002</v>
      </c>
      <c r="N98"/>
      <c r="O98" s="3201">
        <f>ROUND(SUM(O14:O97),2)</f>
        <v>1004946189.28</v>
      </c>
      <c r="P98" s="1225"/>
    </row>
    <row r="99" spans="2:16" s="976" customFormat="1" ht="16.2" thickTop="1">
      <c r="B99" s="1623"/>
      <c r="C99" s="1623"/>
      <c r="D99" s="1624"/>
      <c r="E99" s="1293"/>
      <c r="F99" s="1293"/>
      <c r="G99" s="3298"/>
      <c r="H99" s="1183"/>
      <c r="I99" s="3298"/>
      <c r="J99" s="1183"/>
      <c r="K99" s="3298"/>
      <c r="L99" s="1183"/>
      <c r="M99" s="1625"/>
      <c r="N99" s="1626"/>
      <c r="O99" s="3225"/>
      <c r="P99" s="1299"/>
    </row>
    <row r="100" spans="2:16" s="976" customFormat="1" ht="15.6">
      <c r="B100" s="1388"/>
      <c r="C100" s="1622"/>
      <c r="D100" s="3299" t="s">
        <v>744</v>
      </c>
      <c r="E100" s="1627"/>
      <c r="F100" s="1627"/>
      <c r="G100" s="1619"/>
      <c r="H100" s="1619"/>
      <c r="I100" s="1619"/>
      <c r="J100" s="1619"/>
      <c r="K100" s="1619"/>
      <c r="L100" s="1619"/>
      <c r="M100" s="2825"/>
      <c r="N100" s="1628"/>
      <c r="O100" s="3226"/>
      <c r="P100" s="1293"/>
    </row>
    <row r="101" spans="2:16" s="976" customFormat="1" ht="15.6">
      <c r="B101" s="2600">
        <v>20451</v>
      </c>
      <c r="C101" s="1623"/>
      <c r="D101" s="1220" t="s">
        <v>745</v>
      </c>
      <c r="E101" s="1293"/>
      <c r="F101" s="1293"/>
      <c r="G101" s="1829">
        <v>0</v>
      </c>
      <c r="H101" s="1619"/>
      <c r="I101" s="1829">
        <v>0</v>
      </c>
      <c r="J101" s="1619"/>
      <c r="K101" s="1829">
        <v>0</v>
      </c>
      <c r="L101" s="1619"/>
      <c r="M101" s="2360">
        <f t="shared" ref="M101:M160" si="2">ROUND(SUM(O101)-SUM(K101),2)</f>
        <v>0</v>
      </c>
      <c r="N101" s="1629"/>
      <c r="O101" s="3115">
        <v>0</v>
      </c>
      <c r="P101" s="3372" t="s">
        <v>970</v>
      </c>
    </row>
    <row r="102" spans="2:16" s="976" customFormat="1" ht="15.6">
      <c r="B102" s="2781">
        <v>20452</v>
      </c>
      <c r="C102" s="1388"/>
      <c r="D102" s="1209" t="s">
        <v>746</v>
      </c>
      <c r="E102"/>
      <c r="F102" s="1388"/>
      <c r="G102" s="1829">
        <v>0</v>
      </c>
      <c r="H102" s="1619"/>
      <c r="I102" s="1829">
        <v>0</v>
      </c>
      <c r="J102" s="1619"/>
      <c r="K102" s="1829">
        <v>0</v>
      </c>
      <c r="L102" s="1619"/>
      <c r="M102" s="2360">
        <f t="shared" si="2"/>
        <v>0</v>
      </c>
      <c r="N102" s="1619"/>
      <c r="O102" s="3115">
        <v>0</v>
      </c>
      <c r="P102" s="1225"/>
    </row>
    <row r="103" spans="2:16" s="976" customFormat="1" ht="15.6">
      <c r="B103" s="2781">
        <v>20501</v>
      </c>
      <c r="C103" s="1630"/>
      <c r="D103" s="1209" t="s">
        <v>747</v>
      </c>
      <c r="E103" s="1620"/>
      <c r="F103" s="1620"/>
      <c r="G103" s="1829">
        <v>0</v>
      </c>
      <c r="H103" s="1619"/>
      <c r="I103" s="1829">
        <v>0</v>
      </c>
      <c r="J103" s="1619"/>
      <c r="K103" s="1829">
        <v>0</v>
      </c>
      <c r="L103" s="1619"/>
      <c r="M103" s="2360">
        <f t="shared" si="2"/>
        <v>0</v>
      </c>
      <c r="N103" s="1619"/>
      <c r="O103" s="3115">
        <v>0</v>
      </c>
      <c r="P103" s="1225"/>
    </row>
    <row r="104" spans="2:16" s="976" customFormat="1" ht="15.6">
      <c r="B104" s="2781">
        <v>20810</v>
      </c>
      <c r="C104" s="1215"/>
      <c r="D104" s="1219" t="s">
        <v>748</v>
      </c>
      <c r="E104" s="1217"/>
      <c r="F104" s="1217"/>
      <c r="G104" s="1829">
        <v>4200942.92</v>
      </c>
      <c r="H104" s="1619"/>
      <c r="I104" s="1829">
        <v>5820061.6200000001</v>
      </c>
      <c r="J104" s="1619"/>
      <c r="K104" s="1829">
        <v>0</v>
      </c>
      <c r="L104" s="1619"/>
      <c r="M104" s="2360">
        <f t="shared" si="2"/>
        <v>13565473.75</v>
      </c>
      <c r="N104" s="1619"/>
      <c r="O104" s="3115">
        <v>13565473.75</v>
      </c>
      <c r="P104" s="1225"/>
    </row>
    <row r="105" spans="2:16" s="976" customFormat="1" ht="15.6">
      <c r="B105" s="2781">
        <v>20818</v>
      </c>
      <c r="C105" s="1215"/>
      <c r="D105" s="1219" t="s">
        <v>749</v>
      </c>
      <c r="E105" s="1217"/>
      <c r="F105" s="1217"/>
      <c r="G105" s="1829">
        <v>10658516.380000001</v>
      </c>
      <c r="H105" s="1619"/>
      <c r="I105" s="1829">
        <v>0</v>
      </c>
      <c r="J105" s="1619"/>
      <c r="K105" s="1829">
        <v>0</v>
      </c>
      <c r="L105" s="1619"/>
      <c r="M105" s="2360">
        <f t="shared" si="2"/>
        <v>0</v>
      </c>
      <c r="N105" s="1619"/>
      <c r="O105" s="3115">
        <v>0</v>
      </c>
      <c r="P105" s="1225"/>
    </row>
    <row r="106" spans="2:16" s="976" customFormat="1" ht="15.6">
      <c r="B106" s="2781">
        <v>20901</v>
      </c>
      <c r="C106" s="1215"/>
      <c r="D106" s="1219" t="s">
        <v>750</v>
      </c>
      <c r="E106" s="1217"/>
      <c r="F106" s="1217"/>
      <c r="G106" s="1829">
        <v>620716398.5</v>
      </c>
      <c r="H106" s="1619"/>
      <c r="I106" s="1829">
        <v>477964456.16000003</v>
      </c>
      <c r="J106" s="1619"/>
      <c r="K106" s="1829">
        <v>0</v>
      </c>
      <c r="L106" s="1619"/>
      <c r="M106" s="2360">
        <f t="shared" si="2"/>
        <v>0</v>
      </c>
      <c r="N106" s="1619"/>
      <c r="O106" s="3115">
        <v>0</v>
      </c>
      <c r="P106" s="1225"/>
    </row>
    <row r="107" spans="2:16" s="976" customFormat="1" ht="15.6">
      <c r="B107" s="2781">
        <v>20904</v>
      </c>
      <c r="C107" s="1212"/>
      <c r="D107" s="1220" t="s">
        <v>751</v>
      </c>
      <c r="E107" s="1224"/>
      <c r="F107" s="1224"/>
      <c r="G107" s="1829">
        <v>0</v>
      </c>
      <c r="H107" s="1619"/>
      <c r="I107" s="1829">
        <v>0</v>
      </c>
      <c r="J107" s="1619"/>
      <c r="K107" s="1829">
        <v>0</v>
      </c>
      <c r="L107" s="1619"/>
      <c r="M107" s="2360">
        <f t="shared" si="2"/>
        <v>0</v>
      </c>
      <c r="N107" s="1619"/>
      <c r="O107" s="3115">
        <v>0</v>
      </c>
      <c r="P107" s="1225"/>
    </row>
    <row r="108" spans="2:16" s="976" customFormat="1" ht="15.6">
      <c r="B108" s="2781">
        <v>21001</v>
      </c>
      <c r="C108" s="1215"/>
      <c r="D108" s="1221" t="s">
        <v>752</v>
      </c>
      <c r="E108" s="1217"/>
      <c r="F108" s="1217"/>
      <c r="G108" s="1829">
        <v>0</v>
      </c>
      <c r="H108" s="1619"/>
      <c r="I108" s="1829">
        <v>0</v>
      </c>
      <c r="J108" s="1619"/>
      <c r="K108" s="1829">
        <v>0</v>
      </c>
      <c r="L108" s="1619"/>
      <c r="M108" s="2360">
        <f t="shared" si="2"/>
        <v>0</v>
      </c>
      <c r="N108" s="1619"/>
      <c r="O108" s="3115">
        <v>0</v>
      </c>
      <c r="P108" s="1225"/>
    </row>
    <row r="109" spans="2:16" s="976" customFormat="1" ht="15.6">
      <c r="B109" s="2781">
        <v>21002</v>
      </c>
      <c r="C109" s="1215"/>
      <c r="D109" s="1219" t="s">
        <v>753</v>
      </c>
      <c r="E109" s="1217"/>
      <c r="F109" s="1217"/>
      <c r="G109" s="1829">
        <v>6020915.4199999999</v>
      </c>
      <c r="H109" s="1619"/>
      <c r="I109" s="1829">
        <v>6507331.3499999996</v>
      </c>
      <c r="J109" s="1619"/>
      <c r="K109" s="1829">
        <v>2282861.52</v>
      </c>
      <c r="L109" s="1619"/>
      <c r="M109" s="2360">
        <f t="shared" si="2"/>
        <v>196031.8</v>
      </c>
      <c r="N109" s="1619"/>
      <c r="O109" s="3115">
        <v>2478893.3199999998</v>
      </c>
      <c r="P109" s="1225"/>
    </row>
    <row r="110" spans="2:16" s="976" customFormat="1" ht="15.6">
      <c r="B110" s="2781">
        <v>21061</v>
      </c>
      <c r="C110" s="1215"/>
      <c r="D110" s="1219" t="s">
        <v>754</v>
      </c>
      <c r="E110" s="1217"/>
      <c r="F110" s="1217"/>
      <c r="G110" s="1829">
        <v>0</v>
      </c>
      <c r="H110" s="1619"/>
      <c r="I110" s="1829">
        <v>0</v>
      </c>
      <c r="J110" s="1619"/>
      <c r="K110" s="1829">
        <v>0</v>
      </c>
      <c r="L110" s="1619"/>
      <c r="M110" s="2360">
        <f t="shared" si="2"/>
        <v>0</v>
      </c>
      <c r="N110" s="1619"/>
      <c r="O110" s="3115">
        <v>0</v>
      </c>
      <c r="P110" s="1225"/>
    </row>
    <row r="111" spans="2:16" s="976" customFormat="1" ht="15.6">
      <c r="B111" s="2781">
        <v>21065</v>
      </c>
      <c r="C111" s="1215"/>
      <c r="D111" s="1219" t="s">
        <v>755</v>
      </c>
      <c r="E111" s="1217"/>
      <c r="F111" s="1217"/>
      <c r="G111" s="1829">
        <v>2589832.85</v>
      </c>
      <c r="H111" s="1619"/>
      <c r="I111" s="1829">
        <v>3303570.41</v>
      </c>
      <c r="J111" s="1619"/>
      <c r="K111" s="1829">
        <v>0</v>
      </c>
      <c r="L111" s="1619"/>
      <c r="M111" s="2360">
        <f t="shared" si="2"/>
        <v>0</v>
      </c>
      <c r="N111" s="1619"/>
      <c r="O111" s="3115">
        <v>0</v>
      </c>
      <c r="P111" s="1225"/>
    </row>
    <row r="112" spans="2:16" s="976" customFormat="1" ht="15.6">
      <c r="B112" s="2781">
        <v>21066</v>
      </c>
      <c r="C112" s="1215"/>
      <c r="D112" s="1216" t="s">
        <v>756</v>
      </c>
      <c r="E112" s="1217"/>
      <c r="F112" s="1217"/>
      <c r="G112" s="1829">
        <v>4241690.8</v>
      </c>
      <c r="H112" s="1619"/>
      <c r="I112" s="1829">
        <v>3649431.47</v>
      </c>
      <c r="J112" s="1619"/>
      <c r="K112" s="1829">
        <v>3892777.05</v>
      </c>
      <c r="L112" s="1619"/>
      <c r="M112" s="2360">
        <f t="shared" si="2"/>
        <v>120417.66</v>
      </c>
      <c r="N112" s="1619"/>
      <c r="O112" s="3115">
        <v>4013194.71</v>
      </c>
      <c r="P112" s="1225"/>
    </row>
    <row r="113" spans="2:16" s="976" customFormat="1" ht="15.6">
      <c r="B113" s="2781">
        <v>21067</v>
      </c>
      <c r="C113" s="1215"/>
      <c r="D113" s="1216" t="s">
        <v>757</v>
      </c>
      <c r="E113" s="1217"/>
      <c r="F113" s="1217"/>
      <c r="G113" s="1829">
        <v>9083878.6199999992</v>
      </c>
      <c r="H113" s="1619"/>
      <c r="I113" s="1829">
        <v>8926816.4700000007</v>
      </c>
      <c r="J113" s="1619"/>
      <c r="K113" s="1829">
        <v>10673417.67</v>
      </c>
      <c r="L113" s="1619"/>
      <c r="M113" s="2360">
        <f t="shared" si="2"/>
        <v>-185987.62</v>
      </c>
      <c r="N113" s="1619"/>
      <c r="O113" s="3115">
        <v>10487430.050000001</v>
      </c>
      <c r="P113" s="1225"/>
    </row>
    <row r="114" spans="2:16" s="976" customFormat="1" ht="15.6">
      <c r="B114" s="2781">
        <v>21077</v>
      </c>
      <c r="C114" s="1215"/>
      <c r="D114" s="1219" t="s">
        <v>758</v>
      </c>
      <c r="E114" s="1217"/>
      <c r="F114" s="1217"/>
      <c r="G114" s="1829">
        <v>0</v>
      </c>
      <c r="H114" s="1619"/>
      <c r="I114" s="1829">
        <v>0</v>
      </c>
      <c r="J114" s="1619"/>
      <c r="K114" s="1829">
        <v>0</v>
      </c>
      <c r="L114" s="1619"/>
      <c r="M114" s="2360">
        <f t="shared" si="2"/>
        <v>0</v>
      </c>
      <c r="N114" s="1619"/>
      <c r="O114" s="3115">
        <v>0</v>
      </c>
      <c r="P114" s="1225"/>
    </row>
    <row r="115" spans="2:16" s="976" customFormat="1" ht="15.6">
      <c r="B115" s="2781">
        <v>21081</v>
      </c>
      <c r="C115" s="1215"/>
      <c r="D115" s="1216" t="s">
        <v>759</v>
      </c>
      <c r="E115" s="1217"/>
      <c r="F115" s="1217"/>
      <c r="G115" s="1829">
        <v>26145953.02</v>
      </c>
      <c r="H115" s="1619"/>
      <c r="I115" s="1829">
        <v>28195181.789999999</v>
      </c>
      <c r="J115" s="1619"/>
      <c r="K115" s="1829">
        <v>29642677.09</v>
      </c>
      <c r="L115" s="1619"/>
      <c r="M115" s="2360">
        <f t="shared" si="2"/>
        <v>-944404.3</v>
      </c>
      <c r="N115" s="1619"/>
      <c r="O115" s="3115">
        <v>28698272.789999999</v>
      </c>
      <c r="P115" s="1225"/>
    </row>
    <row r="116" spans="2:16" s="976" customFormat="1" ht="15.6">
      <c r="B116" s="2781">
        <v>21082</v>
      </c>
      <c r="C116" s="1215"/>
      <c r="D116" s="1219" t="s">
        <v>760</v>
      </c>
      <c r="E116" s="1217"/>
      <c r="F116" s="1217"/>
      <c r="G116" s="1829">
        <v>17895486.280000001</v>
      </c>
      <c r="H116" s="1619"/>
      <c r="I116" s="1829">
        <v>18228447.34</v>
      </c>
      <c r="J116" s="1619"/>
      <c r="K116" s="1829">
        <v>17998755.800000001</v>
      </c>
      <c r="L116" s="1619"/>
      <c r="M116" s="2360">
        <f t="shared" si="2"/>
        <v>385385.33</v>
      </c>
      <c r="N116" s="1619"/>
      <c r="O116" s="3115">
        <v>18384141.129999999</v>
      </c>
      <c r="P116" s="1225"/>
    </row>
    <row r="117" spans="2:16" s="976" customFormat="1" ht="15.6">
      <c r="B117" s="2781">
        <v>21084</v>
      </c>
      <c r="C117" s="1215"/>
      <c r="D117" s="1219" t="s">
        <v>761</v>
      </c>
      <c r="E117" s="1217"/>
      <c r="F117" s="1217"/>
      <c r="G117" s="1829">
        <v>0</v>
      </c>
      <c r="H117" s="1619"/>
      <c r="I117" s="1829">
        <v>0</v>
      </c>
      <c r="J117" s="1619"/>
      <c r="K117" s="1829">
        <v>0</v>
      </c>
      <c r="L117" s="1619"/>
      <c r="M117" s="2360">
        <f t="shared" si="2"/>
        <v>0</v>
      </c>
      <c r="N117" s="1619"/>
      <c r="O117" s="3115">
        <v>0</v>
      </c>
      <c r="P117" s="1225"/>
    </row>
    <row r="118" spans="2:16" s="976" customFormat="1" ht="15.6">
      <c r="B118" s="2781">
        <v>21087</v>
      </c>
      <c r="C118" s="1215"/>
      <c r="D118" s="1219" t="s">
        <v>762</v>
      </c>
      <c r="E118" s="1217"/>
      <c r="F118" s="1217"/>
      <c r="G118" s="1829">
        <v>0</v>
      </c>
      <c r="H118" s="1619"/>
      <c r="I118" s="1829">
        <v>0</v>
      </c>
      <c r="J118" s="1619"/>
      <c r="K118" s="1829">
        <v>0</v>
      </c>
      <c r="L118" s="1619"/>
      <c r="M118" s="2360">
        <f t="shared" si="2"/>
        <v>0</v>
      </c>
      <c r="N118" s="1619"/>
      <c r="O118" s="3115">
        <v>0</v>
      </c>
      <c r="P118" s="1225"/>
    </row>
    <row r="119" spans="2:16" s="976" customFormat="1" ht="15.6">
      <c r="B119" s="2781">
        <v>21201</v>
      </c>
      <c r="C119" s="1215"/>
      <c r="D119" s="1219" t="s">
        <v>763</v>
      </c>
      <c r="E119" s="1217"/>
      <c r="F119" s="1217"/>
      <c r="G119" s="1829">
        <v>668408.17000000004</v>
      </c>
      <c r="H119" s="1619"/>
      <c r="I119" s="1829">
        <v>785601.11</v>
      </c>
      <c r="J119" s="1619"/>
      <c r="K119" s="1829">
        <v>0</v>
      </c>
      <c r="L119" s="1619"/>
      <c r="M119" s="2360">
        <f t="shared" si="2"/>
        <v>40505.410000000003</v>
      </c>
      <c r="N119" s="1619"/>
      <c r="O119" s="3115">
        <v>40505.410000000003</v>
      </c>
      <c r="P119" s="1225"/>
    </row>
    <row r="120" spans="2:16" s="976" customFormat="1" ht="15.6">
      <c r="B120" s="2781">
        <v>21202</v>
      </c>
      <c r="C120" s="1215"/>
      <c r="D120" s="1219" t="s">
        <v>764</v>
      </c>
      <c r="E120" s="1217"/>
      <c r="F120" s="1217"/>
      <c r="G120" s="1829">
        <v>225249.51</v>
      </c>
      <c r="H120" s="1619"/>
      <c r="I120" s="1829">
        <v>265524.95</v>
      </c>
      <c r="J120" s="1619"/>
      <c r="K120" s="1829">
        <v>0</v>
      </c>
      <c r="L120" s="1619"/>
      <c r="M120" s="2360">
        <f t="shared" si="2"/>
        <v>13722.96</v>
      </c>
      <c r="N120" s="1619"/>
      <c r="O120" s="3115">
        <v>13722.96</v>
      </c>
      <c r="P120" s="1225"/>
    </row>
    <row r="121" spans="2:16" s="976" customFormat="1" ht="15.6">
      <c r="B121" s="2781">
        <v>21203</v>
      </c>
      <c r="C121" s="1215"/>
      <c r="D121" s="1219" t="s">
        <v>765</v>
      </c>
      <c r="E121" s="1217"/>
      <c r="F121" s="1217"/>
      <c r="G121" s="1829">
        <v>13271771.859999999</v>
      </c>
      <c r="H121" s="1619"/>
      <c r="I121" s="1829">
        <v>15778739.07</v>
      </c>
      <c r="J121" s="1619"/>
      <c r="K121" s="1829">
        <v>0</v>
      </c>
      <c r="L121" s="1619"/>
      <c r="M121" s="2360">
        <f t="shared" si="2"/>
        <v>979556.35</v>
      </c>
      <c r="N121" s="1619"/>
      <c r="O121" s="3115">
        <v>979556.35</v>
      </c>
      <c r="P121" s="1225"/>
    </row>
    <row r="122" spans="2:16" s="976" customFormat="1" ht="15.6">
      <c r="B122" s="2781">
        <v>21204</v>
      </c>
      <c r="C122" s="1215"/>
      <c r="D122" s="1219" t="s">
        <v>766</v>
      </c>
      <c r="E122" s="1217"/>
      <c r="F122" s="1217"/>
      <c r="G122" s="1829">
        <v>0</v>
      </c>
      <c r="H122" s="1619"/>
      <c r="I122" s="1829">
        <v>0</v>
      </c>
      <c r="J122" s="1619"/>
      <c r="K122" s="1829">
        <v>0</v>
      </c>
      <c r="L122" s="1619"/>
      <c r="M122" s="2360">
        <f t="shared" si="2"/>
        <v>0</v>
      </c>
      <c r="N122" s="1619"/>
      <c r="O122" s="3115">
        <v>0</v>
      </c>
      <c r="P122" s="1225"/>
    </row>
    <row r="123" spans="2:16" s="976" customFormat="1" ht="15.6">
      <c r="B123" s="2781">
        <v>21205</v>
      </c>
      <c r="C123" s="1215"/>
      <c r="D123" s="1219" t="s">
        <v>767</v>
      </c>
      <c r="E123" s="1217"/>
      <c r="F123" s="1217"/>
      <c r="G123" s="1829">
        <v>0</v>
      </c>
      <c r="H123" s="1619"/>
      <c r="I123" s="1829">
        <v>0</v>
      </c>
      <c r="J123" s="1619"/>
      <c r="K123" s="1829">
        <v>0</v>
      </c>
      <c r="L123" s="1619"/>
      <c r="M123" s="2360">
        <f t="shared" si="2"/>
        <v>0</v>
      </c>
      <c r="N123" s="1619"/>
      <c r="O123" s="3115">
        <v>0</v>
      </c>
      <c r="P123" s="1225"/>
    </row>
    <row r="124" spans="2:16" s="976" customFormat="1" ht="15.6">
      <c r="B124" s="2781">
        <v>21401</v>
      </c>
      <c r="C124" s="1215"/>
      <c r="D124" s="1216" t="s">
        <v>768</v>
      </c>
      <c r="E124" s="1217"/>
      <c r="F124" s="1217"/>
      <c r="G124" s="1829">
        <v>0</v>
      </c>
      <c r="H124" s="1619"/>
      <c r="I124" s="1829">
        <v>9066452.3499999996</v>
      </c>
      <c r="J124" s="1619"/>
      <c r="K124" s="1829">
        <v>3558825.14</v>
      </c>
      <c r="L124" s="1619"/>
      <c r="M124" s="2360">
        <f t="shared" si="2"/>
        <v>-34053.870000000003</v>
      </c>
      <c r="N124" s="1619"/>
      <c r="O124" s="3115">
        <v>3524771.27</v>
      </c>
      <c r="P124" s="1225"/>
    </row>
    <row r="125" spans="2:16" s="976" customFormat="1" ht="15.6">
      <c r="B125" s="2781">
        <v>21402</v>
      </c>
      <c r="C125" s="1215"/>
      <c r="D125" s="1216" t="s">
        <v>769</v>
      </c>
      <c r="E125" s="1217"/>
      <c r="F125" s="1217"/>
      <c r="G125" s="1829">
        <v>407582623.61000001</v>
      </c>
      <c r="H125" s="1619"/>
      <c r="I125" s="1829">
        <v>291792328.39999998</v>
      </c>
      <c r="J125" s="1619"/>
      <c r="K125" s="1829">
        <v>0</v>
      </c>
      <c r="L125" s="1619"/>
      <c r="M125" s="2360">
        <f t="shared" si="2"/>
        <v>0</v>
      </c>
      <c r="N125" s="1619"/>
      <c r="O125" s="3115">
        <v>0</v>
      </c>
      <c r="P125" s="1225"/>
    </row>
    <row r="126" spans="2:16" s="976" customFormat="1" ht="15.6">
      <c r="B126" s="2781">
        <v>21451</v>
      </c>
      <c r="C126" s="1215"/>
      <c r="D126" s="1216" t="s">
        <v>770</v>
      </c>
      <c r="E126" s="1217"/>
      <c r="F126" s="1217"/>
      <c r="G126" s="1829">
        <v>18055947.600000001</v>
      </c>
      <c r="H126" s="1619"/>
      <c r="I126" s="1829">
        <v>19078614.82</v>
      </c>
      <c r="J126" s="1619"/>
      <c r="K126" s="1829">
        <v>19199592.82</v>
      </c>
      <c r="L126" s="1619"/>
      <c r="M126" s="2360">
        <f t="shared" si="2"/>
        <v>385421.75</v>
      </c>
      <c r="N126" s="1619"/>
      <c r="O126" s="3115">
        <v>19585014.57</v>
      </c>
      <c r="P126" s="1225"/>
    </row>
    <row r="127" spans="2:16" s="976" customFormat="1" ht="15.6">
      <c r="B127" s="2781">
        <v>21452</v>
      </c>
      <c r="C127" s="1215"/>
      <c r="D127" s="1219" t="s">
        <v>771</v>
      </c>
      <c r="E127" s="1217"/>
      <c r="F127" s="1217"/>
      <c r="G127" s="1829">
        <v>0</v>
      </c>
      <c r="H127" s="1619"/>
      <c r="I127" s="1829">
        <v>0</v>
      </c>
      <c r="J127" s="1619"/>
      <c r="K127" s="1829">
        <v>0</v>
      </c>
      <c r="L127" s="1619"/>
      <c r="M127" s="2360">
        <f t="shared" si="2"/>
        <v>0</v>
      </c>
      <c r="N127" s="1619"/>
      <c r="O127" s="3115">
        <v>0</v>
      </c>
      <c r="P127" s="1225"/>
    </row>
    <row r="128" spans="2:16" s="976" customFormat="1" ht="15.6">
      <c r="B128" s="2781">
        <v>21902</v>
      </c>
      <c r="C128" s="1215"/>
      <c r="D128" s="1216" t="s">
        <v>1477</v>
      </c>
      <c r="E128" s="1217"/>
      <c r="F128" s="1217"/>
      <c r="G128" s="1829">
        <v>0</v>
      </c>
      <c r="H128" s="1619"/>
      <c r="I128" s="1829">
        <v>0</v>
      </c>
      <c r="J128" s="1619"/>
      <c r="K128" s="1829">
        <v>0</v>
      </c>
      <c r="L128" s="1619"/>
      <c r="M128" s="2360">
        <f t="shared" si="2"/>
        <v>0</v>
      </c>
      <c r="N128" s="1619"/>
      <c r="O128" s="3115">
        <v>0</v>
      </c>
      <c r="P128" s="1225"/>
    </row>
    <row r="129" spans="2:16" s="976" customFormat="1" ht="16.8">
      <c r="B129" s="2781">
        <v>21903</v>
      </c>
      <c r="C129" s="1215"/>
      <c r="D129" s="1631" t="s">
        <v>772</v>
      </c>
      <c r="E129" s="1217"/>
      <c r="F129" s="1217"/>
      <c r="G129" s="1829">
        <v>2170134.1</v>
      </c>
      <c r="H129" s="1619"/>
      <c r="I129" s="1829">
        <v>2170134.1</v>
      </c>
      <c r="J129" s="1619"/>
      <c r="K129" s="1829">
        <v>0</v>
      </c>
      <c r="L129" s="1619"/>
      <c r="M129" s="2360">
        <f t="shared" si="2"/>
        <v>0</v>
      </c>
      <c r="N129" s="1619"/>
      <c r="O129" s="3115">
        <v>0</v>
      </c>
      <c r="P129" s="1225" t="s">
        <v>970</v>
      </c>
    </row>
    <row r="130" spans="2:16" s="976" customFormat="1" ht="16.8">
      <c r="B130" s="2781">
        <v>21905</v>
      </c>
      <c r="C130" s="1215"/>
      <c r="D130" s="1631" t="s">
        <v>1508</v>
      </c>
      <c r="E130" s="1217"/>
      <c r="F130" s="1217"/>
      <c r="G130" s="1829">
        <v>0</v>
      </c>
      <c r="H130" s="1619"/>
      <c r="I130" s="1829">
        <v>0</v>
      </c>
      <c r="J130" s="1619"/>
      <c r="K130" s="1829">
        <v>0</v>
      </c>
      <c r="L130" s="1619"/>
      <c r="M130" s="2360">
        <f t="shared" si="2"/>
        <v>0</v>
      </c>
      <c r="N130" s="1619"/>
      <c r="O130" s="3115">
        <v>0</v>
      </c>
      <c r="P130" s="1225"/>
    </row>
    <row r="131" spans="2:16" s="976" customFormat="1" ht="15.6">
      <c r="B131" s="2781">
        <v>21907</v>
      </c>
      <c r="C131" s="1215"/>
      <c r="D131" s="1219" t="s">
        <v>773</v>
      </c>
      <c r="E131" s="1217"/>
      <c r="F131" s="1217"/>
      <c r="G131" s="1829">
        <v>0</v>
      </c>
      <c r="H131" s="1619"/>
      <c r="I131" s="1829">
        <v>0</v>
      </c>
      <c r="J131" s="1619"/>
      <c r="K131" s="1829">
        <v>0</v>
      </c>
      <c r="L131" s="1619"/>
      <c r="M131" s="2360">
        <f t="shared" si="2"/>
        <v>138137149.94999999</v>
      </c>
      <c r="N131" s="1619"/>
      <c r="O131" s="3115">
        <v>138137149.94999999</v>
      </c>
      <c r="P131" s="1225"/>
    </row>
    <row r="132" spans="2:16" s="976" customFormat="1" ht="15.6">
      <c r="B132" s="2781">
        <v>21909</v>
      </c>
      <c r="C132" s="1215"/>
      <c r="D132" s="1219" t="s">
        <v>774</v>
      </c>
      <c r="E132" s="1217"/>
      <c r="F132" s="1217"/>
      <c r="G132" s="1829">
        <v>0</v>
      </c>
      <c r="H132" s="1619"/>
      <c r="I132" s="1829">
        <v>211992147.93000001</v>
      </c>
      <c r="J132" s="1619"/>
      <c r="K132" s="1829">
        <v>0</v>
      </c>
      <c r="L132" s="1619"/>
      <c r="M132" s="2360">
        <f t="shared" si="2"/>
        <v>9273931.4399999995</v>
      </c>
      <c r="N132" s="1619"/>
      <c r="O132" s="3115">
        <v>9273931.4399999995</v>
      </c>
      <c r="P132" s="1225"/>
    </row>
    <row r="133" spans="2:16" s="976" customFormat="1" ht="15.6">
      <c r="B133" s="2781">
        <v>21911</v>
      </c>
      <c r="C133" s="1215"/>
      <c r="D133" s="1219" t="s">
        <v>775</v>
      </c>
      <c r="E133" s="1217"/>
      <c r="F133" s="1217"/>
      <c r="G133" s="1829">
        <v>1354112.77</v>
      </c>
      <c r="H133" s="1619"/>
      <c r="I133" s="1829">
        <v>1699692.51</v>
      </c>
      <c r="J133" s="1619"/>
      <c r="K133" s="1829">
        <v>1893826.52</v>
      </c>
      <c r="L133" s="1619"/>
      <c r="M133" s="2360">
        <f t="shared" si="2"/>
        <v>-1799717.21</v>
      </c>
      <c r="N133" s="1619"/>
      <c r="O133" s="3115">
        <v>94109.31</v>
      </c>
      <c r="P133" s="1225"/>
    </row>
    <row r="134" spans="2:16" s="976" customFormat="1" ht="15.6">
      <c r="B134" s="2781">
        <v>21912</v>
      </c>
      <c r="C134" s="1215"/>
      <c r="D134" s="1216" t="s">
        <v>776</v>
      </c>
      <c r="E134" s="1217"/>
      <c r="F134" s="1217"/>
      <c r="G134" s="1829">
        <v>4677092.57</v>
      </c>
      <c r="H134" s="1619"/>
      <c r="I134" s="1829">
        <v>5987612.2199999997</v>
      </c>
      <c r="J134" s="1619"/>
      <c r="K134" s="1829">
        <v>6413268.0800000001</v>
      </c>
      <c r="L134" s="1619"/>
      <c r="M134" s="2360">
        <f t="shared" si="2"/>
        <v>-536292.28</v>
      </c>
      <c r="N134" s="1619"/>
      <c r="O134" s="3115">
        <v>5876975.7999999998</v>
      </c>
      <c r="P134" s="1225"/>
    </row>
    <row r="135" spans="2:16" s="976" customFormat="1" ht="15.6">
      <c r="B135" s="2781">
        <v>21913</v>
      </c>
      <c r="C135" s="1215"/>
      <c r="D135" s="1219" t="s">
        <v>1098</v>
      </c>
      <c r="E135" s="1217"/>
      <c r="F135" s="1217"/>
      <c r="G135" s="1829">
        <v>18418935.379999999</v>
      </c>
      <c r="H135" s="1619"/>
      <c r="I135" s="1829">
        <v>19886250.210000001</v>
      </c>
      <c r="J135" s="1619"/>
      <c r="K135" s="1829">
        <v>18635885.02</v>
      </c>
      <c r="L135" s="1619"/>
      <c r="M135" s="2360">
        <f t="shared" si="2"/>
        <v>550120.44999999995</v>
      </c>
      <c r="N135" s="1619"/>
      <c r="O135" s="3115">
        <v>19186005.469999999</v>
      </c>
      <c r="P135" s="1225"/>
    </row>
    <row r="136" spans="2:16" s="976" customFormat="1" ht="15.6">
      <c r="B136" s="2781">
        <v>21937</v>
      </c>
      <c r="C136" s="1215"/>
      <c r="D136" s="1219" t="s">
        <v>777</v>
      </c>
      <c r="E136" s="1217"/>
      <c r="F136" s="1217"/>
      <c r="G136" s="1829">
        <v>301295.23</v>
      </c>
      <c r="H136" s="1619"/>
      <c r="I136" s="1829">
        <v>182963.15</v>
      </c>
      <c r="J136" s="1619"/>
      <c r="K136" s="1829">
        <v>0</v>
      </c>
      <c r="L136" s="1619"/>
      <c r="M136" s="2360">
        <f t="shared" si="2"/>
        <v>118628.55</v>
      </c>
      <c r="N136" s="1619"/>
      <c r="O136" s="3115">
        <v>118628.55</v>
      </c>
      <c r="P136" s="1225"/>
    </row>
    <row r="137" spans="2:16" s="976" customFormat="1" ht="15.6">
      <c r="B137" s="2781">
        <v>21943</v>
      </c>
      <c r="C137" s="1215"/>
      <c r="D137" s="1219" t="s">
        <v>778</v>
      </c>
      <c r="E137" s="1217"/>
      <c r="F137" s="1217"/>
      <c r="G137" s="1829">
        <v>4291667.41</v>
      </c>
      <c r="H137" s="1619"/>
      <c r="I137" s="1829">
        <v>4291667.41</v>
      </c>
      <c r="J137" s="1619"/>
      <c r="K137" s="1829">
        <v>0</v>
      </c>
      <c r="L137" s="1619"/>
      <c r="M137" s="2360">
        <f t="shared" si="2"/>
        <v>0</v>
      </c>
      <c r="N137" s="1619"/>
      <c r="O137" s="3115">
        <v>0</v>
      </c>
      <c r="P137" s="1225" t="s">
        <v>970</v>
      </c>
    </row>
    <row r="138" spans="2:16" s="976" customFormat="1" ht="15.6">
      <c r="B138" s="2781">
        <v>21945</v>
      </c>
      <c r="C138" s="1215"/>
      <c r="D138" s="1216" t="s">
        <v>779</v>
      </c>
      <c r="E138" s="1217"/>
      <c r="F138" s="1217"/>
      <c r="G138" s="1829">
        <v>0</v>
      </c>
      <c r="H138" s="1619"/>
      <c r="I138" s="1829">
        <v>0</v>
      </c>
      <c r="J138" s="1619"/>
      <c r="K138" s="1829">
        <v>0</v>
      </c>
      <c r="L138" s="1619"/>
      <c r="M138" s="2360">
        <f t="shared" si="2"/>
        <v>0</v>
      </c>
      <c r="N138" s="1619"/>
      <c r="O138" s="3115">
        <v>0</v>
      </c>
      <c r="P138" s="1225"/>
    </row>
    <row r="139" spans="2:16" s="976" customFormat="1" ht="15.6">
      <c r="B139" s="2781">
        <v>21950</v>
      </c>
      <c r="C139" s="1215"/>
      <c r="D139" s="1216" t="s">
        <v>1105</v>
      </c>
      <c r="E139" s="1217"/>
      <c r="F139" s="1217"/>
      <c r="G139" s="1829">
        <v>0</v>
      </c>
      <c r="H139" s="1619"/>
      <c r="I139" s="1829">
        <v>0</v>
      </c>
      <c r="J139" s="1619"/>
      <c r="K139" s="1829">
        <v>0</v>
      </c>
      <c r="L139" s="1619"/>
      <c r="M139" s="2360">
        <f t="shared" si="2"/>
        <v>0</v>
      </c>
      <c r="N139" s="1619"/>
      <c r="O139" s="3115">
        <v>0</v>
      </c>
      <c r="P139" s="1225" t="s">
        <v>970</v>
      </c>
    </row>
    <row r="140" spans="2:16" s="976" customFormat="1" ht="15.6">
      <c r="B140" s="2781">
        <v>21959</v>
      </c>
      <c r="C140" s="1215"/>
      <c r="D140" s="1219" t="s">
        <v>780</v>
      </c>
      <c r="E140" s="1217"/>
      <c r="F140" s="1217"/>
      <c r="G140" s="1829">
        <v>1242844.0900000001</v>
      </c>
      <c r="H140" s="1619"/>
      <c r="I140" s="1829">
        <v>0</v>
      </c>
      <c r="J140" s="1619"/>
      <c r="K140" s="1829">
        <v>0</v>
      </c>
      <c r="L140" s="1619"/>
      <c r="M140" s="2360">
        <f t="shared" si="2"/>
        <v>0</v>
      </c>
      <c r="N140" s="1619"/>
      <c r="O140" s="3115">
        <v>0</v>
      </c>
      <c r="P140" s="1225"/>
    </row>
    <row r="141" spans="2:16" s="976" customFormat="1" ht="15.6">
      <c r="B141" s="2781">
        <v>21962</v>
      </c>
      <c r="C141" s="1215"/>
      <c r="D141" s="1219" t="s">
        <v>781</v>
      </c>
      <c r="E141" s="1217"/>
      <c r="F141" s="1217"/>
      <c r="G141" s="1829">
        <v>12436629.869999999</v>
      </c>
      <c r="H141" s="1619"/>
      <c r="I141" s="1829">
        <v>13725300.08</v>
      </c>
      <c r="J141" s="1619"/>
      <c r="K141" s="1829">
        <v>11807535.189999999</v>
      </c>
      <c r="L141" s="1619"/>
      <c r="M141" s="2360">
        <f t="shared" si="2"/>
        <v>-60495.31</v>
      </c>
      <c r="N141" s="1619"/>
      <c r="O141" s="3115">
        <v>11747039.880000001</v>
      </c>
      <c r="P141" s="1225"/>
    </row>
    <row r="142" spans="2:16" s="976" customFormat="1" ht="15.6">
      <c r="B142" s="2781">
        <v>21978</v>
      </c>
      <c r="C142" s="1215"/>
      <c r="D142" s="1216" t="s">
        <v>782</v>
      </c>
      <c r="E142" s="1217"/>
      <c r="F142" s="1217"/>
      <c r="G142" s="1829">
        <v>0</v>
      </c>
      <c r="H142" s="1619"/>
      <c r="I142" s="1829">
        <v>0</v>
      </c>
      <c r="J142" s="1619"/>
      <c r="K142" s="1829">
        <v>0</v>
      </c>
      <c r="L142" s="1619"/>
      <c r="M142" s="2360">
        <f t="shared" si="2"/>
        <v>142603.81</v>
      </c>
      <c r="N142" s="1619"/>
      <c r="O142" s="3115">
        <v>142603.81</v>
      </c>
      <c r="P142" s="1225"/>
    </row>
    <row r="143" spans="2:16" s="976" customFormat="1" ht="15.6">
      <c r="B143" s="2781">
        <v>21979</v>
      </c>
      <c r="C143" s="1215"/>
      <c r="D143" s="1216" t="s">
        <v>783</v>
      </c>
      <c r="E143" s="1217"/>
      <c r="F143" s="1217"/>
      <c r="G143" s="1829">
        <v>0</v>
      </c>
      <c r="H143" s="1619"/>
      <c r="I143" s="1829">
        <v>0</v>
      </c>
      <c r="J143" s="1619"/>
      <c r="K143" s="1829">
        <v>0</v>
      </c>
      <c r="L143" s="1619"/>
      <c r="M143" s="2360">
        <f t="shared" si="2"/>
        <v>0</v>
      </c>
      <c r="N143" s="1619"/>
      <c r="O143" s="3115">
        <v>0</v>
      </c>
      <c r="P143" s="1225"/>
    </row>
    <row r="144" spans="2:16" s="976" customFormat="1" ht="15.6">
      <c r="B144" s="2781">
        <v>21989</v>
      </c>
      <c r="C144" s="1215"/>
      <c r="D144" s="1216" t="s">
        <v>784</v>
      </c>
      <c r="E144" s="1217"/>
      <c r="F144" s="1217"/>
      <c r="G144" s="1829">
        <v>0</v>
      </c>
      <c r="H144" s="1619"/>
      <c r="I144" s="1829">
        <v>0</v>
      </c>
      <c r="J144" s="1619"/>
      <c r="K144" s="1829">
        <v>0</v>
      </c>
      <c r="L144" s="1619"/>
      <c r="M144" s="2360">
        <f t="shared" si="2"/>
        <v>0</v>
      </c>
      <c r="N144" s="1619"/>
      <c r="O144" s="3115">
        <v>0</v>
      </c>
      <c r="P144" s="1225"/>
    </row>
    <row r="145" spans="2:16" s="976" customFormat="1" ht="15.6">
      <c r="B145" s="2781">
        <v>22003</v>
      </c>
      <c r="C145" s="1215"/>
      <c r="D145" s="1216" t="s">
        <v>785</v>
      </c>
      <c r="E145" s="1217"/>
      <c r="F145" s="1217"/>
      <c r="G145" s="1829">
        <v>0</v>
      </c>
      <c r="H145" s="1619"/>
      <c r="I145" s="1829">
        <v>0</v>
      </c>
      <c r="J145" s="1619"/>
      <c r="K145" s="1829">
        <v>0</v>
      </c>
      <c r="L145" s="1619"/>
      <c r="M145" s="2360">
        <f t="shared" si="2"/>
        <v>0</v>
      </c>
      <c r="N145" s="1619"/>
      <c r="O145" s="3115">
        <v>0</v>
      </c>
      <c r="P145" s="1225"/>
    </row>
    <row r="146" spans="2:16" s="976" customFormat="1" ht="15.6">
      <c r="B146" s="2781">
        <v>22004</v>
      </c>
      <c r="C146" s="1215"/>
      <c r="D146" s="1219" t="s">
        <v>786</v>
      </c>
      <c r="E146" s="1217"/>
      <c r="F146" s="1217"/>
      <c r="G146" s="1829">
        <v>0</v>
      </c>
      <c r="H146" s="1619"/>
      <c r="I146" s="1829">
        <v>0</v>
      </c>
      <c r="J146" s="1619"/>
      <c r="K146" s="1829">
        <v>0</v>
      </c>
      <c r="L146" s="1619"/>
      <c r="M146" s="2360">
        <f t="shared" si="2"/>
        <v>0</v>
      </c>
      <c r="N146" s="1619"/>
      <c r="O146" s="3115">
        <v>0</v>
      </c>
      <c r="P146" s="1225"/>
    </row>
    <row r="147" spans="2:16" s="976" customFormat="1" ht="15.6">
      <c r="B147" s="2781">
        <v>22006</v>
      </c>
      <c r="C147" s="1215"/>
      <c r="D147" s="1216" t="s">
        <v>787</v>
      </c>
      <c r="E147" s="1217"/>
      <c r="F147" s="1217"/>
      <c r="G147" s="1829">
        <v>733364.31</v>
      </c>
      <c r="H147" s="1619"/>
      <c r="I147" s="1829">
        <v>805760.01</v>
      </c>
      <c r="J147" s="1619"/>
      <c r="K147" s="1829">
        <v>825576.32</v>
      </c>
      <c r="L147" s="1619"/>
      <c r="M147" s="2360">
        <f t="shared" si="2"/>
        <v>903.81</v>
      </c>
      <c r="N147" s="1619"/>
      <c r="O147" s="3115">
        <v>826480.13</v>
      </c>
      <c r="P147" s="1225"/>
    </row>
    <row r="148" spans="2:16" s="976" customFormat="1" ht="15.6">
      <c r="B148" s="2781">
        <v>22007</v>
      </c>
      <c r="C148" s="1215"/>
      <c r="D148" s="1219" t="s">
        <v>788</v>
      </c>
      <c r="E148" s="1217"/>
      <c r="F148" s="1217"/>
      <c r="G148" s="1829">
        <v>0</v>
      </c>
      <c r="H148" s="1619"/>
      <c r="I148" s="1829">
        <v>0</v>
      </c>
      <c r="J148" s="1619"/>
      <c r="K148" s="1829">
        <v>625103.17000000004</v>
      </c>
      <c r="L148" s="1619"/>
      <c r="M148" s="2360">
        <f t="shared" si="2"/>
        <v>-578286.73</v>
      </c>
      <c r="N148" s="1619"/>
      <c r="O148" s="3115">
        <v>46816.44</v>
      </c>
      <c r="P148" s="1225"/>
    </row>
    <row r="149" spans="2:16" s="976" customFormat="1" ht="15.6">
      <c r="B149" s="2781">
        <v>22009</v>
      </c>
      <c r="C149" s="1215"/>
      <c r="D149" s="1219" t="s">
        <v>789</v>
      </c>
      <c r="E149" s="1217"/>
      <c r="F149" s="1217"/>
      <c r="G149" s="1829">
        <v>186977.14</v>
      </c>
      <c r="H149" s="1619"/>
      <c r="I149" s="1829">
        <v>152567.35999999999</v>
      </c>
      <c r="J149" s="1619"/>
      <c r="K149" s="1829">
        <v>157710.88</v>
      </c>
      <c r="L149" s="1619"/>
      <c r="M149" s="2360">
        <f t="shared" si="2"/>
        <v>23104.85</v>
      </c>
      <c r="N149" s="1619"/>
      <c r="O149" s="3115">
        <v>180815.73</v>
      </c>
      <c r="P149" s="1225"/>
    </row>
    <row r="150" spans="2:16" s="976" customFormat="1" ht="15.6">
      <c r="B150" s="2781">
        <v>22032</v>
      </c>
      <c r="C150" s="1215"/>
      <c r="D150" s="1219" t="s">
        <v>790</v>
      </c>
      <c r="E150" s="1217"/>
      <c r="F150" s="1217"/>
      <c r="G150" s="1829">
        <v>12296673.359999999</v>
      </c>
      <c r="H150" s="1619"/>
      <c r="I150" s="1829">
        <v>11364528.17</v>
      </c>
      <c r="J150" s="1619"/>
      <c r="K150" s="1829">
        <v>10445969.41</v>
      </c>
      <c r="L150" s="1619"/>
      <c r="M150" s="2360">
        <f t="shared" si="2"/>
        <v>-4508510.25</v>
      </c>
      <c r="N150" s="1619"/>
      <c r="O150" s="3115">
        <v>5937459.1600000001</v>
      </c>
      <c r="P150" s="1225"/>
    </row>
    <row r="151" spans="2:16" s="976" customFormat="1" ht="15.6">
      <c r="B151" s="2781">
        <v>22034</v>
      </c>
      <c r="C151" s="1215"/>
      <c r="D151" s="1219" t="s">
        <v>791</v>
      </c>
      <c r="E151" s="1217"/>
      <c r="F151" s="1217"/>
      <c r="G151" s="1829">
        <v>0</v>
      </c>
      <c r="H151" s="1619"/>
      <c r="I151" s="1829">
        <v>0</v>
      </c>
      <c r="J151" s="1619"/>
      <c r="K151" s="1829">
        <v>0</v>
      </c>
      <c r="L151" s="1619"/>
      <c r="M151" s="2360">
        <f t="shared" si="2"/>
        <v>0</v>
      </c>
      <c r="N151" s="1619"/>
      <c r="O151" s="3115">
        <v>0</v>
      </c>
      <c r="P151" s="1225"/>
    </row>
    <row r="152" spans="2:16" s="976" customFormat="1" ht="15.6">
      <c r="B152" s="2781">
        <v>22036</v>
      </c>
      <c r="C152" s="1215"/>
      <c r="D152" s="1219" t="s">
        <v>792</v>
      </c>
      <c r="E152" s="1217"/>
      <c r="F152" s="1217"/>
      <c r="G152" s="1829">
        <v>0</v>
      </c>
      <c r="H152" s="1619"/>
      <c r="I152" s="1829">
        <v>0</v>
      </c>
      <c r="J152" s="1619"/>
      <c r="K152" s="1829">
        <v>0</v>
      </c>
      <c r="L152" s="1619"/>
      <c r="M152" s="2360">
        <f t="shared" si="2"/>
        <v>0</v>
      </c>
      <c r="N152" s="1619"/>
      <c r="O152" s="3115">
        <v>0</v>
      </c>
      <c r="P152" s="1225"/>
    </row>
    <row r="153" spans="2:16" s="976" customFormat="1" ht="15.6">
      <c r="B153" s="2781">
        <v>22039</v>
      </c>
      <c r="C153" s="1215"/>
      <c r="D153" s="1219" t="s">
        <v>793</v>
      </c>
      <c r="E153" s="1217"/>
      <c r="F153" s="1217"/>
      <c r="G153" s="1829">
        <v>1127523.8999999999</v>
      </c>
      <c r="H153" s="1619"/>
      <c r="I153" s="1829">
        <v>1641674.22</v>
      </c>
      <c r="J153" s="1619"/>
      <c r="K153" s="1829">
        <v>1839595.26</v>
      </c>
      <c r="L153" s="1619"/>
      <c r="M153" s="2360">
        <f t="shared" si="2"/>
        <v>-1650498.28</v>
      </c>
      <c r="N153" s="1619"/>
      <c r="O153" s="3115">
        <v>189096.98</v>
      </c>
      <c r="P153" s="1225"/>
    </row>
    <row r="154" spans="2:16" s="976" customFormat="1" ht="15.6">
      <c r="B154" s="2781">
        <v>22046</v>
      </c>
      <c r="C154" s="1215"/>
      <c r="D154" s="1219" t="s">
        <v>794</v>
      </c>
      <c r="E154" s="1217"/>
      <c r="F154" s="1217"/>
      <c r="G154" s="1829">
        <v>65470480.450000003</v>
      </c>
      <c r="H154" s="1619"/>
      <c r="I154" s="1829">
        <v>66056629.759999998</v>
      </c>
      <c r="J154" s="1619"/>
      <c r="K154" s="1829">
        <v>67494382.900000006</v>
      </c>
      <c r="L154" s="1619"/>
      <c r="M154" s="2360">
        <f t="shared" si="2"/>
        <v>-368158.9</v>
      </c>
      <c r="N154" s="1619"/>
      <c r="O154" s="3115">
        <v>67126224</v>
      </c>
      <c r="P154" s="1225"/>
    </row>
    <row r="155" spans="2:16" s="976" customFormat="1" ht="15.6">
      <c r="B155" s="2781">
        <v>22053</v>
      </c>
      <c r="C155" s="1215"/>
      <c r="D155" s="1219" t="s">
        <v>795</v>
      </c>
      <c r="E155" s="1217"/>
      <c r="F155" s="1217"/>
      <c r="G155" s="1829">
        <v>6188540.29</v>
      </c>
      <c r="H155" s="1619"/>
      <c r="I155" s="1829">
        <v>3651164.76</v>
      </c>
      <c r="J155" s="1619"/>
      <c r="K155" s="1829">
        <v>3011463.84</v>
      </c>
      <c r="L155" s="1619"/>
      <c r="M155" s="2360">
        <f t="shared" si="2"/>
        <v>-2967477.38</v>
      </c>
      <c r="N155" s="1619"/>
      <c r="O155" s="3115">
        <v>43986.46</v>
      </c>
      <c r="P155" s="1225"/>
    </row>
    <row r="156" spans="2:16" s="976" customFormat="1" ht="15.6">
      <c r="B156" s="2781">
        <v>22054</v>
      </c>
      <c r="C156" s="1215"/>
      <c r="D156" s="1219" t="s">
        <v>796</v>
      </c>
      <c r="E156" s="1217"/>
      <c r="F156" s="1217"/>
      <c r="G156" s="1829">
        <v>11254040.470000001</v>
      </c>
      <c r="H156" s="1619"/>
      <c r="I156" s="1829">
        <v>11348025.9</v>
      </c>
      <c r="J156" s="1619"/>
      <c r="K156" s="1829">
        <v>11185876.449999999</v>
      </c>
      <c r="L156" s="1619"/>
      <c r="M156" s="2360">
        <f t="shared" si="2"/>
        <v>-86945.33</v>
      </c>
      <c r="N156" s="1619"/>
      <c r="O156" s="3115">
        <v>11098931.119999999</v>
      </c>
      <c r="P156" s="1225"/>
    </row>
    <row r="157" spans="2:16" s="976" customFormat="1" ht="15.6">
      <c r="B157" s="2781">
        <v>22055</v>
      </c>
      <c r="C157" s="1215"/>
      <c r="D157" s="1219" t="s">
        <v>797</v>
      </c>
      <c r="E157" s="1217"/>
      <c r="F157" s="1217"/>
      <c r="G157" s="1829">
        <v>3511287.83</v>
      </c>
      <c r="H157" s="1619"/>
      <c r="I157" s="1829">
        <v>5505767.3300000001</v>
      </c>
      <c r="J157" s="1619"/>
      <c r="K157" s="1829">
        <v>3009477.12</v>
      </c>
      <c r="L157" s="1619"/>
      <c r="M157" s="2360">
        <f t="shared" si="2"/>
        <v>1692853.1</v>
      </c>
      <c r="N157" s="1619"/>
      <c r="O157" s="3115">
        <v>4702330.22</v>
      </c>
      <c r="P157" s="1225"/>
    </row>
    <row r="158" spans="2:16" s="976" customFormat="1" ht="15.6">
      <c r="B158" s="2781">
        <v>22056</v>
      </c>
      <c r="C158" s="1215"/>
      <c r="D158" s="1219" t="s">
        <v>798</v>
      </c>
      <c r="E158" s="1217"/>
      <c r="F158" s="1217"/>
      <c r="G158" s="1829">
        <v>1497872.51</v>
      </c>
      <c r="H158" s="1619"/>
      <c r="I158" s="1829">
        <v>1859057</v>
      </c>
      <c r="J158" s="1619"/>
      <c r="K158" s="1829">
        <v>0</v>
      </c>
      <c r="L158" s="1619"/>
      <c r="M158" s="2360">
        <f t="shared" si="2"/>
        <v>194186.03</v>
      </c>
      <c r="N158" s="1619"/>
      <c r="O158" s="3115">
        <v>194186.03</v>
      </c>
      <c r="P158" s="1225"/>
    </row>
    <row r="159" spans="2:16" s="976" customFormat="1" ht="15.6">
      <c r="B159" s="2781">
        <v>22062</v>
      </c>
      <c r="C159" s="1215"/>
      <c r="D159" s="1219" t="s">
        <v>799</v>
      </c>
      <c r="E159" s="1217"/>
      <c r="F159" s="1217"/>
      <c r="G159" s="1829">
        <v>0</v>
      </c>
      <c r="H159" s="1619"/>
      <c r="I159" s="1829">
        <v>0</v>
      </c>
      <c r="J159" s="1619"/>
      <c r="K159" s="1829">
        <v>0</v>
      </c>
      <c r="L159" s="1619"/>
      <c r="M159" s="2360">
        <f t="shared" si="2"/>
        <v>0</v>
      </c>
      <c r="N159" s="1619"/>
      <c r="O159" s="3115">
        <v>0</v>
      </c>
      <c r="P159" s="1225"/>
    </row>
    <row r="160" spans="2:16" s="976" customFormat="1" ht="15.6">
      <c r="B160" s="2781">
        <v>22063</v>
      </c>
      <c r="C160" s="1215"/>
      <c r="D160" s="1219" t="s">
        <v>800</v>
      </c>
      <c r="E160" s="1217"/>
      <c r="F160" s="1217"/>
      <c r="G160" s="1829">
        <v>3277795.01</v>
      </c>
      <c r="H160" s="1619"/>
      <c r="I160" s="1829">
        <v>3298331.81</v>
      </c>
      <c r="J160" s="1619"/>
      <c r="K160" s="1829">
        <v>3658250.82</v>
      </c>
      <c r="L160" s="1619"/>
      <c r="M160" s="2360">
        <f t="shared" si="2"/>
        <v>-724300.07</v>
      </c>
      <c r="N160" s="1619"/>
      <c r="O160" s="3115">
        <v>2933950.75</v>
      </c>
      <c r="P160" s="1225"/>
    </row>
    <row r="161" spans="2:16" s="976" customFormat="1" ht="15.6">
      <c r="B161" s="2781">
        <v>22078</v>
      </c>
      <c r="C161" s="1215"/>
      <c r="D161" s="1219" t="s">
        <v>801</v>
      </c>
      <c r="E161" s="1217"/>
      <c r="F161" s="1217"/>
      <c r="G161" s="1829">
        <v>0</v>
      </c>
      <c r="H161" s="1619"/>
      <c r="I161" s="1829">
        <v>143367.84</v>
      </c>
      <c r="J161" s="1619"/>
      <c r="K161" s="1829">
        <v>191046.52</v>
      </c>
      <c r="L161" s="1619"/>
      <c r="M161" s="2360">
        <f t="shared" ref="M161:M182" si="3">ROUND(SUM(O161)-SUM(K161),2)</f>
        <v>50568.68</v>
      </c>
      <c r="N161" s="1619"/>
      <c r="O161" s="3115">
        <v>241615.2</v>
      </c>
      <c r="P161" s="1225"/>
    </row>
    <row r="162" spans="2:16" s="976" customFormat="1" ht="15.6">
      <c r="B162" s="2781">
        <v>22085</v>
      </c>
      <c r="C162" s="1215"/>
      <c r="D162" s="1219" t="s">
        <v>802</v>
      </c>
      <c r="E162" s="1217"/>
      <c r="F162" s="1217"/>
      <c r="G162" s="1829">
        <v>5960471.8799999999</v>
      </c>
      <c r="H162" s="1619"/>
      <c r="I162" s="1829">
        <v>5376710.0199999996</v>
      </c>
      <c r="J162" s="1619"/>
      <c r="K162" s="1829">
        <v>3286583.44</v>
      </c>
      <c r="L162" s="1619"/>
      <c r="M162" s="2360">
        <f t="shared" si="3"/>
        <v>422215.99</v>
      </c>
      <c r="N162" s="1619"/>
      <c r="O162" s="3115">
        <v>3708799.43</v>
      </c>
      <c r="P162" s="1225"/>
    </row>
    <row r="163" spans="2:16" s="976" customFormat="1" ht="15.6">
      <c r="B163" s="2781">
        <v>22087</v>
      </c>
      <c r="C163" s="1215"/>
      <c r="D163" s="1216" t="s">
        <v>803</v>
      </c>
      <c r="E163" s="1217"/>
      <c r="F163" s="1217"/>
      <c r="G163" s="1829">
        <v>0</v>
      </c>
      <c r="H163" s="1619"/>
      <c r="I163" s="1829">
        <v>0</v>
      </c>
      <c r="J163" s="1619"/>
      <c r="K163" s="1829">
        <v>637707.86</v>
      </c>
      <c r="L163" s="1619"/>
      <c r="M163" s="2360">
        <f t="shared" si="3"/>
        <v>679940.72</v>
      </c>
      <c r="N163" s="1619"/>
      <c r="O163" s="3115">
        <v>1317648.58</v>
      </c>
      <c r="P163" s="1225"/>
    </row>
    <row r="164" spans="2:16" s="976" customFormat="1" ht="15.6">
      <c r="B164" s="2781">
        <v>22090</v>
      </c>
      <c r="C164" s="1215"/>
      <c r="D164" s="1219" t="s">
        <v>804</v>
      </c>
      <c r="E164" s="1217"/>
      <c r="F164" s="1217"/>
      <c r="G164" s="1829">
        <v>6861315.3899999997</v>
      </c>
      <c r="H164" s="1619"/>
      <c r="I164" s="1829">
        <v>7120380.5899999999</v>
      </c>
      <c r="J164" s="1619"/>
      <c r="K164" s="1829">
        <v>7438941.3899999997</v>
      </c>
      <c r="L164" s="1619"/>
      <c r="M164" s="2360">
        <f t="shared" si="3"/>
        <v>243353.75</v>
      </c>
      <c r="N164" s="1619"/>
      <c r="O164" s="3115">
        <v>7682295.1399999997</v>
      </c>
      <c r="P164" s="1225"/>
    </row>
    <row r="165" spans="2:16" s="976" customFormat="1" ht="15.6">
      <c r="B165" s="2781">
        <v>22094</v>
      </c>
      <c r="C165" s="1215"/>
      <c r="D165" s="1219" t="s">
        <v>805</v>
      </c>
      <c r="E165" s="1217"/>
      <c r="F165" s="1217"/>
      <c r="G165" s="1829">
        <v>0</v>
      </c>
      <c r="H165" s="1619"/>
      <c r="I165" s="1829">
        <v>0</v>
      </c>
      <c r="J165" s="1619"/>
      <c r="K165" s="1829">
        <v>0</v>
      </c>
      <c r="L165" s="1619"/>
      <c r="M165" s="2360">
        <f t="shared" si="3"/>
        <v>0</v>
      </c>
      <c r="N165" s="1619"/>
      <c r="O165" s="3115">
        <v>0</v>
      </c>
      <c r="P165" s="1225" t="s">
        <v>970</v>
      </c>
    </row>
    <row r="166" spans="2:16" s="976" customFormat="1" ht="15.6">
      <c r="B166" s="2781">
        <v>22100</v>
      </c>
      <c r="C166" s="1215"/>
      <c r="D166" s="1219" t="s">
        <v>806</v>
      </c>
      <c r="E166" s="1217"/>
      <c r="F166" s="1217"/>
      <c r="G166" s="1829">
        <v>0</v>
      </c>
      <c r="H166" s="1619"/>
      <c r="I166" s="1829">
        <v>484993.37</v>
      </c>
      <c r="J166" s="1619"/>
      <c r="K166" s="1829">
        <v>340761.07</v>
      </c>
      <c r="L166" s="1619"/>
      <c r="M166" s="2360">
        <f t="shared" si="3"/>
        <v>99347.24</v>
      </c>
      <c r="N166" s="1619"/>
      <c r="O166" s="3115">
        <v>440108.31</v>
      </c>
      <c r="P166" s="1225"/>
    </row>
    <row r="167" spans="2:16" s="976" customFormat="1" ht="15.6">
      <c r="B167" s="2781">
        <v>22130</v>
      </c>
      <c r="C167" s="1215"/>
      <c r="D167" s="1216" t="s">
        <v>807</v>
      </c>
      <c r="E167" s="1217"/>
      <c r="F167" s="1217"/>
      <c r="G167" s="1829">
        <v>0</v>
      </c>
      <c r="H167" s="1619"/>
      <c r="I167" s="1829">
        <v>0</v>
      </c>
      <c r="J167" s="1619"/>
      <c r="K167" s="1829">
        <v>0</v>
      </c>
      <c r="L167" s="1619"/>
      <c r="M167" s="2360">
        <f t="shared" si="3"/>
        <v>0</v>
      </c>
      <c r="N167" s="1619"/>
      <c r="O167" s="3115">
        <v>0</v>
      </c>
      <c r="P167" s="1225"/>
    </row>
    <row r="168" spans="2:16" s="976" customFormat="1" ht="15.6">
      <c r="B168" s="2781">
        <v>22135</v>
      </c>
      <c r="C168" s="1215"/>
      <c r="D168" s="1216" t="s">
        <v>808</v>
      </c>
      <c r="E168" s="1217"/>
      <c r="F168" s="1217"/>
      <c r="G168" s="1829">
        <v>0</v>
      </c>
      <c r="H168" s="1619"/>
      <c r="I168" s="1829">
        <v>0</v>
      </c>
      <c r="J168" s="1619"/>
      <c r="K168" s="1829">
        <v>0</v>
      </c>
      <c r="L168" s="1619"/>
      <c r="M168" s="2360">
        <f t="shared" si="3"/>
        <v>0</v>
      </c>
      <c r="N168" s="1619"/>
      <c r="O168" s="3115">
        <v>0</v>
      </c>
      <c r="P168" s="1225"/>
    </row>
    <row r="169" spans="2:16" s="976" customFormat="1" ht="15.6">
      <c r="B169" s="2781">
        <v>22144</v>
      </c>
      <c r="C169" s="1215"/>
      <c r="D169" s="1219" t="s">
        <v>809</v>
      </c>
      <c r="E169" s="1217"/>
      <c r="F169" s="1217"/>
      <c r="G169" s="1829">
        <v>0</v>
      </c>
      <c r="H169" s="1619"/>
      <c r="I169" s="1829">
        <v>0</v>
      </c>
      <c r="J169" s="1619"/>
      <c r="K169" s="1829">
        <v>0</v>
      </c>
      <c r="L169" s="1619"/>
      <c r="M169" s="2360">
        <f t="shared" si="3"/>
        <v>0</v>
      </c>
      <c r="N169" s="1619"/>
      <c r="O169" s="3115">
        <v>0</v>
      </c>
      <c r="P169" s="1225"/>
    </row>
    <row r="170" spans="2:16" s="976" customFormat="1" ht="15.6">
      <c r="B170" s="2781">
        <v>22151</v>
      </c>
      <c r="C170" s="1215"/>
      <c r="D170" s="1216" t="s">
        <v>810</v>
      </c>
      <c r="E170" s="1217"/>
      <c r="F170" s="1217"/>
      <c r="G170" s="1829">
        <v>109324.47</v>
      </c>
      <c r="H170" s="1619"/>
      <c r="I170" s="1829">
        <v>53664.5</v>
      </c>
      <c r="J170" s="1619"/>
      <c r="K170" s="1829">
        <v>79255.539999999994</v>
      </c>
      <c r="L170" s="1619"/>
      <c r="M170" s="2360">
        <f t="shared" si="3"/>
        <v>25667.8</v>
      </c>
      <c r="N170" s="1619"/>
      <c r="O170" s="3115">
        <v>104923.34</v>
      </c>
      <c r="P170" s="1225"/>
    </row>
    <row r="171" spans="2:16" s="976" customFormat="1" ht="15.6">
      <c r="B171" s="2781">
        <v>22156</v>
      </c>
      <c r="C171" s="1215"/>
      <c r="D171" s="1216" t="s">
        <v>811</v>
      </c>
      <c r="E171" s="1217"/>
      <c r="F171" s="1217"/>
      <c r="G171" s="1829">
        <v>25868994.609999999</v>
      </c>
      <c r="H171" s="1619"/>
      <c r="I171" s="1829">
        <v>11396148.25</v>
      </c>
      <c r="J171" s="1619"/>
      <c r="K171" s="1829">
        <v>13590926.08</v>
      </c>
      <c r="L171" s="1619"/>
      <c r="M171" s="2360">
        <f t="shared" si="3"/>
        <v>2270083.0099999998</v>
      </c>
      <c r="N171" s="1619"/>
      <c r="O171" s="3115">
        <v>15861009.09</v>
      </c>
      <c r="P171" s="1225"/>
    </row>
    <row r="172" spans="2:16" s="976" customFormat="1" ht="15.6">
      <c r="B172" s="2781">
        <v>22158</v>
      </c>
      <c r="C172" s="1215"/>
      <c r="D172" s="1219" t="s">
        <v>812</v>
      </c>
      <c r="E172" s="1217"/>
      <c r="F172" s="1217"/>
      <c r="G172" s="1829">
        <v>727698.18</v>
      </c>
      <c r="H172" s="1619"/>
      <c r="I172" s="1829">
        <v>796110.23</v>
      </c>
      <c r="J172" s="1619"/>
      <c r="K172" s="1829">
        <v>797676.31</v>
      </c>
      <c r="L172" s="1619"/>
      <c r="M172" s="2360">
        <f t="shared" si="3"/>
        <v>18576.82</v>
      </c>
      <c r="N172" s="1619"/>
      <c r="O172" s="3115">
        <v>816253.13</v>
      </c>
      <c r="P172" s="1225"/>
    </row>
    <row r="173" spans="2:16" s="976" customFormat="1" ht="15.6">
      <c r="B173" s="2781">
        <v>22168</v>
      </c>
      <c r="C173" s="1215"/>
      <c r="D173" s="1219" t="s">
        <v>813</v>
      </c>
      <c r="E173" s="1217"/>
      <c r="F173" s="1217"/>
      <c r="G173" s="1829">
        <v>0</v>
      </c>
      <c r="H173" s="1619"/>
      <c r="I173" s="1829">
        <v>0</v>
      </c>
      <c r="J173" s="1619"/>
      <c r="K173" s="1829">
        <v>0</v>
      </c>
      <c r="L173" s="1619"/>
      <c r="M173" s="2360">
        <f t="shared" si="3"/>
        <v>0</v>
      </c>
      <c r="N173" s="1619"/>
      <c r="O173" s="3115">
        <v>0</v>
      </c>
      <c r="P173" s="1225"/>
    </row>
    <row r="174" spans="2:16" s="976" customFormat="1" ht="15.6">
      <c r="B174" s="2781">
        <v>22654</v>
      </c>
      <c r="C174" s="1215"/>
      <c r="D174" s="1216" t="s">
        <v>814</v>
      </c>
      <c r="E174" s="1217"/>
      <c r="F174" s="1217"/>
      <c r="G174" s="1829">
        <v>19423096.870000001</v>
      </c>
      <c r="H174" s="1619"/>
      <c r="I174" s="1829">
        <v>19429753.550000001</v>
      </c>
      <c r="J174" s="1619"/>
      <c r="K174" s="1829">
        <v>19436786.629999999</v>
      </c>
      <c r="L174" s="1619"/>
      <c r="M174" s="2360">
        <f t="shared" si="3"/>
        <v>7558.76</v>
      </c>
      <c r="N174" s="1619"/>
      <c r="O174" s="3115">
        <v>19444345.390000001</v>
      </c>
      <c r="P174" s="1225"/>
    </row>
    <row r="175" spans="2:16" s="976" customFormat="1" ht="15.6">
      <c r="B175" s="2781">
        <v>22802</v>
      </c>
      <c r="C175" s="1215"/>
      <c r="D175" s="1219" t="s">
        <v>815</v>
      </c>
      <c r="E175" s="1217"/>
      <c r="F175" s="1217"/>
      <c r="G175" s="1829">
        <v>0</v>
      </c>
      <c r="H175" s="1619"/>
      <c r="I175" s="1829">
        <v>0</v>
      </c>
      <c r="J175" s="1619"/>
      <c r="K175" s="1829">
        <v>0</v>
      </c>
      <c r="L175" s="1619"/>
      <c r="M175" s="2360">
        <f t="shared" si="3"/>
        <v>0</v>
      </c>
      <c r="N175" s="1619"/>
      <c r="O175" s="3115">
        <v>0</v>
      </c>
      <c r="P175" s="1225"/>
    </row>
    <row r="176" spans="2:16" s="976" customFormat="1" ht="15.6">
      <c r="B176" s="2781">
        <v>23001</v>
      </c>
      <c r="C176" s="1215"/>
      <c r="D176" s="1216" t="s">
        <v>816</v>
      </c>
      <c r="E176" s="1217"/>
      <c r="F176" s="1217"/>
      <c r="G176" s="1829">
        <v>8147278.96</v>
      </c>
      <c r="H176" s="1619"/>
      <c r="I176" s="1829">
        <v>8389367</v>
      </c>
      <c r="J176" s="1619"/>
      <c r="K176" s="1829">
        <v>7715551.8899999997</v>
      </c>
      <c r="L176" s="1619"/>
      <c r="M176" s="2360">
        <f t="shared" si="3"/>
        <v>307922.03999999998</v>
      </c>
      <c r="N176" s="1619"/>
      <c r="O176" s="3115">
        <v>8023473.9299999997</v>
      </c>
      <c r="P176" s="1225"/>
    </row>
    <row r="177" spans="2:16" s="976" customFormat="1" ht="15.6">
      <c r="B177" s="2781">
        <v>23101</v>
      </c>
      <c r="C177" s="1215"/>
      <c r="D177" s="1219" t="s">
        <v>817</v>
      </c>
      <c r="E177" s="1217"/>
      <c r="F177" s="1217"/>
      <c r="G177" s="1829">
        <v>0</v>
      </c>
      <c r="H177" s="1619"/>
      <c r="I177" s="1829">
        <v>0</v>
      </c>
      <c r="J177" s="1619"/>
      <c r="K177" s="1829">
        <v>0</v>
      </c>
      <c r="L177" s="1619"/>
      <c r="M177" s="2360">
        <f t="shared" si="3"/>
        <v>0</v>
      </c>
      <c r="N177" s="1619"/>
      <c r="O177" s="3115">
        <v>0</v>
      </c>
      <c r="P177" s="1225"/>
    </row>
    <row r="178" spans="2:16" s="976" customFormat="1" ht="15.6">
      <c r="B178" s="2781">
        <v>23102</v>
      </c>
      <c r="C178" s="1215"/>
      <c r="D178" s="1219" t="s">
        <v>818</v>
      </c>
      <c r="E178" s="1217"/>
      <c r="F178" s="1217"/>
      <c r="G178" s="1829">
        <v>6952360.1200000001</v>
      </c>
      <c r="H178" s="1619"/>
      <c r="I178" s="1829">
        <v>7845118.5099999998</v>
      </c>
      <c r="J178" s="1619"/>
      <c r="K178" s="1829">
        <v>5413761.6799999997</v>
      </c>
      <c r="L178" s="1619"/>
      <c r="M178" s="2360">
        <f t="shared" si="3"/>
        <v>322417.40000000002</v>
      </c>
      <c r="N178" s="1619"/>
      <c r="O178" s="3115">
        <v>5736179.0800000001</v>
      </c>
      <c r="P178" s="1225"/>
    </row>
    <row r="179" spans="2:16" s="976" customFormat="1" ht="15.6">
      <c r="B179" s="2781">
        <v>23151</v>
      </c>
      <c r="C179" s="1215"/>
      <c r="D179" s="1216" t="s">
        <v>819</v>
      </c>
      <c r="E179" s="1217"/>
      <c r="F179" s="1217"/>
      <c r="G179" s="1829">
        <v>47784693.740000002</v>
      </c>
      <c r="H179" s="1619"/>
      <c r="I179" s="1829">
        <v>50113406.909999996</v>
      </c>
      <c r="J179" s="1619"/>
      <c r="K179" s="1829">
        <v>52736995.719999999</v>
      </c>
      <c r="L179" s="1619"/>
      <c r="M179" s="2360">
        <f t="shared" si="3"/>
        <v>-26394509.280000001</v>
      </c>
      <c r="N179" s="1619"/>
      <c r="O179" s="3115">
        <v>26342486.440000001</v>
      </c>
      <c r="P179" s="1225"/>
    </row>
    <row r="180" spans="2:16" s="976" customFormat="1" ht="15.6">
      <c r="B180" s="1208">
        <v>23701</v>
      </c>
      <c r="C180" s="1215"/>
      <c r="D180" s="1216" t="s">
        <v>1073</v>
      </c>
      <c r="E180" s="1217"/>
      <c r="F180" s="1217"/>
      <c r="G180" s="1829">
        <v>0</v>
      </c>
      <c r="H180" s="1619"/>
      <c r="I180" s="1829">
        <v>0</v>
      </c>
      <c r="J180" s="1619"/>
      <c r="K180" s="1829">
        <v>0</v>
      </c>
      <c r="L180" s="1619"/>
      <c r="M180" s="2360">
        <f t="shared" si="3"/>
        <v>0</v>
      </c>
      <c r="N180" s="1619"/>
      <c r="O180" s="3115">
        <v>0</v>
      </c>
      <c r="P180" s="1225"/>
    </row>
    <row r="181" spans="2:16" s="976" customFormat="1" ht="15.6">
      <c r="B181" s="1208">
        <v>23702</v>
      </c>
      <c r="C181" s="1215"/>
      <c r="D181" s="1219" t="s">
        <v>1074</v>
      </c>
      <c r="E181" s="1217"/>
      <c r="F181" s="1217"/>
      <c r="G181" s="1829">
        <v>5101272.5</v>
      </c>
      <c r="H181" s="1619"/>
      <c r="I181" s="1829">
        <v>5152888.32</v>
      </c>
      <c r="J181" s="1619"/>
      <c r="K181" s="1829">
        <v>5321561.82</v>
      </c>
      <c r="L181" s="1619"/>
      <c r="M181" s="2360">
        <f t="shared" si="3"/>
        <v>49879.519999999997</v>
      </c>
      <c r="N181" s="1619"/>
      <c r="O181" s="3115">
        <v>5371441.3399999999</v>
      </c>
      <c r="P181" s="1225"/>
    </row>
    <row r="182" spans="2:16" s="976" customFormat="1" ht="15.6">
      <c r="B182" s="1208">
        <v>22751</v>
      </c>
      <c r="C182" s="1215"/>
      <c r="D182" s="1219" t="s">
        <v>1506</v>
      </c>
      <c r="E182" s="1217"/>
      <c r="F182" s="1217"/>
      <c r="G182" s="1829">
        <v>0</v>
      </c>
      <c r="H182" s="1619"/>
      <c r="I182" s="1829">
        <v>0</v>
      </c>
      <c r="J182" s="1619"/>
      <c r="K182" s="1829">
        <v>0</v>
      </c>
      <c r="L182" s="1619"/>
      <c r="M182" s="2360">
        <f t="shared" si="3"/>
        <v>0</v>
      </c>
      <c r="N182" s="1619"/>
      <c r="O182" s="3115">
        <v>0</v>
      </c>
      <c r="P182" s="1225"/>
    </row>
    <row r="183" spans="2:16" s="976" customFormat="1" ht="16.2" thickBot="1">
      <c r="B183" s="1621"/>
      <c r="C183" s="1291"/>
      <c r="D183" s="3297" t="s">
        <v>820</v>
      </c>
      <c r="E183" s="1288"/>
      <c r="F183" s="1288"/>
      <c r="G183" s="3201">
        <f>ROUND(SUM(G101:G182),2)</f>
        <v>1418731388.95</v>
      </c>
      <c r="H183" s="2786"/>
      <c r="I183" s="3201">
        <f>ROUND(SUM(I101:I182),2)</f>
        <v>1371283740.3299999</v>
      </c>
      <c r="J183" s="2786"/>
      <c r="K183" s="3201">
        <f>ROUND(SUM(K101:K182),2)</f>
        <v>345240384.01999998</v>
      </c>
      <c r="L183"/>
      <c r="M183" s="2362">
        <f>ROUND(SUM(M101:M182),2)</f>
        <v>129477891.92</v>
      </c>
      <c r="N183"/>
      <c r="O183" s="3224">
        <f>SUM(O101:O182)</f>
        <v>474718275.93999988</v>
      </c>
      <c r="P183" s="1225"/>
    </row>
    <row r="184" spans="2:16" s="976" customFormat="1" ht="16.2" thickTop="1">
      <c r="B184" s="1632"/>
      <c r="C184" s="1623"/>
      <c r="D184" s="1633"/>
      <c r="E184" s="1215"/>
      <c r="F184" s="1215"/>
      <c r="G184" s="1829"/>
      <c r="H184" s="1619"/>
      <c r="I184" s="1829"/>
      <c r="J184" s="1619"/>
      <c r="K184" s="1829"/>
      <c r="L184" s="1619"/>
      <c r="M184" s="2360"/>
      <c r="N184" s="1560"/>
      <c r="O184" s="3115"/>
      <c r="P184" s="1225"/>
    </row>
    <row r="185" spans="2:16" s="976" customFormat="1" ht="15.6">
      <c r="B185" s="1632"/>
      <c r="C185" s="1291"/>
      <c r="D185" s="3297" t="s">
        <v>821</v>
      </c>
      <c r="E185" s="1288"/>
      <c r="F185" s="1288"/>
      <c r="G185" s="1829"/>
      <c r="H185" s="1619"/>
      <c r="I185" s="1829"/>
      <c r="J185" s="1619"/>
      <c r="K185" s="1829"/>
      <c r="L185" s="1619"/>
      <c r="M185" s="2361"/>
      <c r="N185" s="1628"/>
      <c r="O185" s="3115"/>
      <c r="P185" s="1225"/>
    </row>
    <row r="186" spans="2:16" s="976" customFormat="1" ht="15.6">
      <c r="B186" s="1634" t="s">
        <v>822</v>
      </c>
      <c r="C186" s="1635"/>
      <c r="D186" s="1216" t="s">
        <v>823</v>
      </c>
      <c r="E186" s="1636"/>
      <c r="F186" s="1636"/>
      <c r="G186" s="1829">
        <v>6683565.75</v>
      </c>
      <c r="H186" s="1829"/>
      <c r="I186" s="1829">
        <v>47144303.420000002</v>
      </c>
      <c r="J186" s="1829"/>
      <c r="K186" s="1829">
        <v>4154194.8</v>
      </c>
      <c r="L186" s="1829"/>
      <c r="M186" s="2360">
        <f t="shared" ref="M186:M195" si="4">ROUND(SUM(O186)-SUM(K186),2)</f>
        <v>75591196.510000005</v>
      </c>
      <c r="N186" s="1829"/>
      <c r="O186" s="3115">
        <v>79745391.310000002</v>
      </c>
      <c r="P186" s="1225"/>
    </row>
    <row r="187" spans="2:16" s="976" customFormat="1" ht="15.6">
      <c r="B187" s="1634" t="s">
        <v>824</v>
      </c>
      <c r="C187" s="1635"/>
      <c r="D187" s="1216" t="s">
        <v>825</v>
      </c>
      <c r="E187" s="1636"/>
      <c r="F187" s="1636"/>
      <c r="G187" s="1829">
        <v>68425012.420000002</v>
      </c>
      <c r="H187" s="1829"/>
      <c r="I187" s="1829">
        <v>305944871.76999998</v>
      </c>
      <c r="J187" s="1829"/>
      <c r="K187" s="1829">
        <v>193020388.43000001</v>
      </c>
      <c r="L187" s="1829"/>
      <c r="M187" s="2360">
        <f t="shared" si="4"/>
        <v>89927184.299999997</v>
      </c>
      <c r="N187" s="1829"/>
      <c r="O187" s="3115">
        <v>282947572.73000002</v>
      </c>
      <c r="P187" s="1225"/>
    </row>
    <row r="188" spans="2:16" s="976" customFormat="1" ht="15.6">
      <c r="B188" s="1634" t="s">
        <v>826</v>
      </c>
      <c r="C188" s="1635"/>
      <c r="D188" s="1219" t="s">
        <v>827</v>
      </c>
      <c r="E188" s="1636"/>
      <c r="F188" s="1636"/>
      <c r="G188" s="1829">
        <v>17877898.800000001</v>
      </c>
      <c r="H188" s="1829"/>
      <c r="I188" s="1829">
        <v>118118405.58</v>
      </c>
      <c r="J188" s="1829"/>
      <c r="K188" s="1829">
        <v>7229618.71</v>
      </c>
      <c r="L188" s="1829"/>
      <c r="M188" s="2360">
        <f t="shared" si="4"/>
        <v>35703320.920000002</v>
      </c>
      <c r="N188" s="1829"/>
      <c r="O188" s="3115">
        <v>42932939.630000003</v>
      </c>
      <c r="P188" s="1225"/>
    </row>
    <row r="189" spans="2:16" s="976" customFormat="1" ht="15.6">
      <c r="B189" s="1634" t="s">
        <v>828</v>
      </c>
      <c r="C189" s="1219"/>
      <c r="D189" s="1216" t="s">
        <v>829</v>
      </c>
      <c r="E189" s="1636"/>
      <c r="F189" s="1636"/>
      <c r="G189" s="1829">
        <v>341467494.10000002</v>
      </c>
      <c r="H189" s="1829"/>
      <c r="I189" s="1829">
        <v>347095916.67000002</v>
      </c>
      <c r="J189" s="1829"/>
      <c r="K189" s="1829">
        <v>480635266.32999998</v>
      </c>
      <c r="L189" s="1829"/>
      <c r="M189" s="2360">
        <f t="shared" si="4"/>
        <v>-101091337.11</v>
      </c>
      <c r="N189" s="1829"/>
      <c r="O189" s="3115">
        <v>379543929.22000003</v>
      </c>
      <c r="P189" s="1225"/>
    </row>
    <row r="190" spans="2:16" s="976" customFormat="1" ht="15.6">
      <c r="B190" s="2781">
        <v>31351</v>
      </c>
      <c r="C190" s="1219"/>
      <c r="D190" s="1222" t="s">
        <v>830</v>
      </c>
      <c r="E190" s="1636"/>
      <c r="F190" s="1636"/>
      <c r="G190" s="1829">
        <v>6757097.25</v>
      </c>
      <c r="H190" s="1829"/>
      <c r="I190" s="1829">
        <v>6866540.8099999996</v>
      </c>
      <c r="J190" s="1829"/>
      <c r="K190" s="1829">
        <v>6866197.8099999996</v>
      </c>
      <c r="L190" s="1829"/>
      <c r="M190" s="2360">
        <f t="shared" si="4"/>
        <v>112959.35</v>
      </c>
      <c r="N190" s="1829"/>
      <c r="O190" s="3115">
        <v>6979157.1600000001</v>
      </c>
      <c r="P190" s="1299"/>
    </row>
    <row r="191" spans="2:16" s="976" customFormat="1" ht="15.6">
      <c r="B191" s="2600">
        <v>31354</v>
      </c>
      <c r="C191" s="1637"/>
      <c r="D191" s="1209" t="s">
        <v>831</v>
      </c>
      <c r="E191" s="1636"/>
      <c r="F191" s="1636"/>
      <c r="G191" s="1829">
        <v>199286626.97999999</v>
      </c>
      <c r="H191" s="1829"/>
      <c r="I191" s="1829">
        <v>175016878.28</v>
      </c>
      <c r="J191" s="1829"/>
      <c r="K191" s="1829">
        <v>438550900.06999999</v>
      </c>
      <c r="L191" s="1829"/>
      <c r="M191" s="2360">
        <f t="shared" si="4"/>
        <v>-41216500.369999997</v>
      </c>
      <c r="N191" s="1829"/>
      <c r="O191" s="3115">
        <v>397334399.69999999</v>
      </c>
      <c r="P191" s="1290"/>
    </row>
    <row r="192" spans="2:16" s="976" customFormat="1" ht="15.6">
      <c r="B192" s="1301" t="s">
        <v>832</v>
      </c>
      <c r="C192" s="1215"/>
      <c r="D192" s="1222" t="s">
        <v>833</v>
      </c>
      <c r="E192" s="1636"/>
      <c r="F192" s="1636"/>
      <c r="G192" s="1829">
        <v>155492762.43000001</v>
      </c>
      <c r="H192" s="1829"/>
      <c r="I192" s="1829">
        <v>113052245.54000001</v>
      </c>
      <c r="J192" s="1829"/>
      <c r="K192" s="1829">
        <v>119111453.39</v>
      </c>
      <c r="L192" s="1829"/>
      <c r="M192" s="2360">
        <f t="shared" si="4"/>
        <v>-7800640.2599999998</v>
      </c>
      <c r="N192" s="1829"/>
      <c r="O192" s="3115">
        <v>111310813.13</v>
      </c>
      <c r="P192" s="1290"/>
    </row>
    <row r="193" spans="2:16" s="976" customFormat="1" ht="15.6">
      <c r="B193" s="1638" t="s">
        <v>1075</v>
      </c>
      <c r="C193" s="1212"/>
      <c r="D193" s="1222" t="s">
        <v>1076</v>
      </c>
      <c r="E193" s="1210"/>
      <c r="F193" s="1210"/>
      <c r="G193" s="1829">
        <v>11280269.630000001</v>
      </c>
      <c r="H193" s="1829"/>
      <c r="I193" s="1829">
        <v>12596747.960000001</v>
      </c>
      <c r="J193" s="1829"/>
      <c r="K193" s="1829">
        <v>5318053.49</v>
      </c>
      <c r="L193" s="1829"/>
      <c r="M193" s="2360">
        <f t="shared" si="4"/>
        <v>-643260.55000000005</v>
      </c>
      <c r="N193" s="1829"/>
      <c r="O193" s="3115">
        <v>4674792.9400000004</v>
      </c>
      <c r="P193" s="1300"/>
    </row>
    <row r="194" spans="2:16" s="976" customFormat="1" ht="15.6">
      <c r="B194" s="2782">
        <v>25950</v>
      </c>
      <c r="C194" s="1212"/>
      <c r="D194" s="1222" t="s">
        <v>834</v>
      </c>
      <c r="E194" s="1223"/>
      <c r="F194" s="1223"/>
      <c r="G194" s="1829">
        <v>0</v>
      </c>
      <c r="H194" s="1829"/>
      <c r="I194" s="1829">
        <v>0</v>
      </c>
      <c r="J194" s="1829"/>
      <c r="K194" s="1829">
        <v>0</v>
      </c>
      <c r="L194" s="1829"/>
      <c r="M194" s="2360">
        <f t="shared" si="4"/>
        <v>0</v>
      </c>
      <c r="N194" s="1829"/>
      <c r="O194" s="3115">
        <v>0</v>
      </c>
      <c r="P194" s="1300"/>
    </row>
    <row r="195" spans="2:16" s="976" customFormat="1" ht="15.6">
      <c r="B195" s="1638" t="s">
        <v>1478</v>
      </c>
      <c r="C195" s="1212"/>
      <c r="D195" s="1220" t="s">
        <v>1077</v>
      </c>
      <c r="E195" s="1210"/>
      <c r="F195" s="1210"/>
      <c r="G195" s="1829">
        <v>2338693.9900000002</v>
      </c>
      <c r="H195" s="1829"/>
      <c r="I195" s="1829">
        <v>11781187.390000001</v>
      </c>
      <c r="J195" s="1829"/>
      <c r="K195" s="1829">
        <v>3253158.69</v>
      </c>
      <c r="L195" s="1829"/>
      <c r="M195" s="2360">
        <f t="shared" si="4"/>
        <v>-2447011.23</v>
      </c>
      <c r="N195" s="1829"/>
      <c r="O195" s="3115">
        <v>806147.46</v>
      </c>
      <c r="P195" s="1300"/>
    </row>
    <row r="196" spans="2:16" s="976" customFormat="1" ht="16.2" thickBot="1">
      <c r="B196" s="1302"/>
      <c r="C196" s="1295"/>
      <c r="D196" s="3297" t="s">
        <v>835</v>
      </c>
      <c r="E196" s="1213"/>
      <c r="F196" s="1213"/>
      <c r="G196" s="3201">
        <f>ROUND(SUM(G186:G195),2)</f>
        <v>809609421.35000002</v>
      </c>
      <c r="H196" s="1667"/>
      <c r="I196" s="3201">
        <f>ROUND(SUM(I186:I195),2)</f>
        <v>1137617097.4200001</v>
      </c>
      <c r="J196" s="1667"/>
      <c r="K196" s="3201">
        <f>ROUND(SUM(K186:K195),2)</f>
        <v>1258139231.72</v>
      </c>
      <c r="L196"/>
      <c r="M196" s="2362">
        <f>ROUND(SUM(M186:M195),2)</f>
        <v>48135911.560000002</v>
      </c>
      <c r="N196"/>
      <c r="O196" s="3201">
        <f>ROUND(SUM(O186:O195),2)</f>
        <v>1306275143.28</v>
      </c>
      <c r="P196" s="1810" t="s">
        <v>118</v>
      </c>
    </row>
    <row r="197" spans="2:16" s="976" customFormat="1" ht="16.2" thickTop="1">
      <c r="B197" s="1621"/>
      <c r="C197" s="1295"/>
      <c r="D197" s="1224"/>
      <c r="E197" s="1213"/>
      <c r="F197" s="1213"/>
      <c r="G197" s="3300"/>
      <c r="H197" s="1639"/>
      <c r="I197" s="3300"/>
      <c r="J197" s="1639"/>
      <c r="K197" s="3300"/>
      <c r="L197" s="1639"/>
      <c r="M197" s="2361"/>
      <c r="N197" s="1628"/>
      <c r="O197" s="3227"/>
      <c r="P197" s="1301"/>
    </row>
    <row r="198" spans="2:16" s="976" customFormat="1" ht="15.6">
      <c r="B198" s="1632"/>
      <c r="C198" s="1295"/>
      <c r="D198" s="3296" t="s">
        <v>836</v>
      </c>
      <c r="E198" s="1213"/>
      <c r="F198" s="1213"/>
      <c r="G198" s="1829"/>
      <c r="H198" s="1619"/>
      <c r="I198" s="1829"/>
      <c r="J198" s="1619"/>
      <c r="K198" s="1829"/>
      <c r="L198" s="1619"/>
      <c r="M198" s="2361"/>
      <c r="N198" s="1628"/>
      <c r="O198" s="3115"/>
      <c r="P198" s="1234"/>
    </row>
    <row r="199" spans="2:16" s="976" customFormat="1" ht="15.6">
      <c r="B199" s="2783">
        <v>60201</v>
      </c>
      <c r="C199" s="1291"/>
      <c r="D199" s="1216" t="s">
        <v>837</v>
      </c>
      <c r="E199" s="1213"/>
      <c r="F199" s="1213"/>
      <c r="G199" s="1829">
        <v>0</v>
      </c>
      <c r="H199" s="1619"/>
      <c r="I199" s="1829">
        <v>0</v>
      </c>
      <c r="J199" s="1619"/>
      <c r="K199" s="1829">
        <v>0</v>
      </c>
      <c r="L199" s="1619"/>
      <c r="M199" s="2360">
        <f>ROUND(SUM(O199)-SUM(K199),2)</f>
        <v>0</v>
      </c>
      <c r="N199" s="1619"/>
      <c r="O199" s="3115">
        <v>0</v>
      </c>
      <c r="P199" s="1234"/>
    </row>
    <row r="200" spans="2:16" s="976" customFormat="1" ht="15.6">
      <c r="B200" s="2781">
        <v>60901</v>
      </c>
      <c r="C200" s="1215"/>
      <c r="D200" s="1219" t="s">
        <v>1106</v>
      </c>
      <c r="E200" s="1217"/>
      <c r="F200" s="1217"/>
      <c r="G200" s="1829">
        <v>0</v>
      </c>
      <c r="H200" s="1619"/>
      <c r="I200" s="1829">
        <v>0</v>
      </c>
      <c r="J200" s="1619"/>
      <c r="K200" s="1829">
        <v>0</v>
      </c>
      <c r="L200" s="1619"/>
      <c r="M200" s="2360">
        <f>ROUND(SUM(O200)-SUM(K200),2)</f>
        <v>0</v>
      </c>
      <c r="N200" s="1619"/>
      <c r="O200" s="3115">
        <v>0</v>
      </c>
      <c r="P200" s="1234"/>
    </row>
    <row r="201" spans="2:16" s="976" customFormat="1" ht="16.2" thickBot="1">
      <c r="B201" s="1208"/>
      <c r="C201" s="1291"/>
      <c r="D201" s="3296" t="s">
        <v>838</v>
      </c>
      <c r="E201" s="1213"/>
      <c r="F201" s="1213"/>
      <c r="G201" s="3201">
        <f>ROUND(SUM(G199:G200),2)</f>
        <v>0</v>
      </c>
      <c r="H201" s="1667"/>
      <c r="I201" s="3201">
        <f>ROUND(SUM(I199:I200),2)</f>
        <v>0</v>
      </c>
      <c r="J201" s="1667"/>
      <c r="K201" s="3201">
        <f>ROUND(SUM(K199:K200),2)</f>
        <v>0</v>
      </c>
      <c r="L201" s="1667"/>
      <c r="M201" s="2362">
        <f>ROUND(SUM(M199:M200),2)</f>
        <v>0</v>
      </c>
      <c r="N201" s="1667"/>
      <c r="O201" s="3224">
        <f>ROUND(SUM(O199:O200),2)</f>
        <v>0</v>
      </c>
      <c r="P201" s="1225"/>
    </row>
    <row r="202" spans="2:16" s="976" customFormat="1" ht="16.2" thickTop="1">
      <c r="B202" s="1208"/>
      <c r="C202" s="1303"/>
      <c r="D202" s="1303"/>
      <c r="E202" s="1304"/>
      <c r="F202" s="1304"/>
      <c r="G202" s="1829"/>
      <c r="H202" s="1619"/>
      <c r="I202" s="1829"/>
      <c r="J202" s="1619"/>
      <c r="K202" s="1829"/>
      <c r="L202" s="1619"/>
      <c r="M202" s="2360"/>
      <c r="N202" s="1560"/>
      <c r="O202" s="3115"/>
      <c r="P202" s="1211"/>
    </row>
    <row r="203" spans="2:16" s="976" customFormat="1" ht="15.6">
      <c r="B203" s="1208"/>
      <c r="C203" s="1622"/>
      <c r="D203" s="3296" t="s">
        <v>839</v>
      </c>
      <c r="E203" s="1627"/>
      <c r="F203" s="1627"/>
      <c r="G203" s="1829"/>
      <c r="H203" s="1619"/>
      <c r="I203" s="1829"/>
      <c r="J203" s="1619"/>
      <c r="K203" s="1829"/>
      <c r="L203" s="1619"/>
      <c r="M203" s="2363"/>
      <c r="N203" s="1296"/>
      <c r="O203" s="3115"/>
      <c r="P203" s="1301"/>
    </row>
    <row r="204" spans="2:16" s="976" customFormat="1" ht="15.6">
      <c r="B204" s="2781">
        <v>50318</v>
      </c>
      <c r="C204" s="1623"/>
      <c r="D204" s="1220" t="s">
        <v>840</v>
      </c>
      <c r="E204" s="1293"/>
      <c r="F204" s="1293"/>
      <c r="G204" s="1829">
        <v>0</v>
      </c>
      <c r="H204" s="1640"/>
      <c r="I204" s="1829">
        <v>0</v>
      </c>
      <c r="J204" s="1640"/>
      <c r="K204" s="1829">
        <v>0</v>
      </c>
      <c r="L204" s="1640"/>
      <c r="M204" s="1625">
        <f>ROUND(SUM(O204)-SUM(K204),2)</f>
        <v>0</v>
      </c>
      <c r="N204" s="1640"/>
      <c r="O204" s="3115">
        <v>0</v>
      </c>
      <c r="P204" s="1234"/>
    </row>
    <row r="205" spans="2:16" s="976" customFormat="1" ht="15.6">
      <c r="B205" s="2781">
        <v>50327</v>
      </c>
      <c r="C205" s="1623"/>
      <c r="D205" s="1220" t="s">
        <v>1507</v>
      </c>
      <c r="E205" s="1293"/>
      <c r="F205" s="1293"/>
      <c r="G205" s="1829">
        <v>0</v>
      </c>
      <c r="H205" s="1640"/>
      <c r="I205" s="1829">
        <v>0</v>
      </c>
      <c r="J205" s="1640"/>
      <c r="K205" s="1829">
        <v>0</v>
      </c>
      <c r="L205" s="1640"/>
      <c r="M205" s="1625">
        <f>ROUND(SUM(O205)-SUM(K205),2)</f>
        <v>0</v>
      </c>
      <c r="N205" s="1640"/>
      <c r="O205" s="3115">
        <v>0</v>
      </c>
      <c r="P205" s="1234"/>
    </row>
    <row r="206" spans="2:16" s="976" customFormat="1" ht="16.2" thickBot="1">
      <c r="B206" s="1218"/>
      <c r="C206" s="1291"/>
      <c r="D206" s="3297" t="s">
        <v>841</v>
      </c>
      <c r="E206" s="1288"/>
      <c r="F206" s="1288"/>
      <c r="G206" s="3201">
        <f>ROUND(SUM(G204:G205),2)</f>
        <v>0</v>
      </c>
      <c r="H206" s="1667"/>
      <c r="I206" s="3201">
        <f>ROUND(SUM(I204:I205),2)</f>
        <v>0</v>
      </c>
      <c r="J206" s="1667"/>
      <c r="K206" s="3201">
        <f>ROUND(SUM(K204:K205),2)</f>
        <v>0</v>
      </c>
      <c r="L206" s="1667"/>
      <c r="M206" s="2826">
        <f>ROUND(SUM(M204:M205),2)</f>
        <v>0</v>
      </c>
      <c r="N206" s="1667"/>
      <c r="O206" s="3202">
        <f>ROUND(SUM(O204:O205),2)</f>
        <v>0</v>
      </c>
      <c r="P206" s="1299"/>
    </row>
    <row r="207" spans="2:16" s="976" customFormat="1" ht="16.2" thickTop="1">
      <c r="B207" s="1623"/>
      <c r="C207" s="1623"/>
      <c r="D207" s="1641"/>
      <c r="E207" s="1293"/>
      <c r="F207" s="1293"/>
      <c r="G207" s="1629"/>
      <c r="H207" s="1629"/>
      <c r="I207" s="1629"/>
      <c r="J207" s="1629"/>
      <c r="K207" s="1629"/>
      <c r="L207" s="1629"/>
      <c r="M207" s="2827"/>
      <c r="N207" s="1642"/>
      <c r="O207" s="3228"/>
      <c r="P207" s="1302"/>
    </row>
    <row r="208" spans="2:16" s="976" customFormat="1" ht="15.6">
      <c r="B208" s="1388"/>
      <c r="C208" s="1291"/>
      <c r="D208" s="3296" t="s">
        <v>228</v>
      </c>
      <c r="E208" s="1288"/>
      <c r="F208" s="1288"/>
      <c r="G208" s="1619"/>
      <c r="H208" s="1619"/>
      <c r="I208" s="1619"/>
      <c r="J208" s="1619"/>
      <c r="K208" s="1619"/>
      <c r="L208" s="1619"/>
      <c r="M208" s="2825"/>
      <c r="N208" s="1628"/>
      <c r="O208" s="3226"/>
      <c r="P208" s="1293"/>
    </row>
    <row r="209" spans="2:16" s="976" customFormat="1" ht="15.6">
      <c r="B209" s="2781">
        <v>55001</v>
      </c>
      <c r="C209" s="1623"/>
      <c r="D209" s="1220" t="s">
        <v>842</v>
      </c>
      <c r="E209" s="1293"/>
      <c r="F209" s="1293"/>
      <c r="G209" s="1829">
        <v>1117633.5900000001</v>
      </c>
      <c r="H209" s="1829"/>
      <c r="I209" s="1829">
        <v>1764887.95</v>
      </c>
      <c r="J209" s="1829"/>
      <c r="K209" s="1829">
        <v>1325748.54</v>
      </c>
      <c r="L209" s="1829"/>
      <c r="M209" s="2360">
        <f t="shared" ref="M209:M251" si="5">ROUND(SUM(O209)-SUM(K209),2)</f>
        <v>-14799.59</v>
      </c>
      <c r="N209" s="1829"/>
      <c r="O209" s="3115">
        <v>1310948.95</v>
      </c>
      <c r="P209" s="1298"/>
    </row>
    <row r="210" spans="2:16" s="976" customFormat="1" ht="15.6">
      <c r="B210" s="2781">
        <v>55002</v>
      </c>
      <c r="C210" s="1215"/>
      <c r="D210" s="1219" t="s">
        <v>843</v>
      </c>
      <c r="E210" s="1217"/>
      <c r="F210" s="1217"/>
      <c r="G210" s="1829">
        <v>0</v>
      </c>
      <c r="H210" s="1829"/>
      <c r="I210" s="1829">
        <v>0</v>
      </c>
      <c r="J210" s="1829"/>
      <c r="K210" s="1829">
        <v>0</v>
      </c>
      <c r="L210" s="1829"/>
      <c r="M210" s="2360">
        <f t="shared" si="5"/>
        <v>0</v>
      </c>
      <c r="N210" s="1829"/>
      <c r="O210" s="3115">
        <v>0</v>
      </c>
      <c r="P210" s="1225"/>
    </row>
    <row r="211" spans="2:16" s="976" customFormat="1" ht="15.6">
      <c r="B211" s="2781">
        <v>55003</v>
      </c>
      <c r="C211" s="1215"/>
      <c r="D211" s="1220" t="s">
        <v>844</v>
      </c>
      <c r="E211" s="1217"/>
      <c r="F211" s="1217"/>
      <c r="G211" s="1829">
        <v>3951635.81</v>
      </c>
      <c r="H211" s="1829"/>
      <c r="I211" s="1829">
        <v>3999047.81</v>
      </c>
      <c r="J211" s="1829"/>
      <c r="K211" s="1829">
        <v>3232292.7</v>
      </c>
      <c r="L211" s="1829"/>
      <c r="M211" s="2360">
        <f t="shared" si="5"/>
        <v>54745.760000000002</v>
      </c>
      <c r="N211" s="1829"/>
      <c r="O211" s="3115">
        <v>3287038.46</v>
      </c>
      <c r="P211" s="1225"/>
    </row>
    <row r="212" spans="2:16" s="976" customFormat="1" ht="15.6">
      <c r="B212" s="2781">
        <v>55004</v>
      </c>
      <c r="C212" s="1212"/>
      <c r="D212" s="1643" t="s">
        <v>845</v>
      </c>
      <c r="E212" s="1224"/>
      <c r="F212" s="1224"/>
      <c r="G212" s="1829">
        <v>0</v>
      </c>
      <c r="H212" s="1829"/>
      <c r="I212" s="1829">
        <v>2169.23</v>
      </c>
      <c r="J212" s="1829"/>
      <c r="K212" s="1829">
        <v>153534.18</v>
      </c>
      <c r="L212" s="1829"/>
      <c r="M212" s="2360">
        <f t="shared" si="5"/>
        <v>97630.26</v>
      </c>
      <c r="N212" s="1829"/>
      <c r="O212" s="3115">
        <v>251164.44</v>
      </c>
      <c r="P212" s="1225"/>
    </row>
    <row r="213" spans="2:16" s="976" customFormat="1" ht="15.6">
      <c r="B213" s="2781">
        <v>55005</v>
      </c>
      <c r="C213" s="1215"/>
      <c r="D213" s="1220" t="s">
        <v>846</v>
      </c>
      <c r="E213" s="1217"/>
      <c r="F213" s="1217"/>
      <c r="G213" s="1829">
        <v>180270.48</v>
      </c>
      <c r="H213" s="1829"/>
      <c r="I213" s="1829">
        <v>470476.47</v>
      </c>
      <c r="J213" s="1829"/>
      <c r="K213" s="1829">
        <v>241633.13</v>
      </c>
      <c r="L213" s="1829"/>
      <c r="M213" s="2360">
        <f t="shared" si="5"/>
        <v>73136.77</v>
      </c>
      <c r="N213" s="1829"/>
      <c r="O213" s="3115">
        <v>314769.90000000002</v>
      </c>
      <c r="P213" s="1225"/>
    </row>
    <row r="214" spans="2:16" s="976" customFormat="1" ht="15.6">
      <c r="B214" s="2781">
        <v>55006</v>
      </c>
      <c r="C214" s="1212"/>
      <c r="D214" s="1220" t="s">
        <v>847</v>
      </c>
      <c r="E214" s="1224"/>
      <c r="F214" s="1224"/>
      <c r="G214" s="1829">
        <v>0</v>
      </c>
      <c r="H214" s="1829"/>
      <c r="I214" s="1829">
        <v>0</v>
      </c>
      <c r="J214" s="1829"/>
      <c r="K214" s="1829">
        <v>0</v>
      </c>
      <c r="L214" s="1829"/>
      <c r="M214" s="2360">
        <f t="shared" si="5"/>
        <v>0</v>
      </c>
      <c r="N214" s="1829"/>
      <c r="O214" s="3115">
        <v>0</v>
      </c>
      <c r="P214" s="1225"/>
    </row>
    <row r="215" spans="2:16" s="976" customFormat="1" ht="15.6">
      <c r="B215" s="2781">
        <v>55007</v>
      </c>
      <c r="C215" s="1630"/>
      <c r="D215" s="1209" t="s">
        <v>848</v>
      </c>
      <c r="E215" s="1620"/>
      <c r="F215" s="1620"/>
      <c r="G215" s="1829">
        <v>1299860.3799999999</v>
      </c>
      <c r="H215" s="1829"/>
      <c r="I215" s="1829">
        <v>1564290.05</v>
      </c>
      <c r="J215" s="1829"/>
      <c r="K215" s="1829">
        <v>753314.26</v>
      </c>
      <c r="L215" s="1829"/>
      <c r="M215" s="2360">
        <f t="shared" si="5"/>
        <v>-430351.26</v>
      </c>
      <c r="N215" s="1829"/>
      <c r="O215" s="3115">
        <v>322963</v>
      </c>
      <c r="P215" s="1298"/>
    </row>
    <row r="216" spans="2:16" s="976" customFormat="1" ht="15.6">
      <c r="B216" s="2781">
        <v>55008</v>
      </c>
      <c r="C216" s="1215"/>
      <c r="D216" s="1222" t="s">
        <v>849</v>
      </c>
      <c r="E216" s="1217"/>
      <c r="F216" s="1217"/>
      <c r="G216" s="1829">
        <v>13598360.34</v>
      </c>
      <c r="H216" s="1829"/>
      <c r="I216" s="1829">
        <v>21440912.460000001</v>
      </c>
      <c r="J216" s="1829"/>
      <c r="K216" s="1829">
        <v>16590383.26</v>
      </c>
      <c r="L216" s="1829"/>
      <c r="M216" s="2360">
        <f t="shared" si="5"/>
        <v>160451.57999999999</v>
      </c>
      <c r="N216" s="1829"/>
      <c r="O216" s="3115">
        <v>16750834.84</v>
      </c>
      <c r="P216" s="1299"/>
    </row>
    <row r="217" spans="2:16" s="976" customFormat="1" ht="15.6">
      <c r="B217" s="2600">
        <v>55009</v>
      </c>
      <c r="C217" s="1630"/>
      <c r="D217" s="1209" t="s">
        <v>850</v>
      </c>
      <c r="E217" s="1620"/>
      <c r="F217" s="1620"/>
      <c r="G217" s="1829">
        <v>0</v>
      </c>
      <c r="H217" s="1829"/>
      <c r="I217" s="1829">
        <v>0</v>
      </c>
      <c r="J217" s="1829"/>
      <c r="K217" s="1829">
        <v>0</v>
      </c>
      <c r="L217" s="1829"/>
      <c r="M217" s="2360">
        <f t="shared" si="5"/>
        <v>0</v>
      </c>
      <c r="N217" s="1829"/>
      <c r="O217" s="3115">
        <v>0</v>
      </c>
      <c r="P217" s="1293"/>
    </row>
    <row r="218" spans="2:16" s="976" customFormat="1" ht="15.6">
      <c r="B218" s="2600">
        <v>55010</v>
      </c>
      <c r="C218" s="1215"/>
      <c r="D218" s="1220" t="s">
        <v>1107</v>
      </c>
      <c r="E218" s="1217"/>
      <c r="F218" s="1217"/>
      <c r="G218" s="1829">
        <v>0</v>
      </c>
      <c r="H218" s="1829"/>
      <c r="I218" s="1829">
        <v>0</v>
      </c>
      <c r="J218" s="1829"/>
      <c r="K218" s="1829">
        <v>0</v>
      </c>
      <c r="L218" s="1829"/>
      <c r="M218" s="2360">
        <f t="shared" si="5"/>
        <v>0</v>
      </c>
      <c r="N218" s="1829"/>
      <c r="O218" s="3115">
        <v>0</v>
      </c>
      <c r="P218" s="1293"/>
    </row>
    <row r="219" spans="2:16" s="976" customFormat="1" ht="15.6">
      <c r="B219" s="2781">
        <v>55011</v>
      </c>
      <c r="C219" s="1630"/>
      <c r="D219" s="1209" t="s">
        <v>851</v>
      </c>
      <c r="E219" s="1620"/>
      <c r="F219" s="1620"/>
      <c r="G219" s="1829">
        <v>2918930.75</v>
      </c>
      <c r="H219" s="1829"/>
      <c r="I219" s="1829">
        <v>1816094</v>
      </c>
      <c r="J219" s="1829"/>
      <c r="K219" s="1829">
        <v>1183387.08</v>
      </c>
      <c r="L219" s="1829"/>
      <c r="M219" s="2360">
        <f t="shared" si="5"/>
        <v>-404106.69</v>
      </c>
      <c r="N219" s="1829"/>
      <c r="O219" s="3115">
        <v>779280.39</v>
      </c>
      <c r="P219" s="1225"/>
    </row>
    <row r="220" spans="2:16" s="976" customFormat="1" ht="15.6">
      <c r="B220" s="2781">
        <v>55012</v>
      </c>
      <c r="C220" s="1215"/>
      <c r="D220" s="1216" t="s">
        <v>852</v>
      </c>
      <c r="E220" s="1217"/>
      <c r="F220" s="1217"/>
      <c r="G220" s="1829">
        <v>133666.62</v>
      </c>
      <c r="H220" s="1829"/>
      <c r="I220" s="1829">
        <v>133206.62</v>
      </c>
      <c r="J220" s="1829"/>
      <c r="K220" s="1829">
        <v>112154.71</v>
      </c>
      <c r="L220" s="1829"/>
      <c r="M220" s="2360">
        <f t="shared" si="5"/>
        <v>-8830</v>
      </c>
      <c r="N220" s="1829"/>
      <c r="O220" s="3115">
        <v>103324.71</v>
      </c>
      <c r="P220" s="1225"/>
    </row>
    <row r="221" spans="2:16" s="976" customFormat="1" ht="15.6">
      <c r="B221" s="2781">
        <v>55013</v>
      </c>
      <c r="C221" s="1215"/>
      <c r="D221" s="1219" t="s">
        <v>853</v>
      </c>
      <c r="E221" s="1217"/>
      <c r="F221" s="1217"/>
      <c r="G221" s="1829">
        <v>0</v>
      </c>
      <c r="H221" s="1829"/>
      <c r="I221" s="1829">
        <v>0</v>
      </c>
      <c r="J221" s="1829"/>
      <c r="K221" s="1829">
        <v>0</v>
      </c>
      <c r="L221" s="1829"/>
      <c r="M221" s="2360">
        <f t="shared" si="5"/>
        <v>0</v>
      </c>
      <c r="N221" s="1829"/>
      <c r="O221" s="3115">
        <v>0</v>
      </c>
      <c r="P221" s="1225"/>
    </row>
    <row r="222" spans="2:16" s="976" customFormat="1" ht="15.6">
      <c r="B222" s="2781">
        <v>55014</v>
      </c>
      <c r="C222" s="1215"/>
      <c r="D222" s="1216" t="s">
        <v>854</v>
      </c>
      <c r="E222" s="1217"/>
      <c r="F222" s="1217"/>
      <c r="G222" s="1829">
        <v>0</v>
      </c>
      <c r="H222" s="1829"/>
      <c r="I222" s="1829">
        <v>0</v>
      </c>
      <c r="J222" s="1829"/>
      <c r="K222" s="1829">
        <v>0</v>
      </c>
      <c r="L222" s="1829"/>
      <c r="M222" s="2360">
        <f t="shared" si="5"/>
        <v>0</v>
      </c>
      <c r="N222" s="1829"/>
      <c r="O222" s="3115">
        <v>0</v>
      </c>
      <c r="P222" s="1225"/>
    </row>
    <row r="223" spans="2:16" s="976" customFormat="1" ht="15.6">
      <c r="B223" s="2781">
        <v>55015</v>
      </c>
      <c r="C223" s="1215"/>
      <c r="D223" s="1219" t="s">
        <v>855</v>
      </c>
      <c r="E223" s="1217"/>
      <c r="F223" s="1217"/>
      <c r="G223" s="1829">
        <v>0</v>
      </c>
      <c r="H223" s="1829"/>
      <c r="I223" s="1829">
        <v>0</v>
      </c>
      <c r="J223" s="1829"/>
      <c r="K223" s="1829">
        <v>0</v>
      </c>
      <c r="L223" s="1829"/>
      <c r="M223" s="2360">
        <f t="shared" si="5"/>
        <v>0</v>
      </c>
      <c r="N223" s="1829"/>
      <c r="O223" s="3115">
        <v>0</v>
      </c>
      <c r="P223" s="1225"/>
    </row>
    <row r="224" spans="2:16" s="976" customFormat="1" ht="15.6">
      <c r="B224" s="2781">
        <v>55016</v>
      </c>
      <c r="C224" s="1215"/>
      <c r="D224" s="1219" t="s">
        <v>856</v>
      </c>
      <c r="E224" s="1217"/>
      <c r="F224" s="1217"/>
      <c r="G224" s="1829">
        <v>26961.54</v>
      </c>
      <c r="H224" s="1829"/>
      <c r="I224" s="1829">
        <v>26961.54</v>
      </c>
      <c r="J224" s="1829"/>
      <c r="K224" s="1829">
        <v>26961.54</v>
      </c>
      <c r="L224" s="1829"/>
      <c r="M224" s="2360">
        <f t="shared" si="5"/>
        <v>0</v>
      </c>
      <c r="N224" s="1829"/>
      <c r="O224" s="3115">
        <v>26961.54</v>
      </c>
      <c r="P224" s="1225"/>
    </row>
    <row r="225" spans="2:16" s="976" customFormat="1" ht="15.6">
      <c r="B225" s="2781">
        <v>55017</v>
      </c>
      <c r="C225" s="1215"/>
      <c r="D225" s="1219" t="s">
        <v>857</v>
      </c>
      <c r="E225" s="1217"/>
      <c r="F225" s="1217"/>
      <c r="G225" s="1829">
        <v>0</v>
      </c>
      <c r="H225" s="1829"/>
      <c r="I225" s="1829">
        <v>97055.49</v>
      </c>
      <c r="J225" s="1829"/>
      <c r="K225" s="1829">
        <v>242577.49</v>
      </c>
      <c r="L225" s="1829"/>
      <c r="M225" s="2360">
        <f t="shared" si="5"/>
        <v>8987.23</v>
      </c>
      <c r="N225" s="1829"/>
      <c r="O225" s="3115">
        <v>251564.72</v>
      </c>
      <c r="P225" s="1225"/>
    </row>
    <row r="226" spans="2:16" s="976" customFormat="1" ht="15.6">
      <c r="B226" s="2781">
        <v>55018</v>
      </c>
      <c r="C226" s="1215"/>
      <c r="D226" s="1219" t="s">
        <v>858</v>
      </c>
      <c r="E226" s="1217"/>
      <c r="F226" s="1217"/>
      <c r="G226" s="1829">
        <v>0</v>
      </c>
      <c r="H226" s="1829"/>
      <c r="I226" s="1829">
        <v>0</v>
      </c>
      <c r="J226" s="1829"/>
      <c r="K226" s="1829">
        <v>0</v>
      </c>
      <c r="L226" s="1829"/>
      <c r="M226" s="2360">
        <f t="shared" si="5"/>
        <v>0</v>
      </c>
      <c r="N226" s="1829"/>
      <c r="O226" s="3115">
        <v>0</v>
      </c>
      <c r="P226" s="1225"/>
    </row>
    <row r="227" spans="2:16" s="976" customFormat="1" ht="15.6">
      <c r="B227" s="2781">
        <v>55019</v>
      </c>
      <c r="C227" s="1215"/>
      <c r="D227" s="1219" t="s">
        <v>859</v>
      </c>
      <c r="E227" s="1217"/>
      <c r="F227" s="1217"/>
      <c r="G227" s="1829">
        <v>0</v>
      </c>
      <c r="H227" s="1829"/>
      <c r="I227" s="1829">
        <v>0</v>
      </c>
      <c r="J227" s="1829"/>
      <c r="K227" s="1829">
        <v>0</v>
      </c>
      <c r="L227" s="1829"/>
      <c r="M227" s="2360">
        <f t="shared" si="5"/>
        <v>0</v>
      </c>
      <c r="N227" s="1829"/>
      <c r="O227" s="3115">
        <v>0</v>
      </c>
      <c r="P227" s="1225"/>
    </row>
    <row r="228" spans="2:16" s="976" customFormat="1" ht="15.6">
      <c r="B228" s="2781">
        <v>55020</v>
      </c>
      <c r="C228" s="1215"/>
      <c r="D228" s="1219" t="s">
        <v>860</v>
      </c>
      <c r="E228" s="1217"/>
      <c r="F228" s="1217"/>
      <c r="G228" s="1829">
        <v>58758517.07</v>
      </c>
      <c r="H228" s="1829"/>
      <c r="I228" s="1829">
        <v>54780410.340000004</v>
      </c>
      <c r="J228" s="1829"/>
      <c r="K228" s="1829">
        <v>41231297.020000003</v>
      </c>
      <c r="L228" s="1829"/>
      <c r="M228" s="2360">
        <f t="shared" si="5"/>
        <v>3052719.25</v>
      </c>
      <c r="N228" s="1829"/>
      <c r="O228" s="3115">
        <v>44284016.270000003</v>
      </c>
      <c r="P228" s="1225"/>
    </row>
    <row r="229" spans="2:16" s="976" customFormat="1" ht="15.6">
      <c r="B229" s="2781">
        <v>55021</v>
      </c>
      <c r="C229" s="1215"/>
      <c r="D229" s="1219" t="s">
        <v>861</v>
      </c>
      <c r="E229" s="1217"/>
      <c r="F229" s="1217"/>
      <c r="G229" s="1829">
        <v>4620397.6399999997</v>
      </c>
      <c r="H229" s="1829"/>
      <c r="I229" s="1829">
        <v>4738236.1500000004</v>
      </c>
      <c r="J229" s="1829"/>
      <c r="K229" s="1829">
        <v>3712540.53</v>
      </c>
      <c r="L229" s="1829"/>
      <c r="M229" s="2360">
        <f t="shared" si="5"/>
        <v>89083.13</v>
      </c>
      <c r="N229" s="1829"/>
      <c r="O229" s="3115">
        <v>3801623.66</v>
      </c>
      <c r="P229" s="1225"/>
    </row>
    <row r="230" spans="2:16" s="976" customFormat="1" ht="15.6">
      <c r="B230" s="2781">
        <v>55022</v>
      </c>
      <c r="C230" s="1215"/>
      <c r="D230" s="1216" t="s">
        <v>862</v>
      </c>
      <c r="E230" s="1217"/>
      <c r="F230" s="1217"/>
      <c r="G230" s="1829">
        <v>1308662.28</v>
      </c>
      <c r="H230" s="1829"/>
      <c r="I230" s="1829">
        <v>1970893.45</v>
      </c>
      <c r="J230" s="1829"/>
      <c r="K230" s="1829">
        <v>85428.34</v>
      </c>
      <c r="L230" s="1829"/>
      <c r="M230" s="2360">
        <f t="shared" si="5"/>
        <v>107659.74</v>
      </c>
      <c r="N230" s="1829"/>
      <c r="O230" s="3115">
        <v>193088.08</v>
      </c>
      <c r="P230" s="1225"/>
    </row>
    <row r="231" spans="2:16" s="976" customFormat="1" ht="15.6">
      <c r="B231" s="2781">
        <v>55052</v>
      </c>
      <c r="C231" s="1215"/>
      <c r="D231" s="1216" t="s">
        <v>863</v>
      </c>
      <c r="E231" s="1217"/>
      <c r="F231" s="1217"/>
      <c r="G231" s="1829">
        <v>0</v>
      </c>
      <c r="H231" s="1829"/>
      <c r="I231" s="1829">
        <v>122493.22</v>
      </c>
      <c r="J231" s="1829"/>
      <c r="K231" s="1829">
        <v>0</v>
      </c>
      <c r="L231" s="1829"/>
      <c r="M231" s="2360">
        <f t="shared" si="5"/>
        <v>35053.9</v>
      </c>
      <c r="N231" s="1829"/>
      <c r="O231" s="3115">
        <v>35053.9</v>
      </c>
      <c r="P231" s="1225"/>
    </row>
    <row r="232" spans="2:16" s="976" customFormat="1" ht="15.6">
      <c r="B232" s="2781">
        <v>55053</v>
      </c>
      <c r="C232" s="1215"/>
      <c r="D232" s="1219" t="s">
        <v>864</v>
      </c>
      <c r="E232" s="1217"/>
      <c r="F232" s="1217"/>
      <c r="G232" s="1829">
        <v>0</v>
      </c>
      <c r="H232" s="1829"/>
      <c r="I232" s="1829">
        <v>0</v>
      </c>
      <c r="J232" s="1829"/>
      <c r="K232" s="1829">
        <v>0</v>
      </c>
      <c r="L232" s="1829"/>
      <c r="M232" s="2360">
        <f t="shared" si="5"/>
        <v>0</v>
      </c>
      <c r="N232" s="1829"/>
      <c r="O232" s="3115">
        <v>0</v>
      </c>
      <c r="P232" s="1225"/>
    </row>
    <row r="233" spans="2:16" s="976" customFormat="1" ht="15.6">
      <c r="B233" s="2781">
        <v>55055</v>
      </c>
      <c r="C233" s="1215"/>
      <c r="D233" s="1219" t="s">
        <v>1531</v>
      </c>
      <c r="E233" s="1217"/>
      <c r="F233" s="1217"/>
      <c r="G233" s="1829">
        <v>0</v>
      </c>
      <c r="H233" s="1829"/>
      <c r="I233" s="1829">
        <v>0</v>
      </c>
      <c r="J233" s="1829"/>
      <c r="K233" s="1829">
        <v>0</v>
      </c>
      <c r="L233" s="1829"/>
      <c r="M233" s="2360">
        <f t="shared" si="5"/>
        <v>0</v>
      </c>
      <c r="N233" s="1829"/>
      <c r="O233" s="3115">
        <v>0</v>
      </c>
      <c r="P233" s="1225" t="s">
        <v>970</v>
      </c>
    </row>
    <row r="234" spans="2:16" s="976" customFormat="1" ht="15.6">
      <c r="B234" s="2781">
        <v>55056</v>
      </c>
      <c r="C234" s="1215"/>
      <c r="D234" s="1219" t="s">
        <v>865</v>
      </c>
      <c r="E234" s="1217"/>
      <c r="F234" s="1217"/>
      <c r="G234" s="1829">
        <v>86613.27</v>
      </c>
      <c r="H234" s="1829"/>
      <c r="I234" s="1829">
        <v>0</v>
      </c>
      <c r="J234" s="1829"/>
      <c r="K234" s="1829">
        <v>0</v>
      </c>
      <c r="L234" s="1829"/>
      <c r="M234" s="2360">
        <f t="shared" si="5"/>
        <v>0</v>
      </c>
      <c r="N234" s="1829"/>
      <c r="O234" s="3115">
        <v>0</v>
      </c>
      <c r="P234" s="1225"/>
    </row>
    <row r="235" spans="2:16" s="976" customFormat="1" ht="15.6">
      <c r="B235" s="2781">
        <v>55057</v>
      </c>
      <c r="C235" s="1215"/>
      <c r="D235" s="1219" t="s">
        <v>866</v>
      </c>
      <c r="E235" s="1217"/>
      <c r="F235" s="1217"/>
      <c r="G235" s="1829">
        <v>48599.58</v>
      </c>
      <c r="H235" s="1829"/>
      <c r="I235" s="1829">
        <v>51042.31</v>
      </c>
      <c r="J235" s="1829"/>
      <c r="K235" s="1829">
        <v>0</v>
      </c>
      <c r="L235" s="1829"/>
      <c r="M235" s="2360">
        <f t="shared" si="5"/>
        <v>99517.81</v>
      </c>
      <c r="N235" s="1829"/>
      <c r="O235" s="3115">
        <v>99517.81</v>
      </c>
      <c r="P235" s="1225"/>
    </row>
    <row r="236" spans="2:16" s="976" customFormat="1" ht="15.6">
      <c r="B236" s="2781">
        <v>55058</v>
      </c>
      <c r="C236" s="1215"/>
      <c r="D236" s="1219" t="s">
        <v>867</v>
      </c>
      <c r="E236" s="1217"/>
      <c r="F236" s="1217"/>
      <c r="G236" s="1829">
        <v>2310732.54</v>
      </c>
      <c r="H236" s="1829"/>
      <c r="I236" s="1829">
        <v>2745081.84</v>
      </c>
      <c r="J236" s="1829"/>
      <c r="K236" s="1829">
        <v>2770135.27</v>
      </c>
      <c r="L236" s="1829"/>
      <c r="M236" s="2360">
        <f t="shared" si="5"/>
        <v>283341.05</v>
      </c>
      <c r="N236" s="1829"/>
      <c r="O236" s="3115">
        <v>3053476.32</v>
      </c>
      <c r="P236" s="1225"/>
    </row>
    <row r="237" spans="2:16" s="976" customFormat="1" ht="15.6">
      <c r="B237" s="2781">
        <v>55059</v>
      </c>
      <c r="C237" s="1215"/>
      <c r="D237" s="1219" t="s">
        <v>868</v>
      </c>
      <c r="E237" s="1217"/>
      <c r="F237" s="1217"/>
      <c r="G237" s="1829">
        <v>11857653.310000001</v>
      </c>
      <c r="H237" s="1829"/>
      <c r="I237" s="1829">
        <v>11420422.9</v>
      </c>
      <c r="J237" s="1829"/>
      <c r="K237" s="1829">
        <v>12862487.449999999</v>
      </c>
      <c r="L237" s="1829"/>
      <c r="M237" s="2360">
        <f t="shared" si="5"/>
        <v>-817865.35</v>
      </c>
      <c r="N237" s="1829"/>
      <c r="O237" s="3115">
        <v>12044622.1</v>
      </c>
      <c r="P237" s="1225" t="s">
        <v>970</v>
      </c>
    </row>
    <row r="238" spans="2:16" s="976" customFormat="1" ht="15.6">
      <c r="B238" s="2781">
        <v>55060</v>
      </c>
      <c r="C238" s="1215"/>
      <c r="D238" s="1216" t="s">
        <v>869</v>
      </c>
      <c r="E238" s="1217"/>
      <c r="F238" s="1217"/>
      <c r="G238" s="1829">
        <v>0</v>
      </c>
      <c r="H238" s="1829"/>
      <c r="I238" s="1829">
        <v>0</v>
      </c>
      <c r="J238" s="1829"/>
      <c r="K238" s="1829">
        <v>0</v>
      </c>
      <c r="L238" s="1829"/>
      <c r="M238" s="2360">
        <f t="shared" si="5"/>
        <v>0</v>
      </c>
      <c r="N238" s="1829"/>
      <c r="O238" s="3115">
        <v>0</v>
      </c>
      <c r="P238" s="1225"/>
    </row>
    <row r="239" spans="2:16" s="976" customFormat="1" ht="15.6">
      <c r="B239" s="2781">
        <v>55061</v>
      </c>
      <c r="C239" s="1215"/>
      <c r="D239" s="1216" t="s">
        <v>870</v>
      </c>
      <c r="E239" s="1217"/>
      <c r="F239" s="1217"/>
      <c r="G239" s="1829">
        <v>0</v>
      </c>
      <c r="H239" s="1829"/>
      <c r="I239" s="1829">
        <v>0</v>
      </c>
      <c r="J239" s="1829"/>
      <c r="K239" s="1829">
        <v>3955883.62</v>
      </c>
      <c r="L239" s="1829"/>
      <c r="M239" s="2360">
        <f t="shared" si="5"/>
        <v>-29441.03</v>
      </c>
      <c r="N239" s="1829"/>
      <c r="O239" s="3115">
        <v>3926442.59</v>
      </c>
      <c r="P239" s="1225"/>
    </row>
    <row r="240" spans="2:16" s="976" customFormat="1" ht="15.6">
      <c r="B240" s="2781">
        <v>55062</v>
      </c>
      <c r="C240" s="1215"/>
      <c r="D240" s="1219" t="s">
        <v>871</v>
      </c>
      <c r="E240" s="1217"/>
      <c r="F240" s="1217"/>
      <c r="G240" s="1829">
        <v>46113550.399999999</v>
      </c>
      <c r="H240" s="1829"/>
      <c r="I240" s="1829">
        <v>46113550.399999999</v>
      </c>
      <c r="J240" s="1829"/>
      <c r="K240" s="1829">
        <v>47594538.729999997</v>
      </c>
      <c r="L240" s="1829"/>
      <c r="M240" s="2360">
        <f t="shared" si="5"/>
        <v>0</v>
      </c>
      <c r="N240" s="1829"/>
      <c r="O240" s="3115">
        <v>47594538.729999997</v>
      </c>
      <c r="P240" s="1225"/>
    </row>
    <row r="241" spans="2:16" s="976" customFormat="1" ht="15.6">
      <c r="B241" s="2781">
        <v>55066</v>
      </c>
      <c r="C241" s="1215"/>
      <c r="D241" s="1219" t="s">
        <v>872</v>
      </c>
      <c r="E241" s="1217"/>
      <c r="F241" s="1217"/>
      <c r="G241" s="1829">
        <v>1261584.27</v>
      </c>
      <c r="H241" s="1829"/>
      <c r="I241" s="1829">
        <v>1261584.27</v>
      </c>
      <c r="J241" s="1829"/>
      <c r="K241" s="1829">
        <v>1261584.27</v>
      </c>
      <c r="L241" s="1829"/>
      <c r="M241" s="2360">
        <f t="shared" si="5"/>
        <v>0</v>
      </c>
      <c r="N241" s="1829"/>
      <c r="O241" s="3115">
        <v>1261584.27</v>
      </c>
      <c r="P241" s="1225"/>
    </row>
    <row r="242" spans="2:16" s="976" customFormat="1" ht="15.6">
      <c r="B242" s="2781">
        <v>55067</v>
      </c>
      <c r="C242" s="1215"/>
      <c r="D242" s="1219" t="s">
        <v>873</v>
      </c>
      <c r="E242" s="1217"/>
      <c r="F242" s="1217"/>
      <c r="G242" s="1829">
        <v>220800.33</v>
      </c>
      <c r="H242" s="1829"/>
      <c r="I242" s="1829">
        <v>223937.93</v>
      </c>
      <c r="J242" s="1829"/>
      <c r="K242" s="1829">
        <v>269015.89</v>
      </c>
      <c r="L242" s="1829"/>
      <c r="M242" s="2360">
        <f t="shared" si="5"/>
        <v>-80619.92</v>
      </c>
      <c r="N242" s="1829"/>
      <c r="O242" s="3115">
        <v>188395.97</v>
      </c>
      <c r="P242" s="1225"/>
    </row>
    <row r="243" spans="2:16" s="976" customFormat="1" ht="15.6">
      <c r="B243" s="2781">
        <v>55069</v>
      </c>
      <c r="C243" s="1215"/>
      <c r="D243" s="1219" t="s">
        <v>874</v>
      </c>
      <c r="E243" s="1217"/>
      <c r="F243" s="1217"/>
      <c r="G243" s="1829">
        <v>115763566.81999999</v>
      </c>
      <c r="H243" s="1829"/>
      <c r="I243" s="1829">
        <v>123521128.64</v>
      </c>
      <c r="J243" s="1829"/>
      <c r="K243" s="1829">
        <v>7850445.5300000003</v>
      </c>
      <c r="L243" s="1829"/>
      <c r="M243" s="2360">
        <f t="shared" si="5"/>
        <v>56585023.450000003</v>
      </c>
      <c r="N243" s="1829"/>
      <c r="O243" s="3115">
        <v>64435468.979999997</v>
      </c>
      <c r="P243" s="1225"/>
    </row>
    <row r="244" spans="2:16" s="976" customFormat="1" ht="15.6">
      <c r="B244" s="1208">
        <v>55071</v>
      </c>
      <c r="C244" s="1215"/>
      <c r="D244" s="1219" t="s">
        <v>1078</v>
      </c>
      <c r="E244" s="1217"/>
      <c r="F244" s="1217"/>
      <c r="G244" s="1829">
        <v>1462803.16</v>
      </c>
      <c r="H244" s="1829"/>
      <c r="I244" s="1829">
        <v>1535455.92</v>
      </c>
      <c r="J244" s="1829"/>
      <c r="K244" s="1829">
        <v>0</v>
      </c>
      <c r="L244" s="1829"/>
      <c r="M244" s="2360">
        <f t="shared" si="5"/>
        <v>52615.69</v>
      </c>
      <c r="N244" s="1829"/>
      <c r="O244" s="3115">
        <v>52615.69</v>
      </c>
      <c r="P244" s="1225"/>
    </row>
    <row r="245" spans="2:16" s="976" customFormat="1" ht="15.6">
      <c r="B245" s="2781">
        <v>55072</v>
      </c>
      <c r="C245" s="1215"/>
      <c r="D245" s="1219" t="s">
        <v>1079</v>
      </c>
      <c r="E245" s="1217"/>
      <c r="F245" s="1217"/>
      <c r="G245" s="1829">
        <v>630526.92000000004</v>
      </c>
      <c r="H245" s="1829"/>
      <c r="I245" s="1829">
        <v>0</v>
      </c>
      <c r="J245" s="1829"/>
      <c r="K245" s="1829">
        <v>547627.17000000004</v>
      </c>
      <c r="L245" s="1829"/>
      <c r="M245" s="2360">
        <f t="shared" si="5"/>
        <v>504361.09</v>
      </c>
      <c r="N245" s="1829"/>
      <c r="O245" s="3115">
        <v>1051988.26</v>
      </c>
      <c r="P245" s="1225"/>
    </row>
    <row r="246" spans="2:16" s="976" customFormat="1" ht="15.6">
      <c r="B246" s="1208">
        <v>55073</v>
      </c>
      <c r="C246" s="1215"/>
      <c r="D246" s="1219" t="s">
        <v>1080</v>
      </c>
      <c r="E246" s="1217"/>
      <c r="F246" s="1217"/>
      <c r="G246" s="1829">
        <v>0</v>
      </c>
      <c r="H246" s="1829"/>
      <c r="I246" s="1829">
        <v>0</v>
      </c>
      <c r="J246" s="1829"/>
      <c r="K246" s="1829">
        <v>0</v>
      </c>
      <c r="L246" s="1829"/>
      <c r="M246" s="2360">
        <f t="shared" si="5"/>
        <v>0</v>
      </c>
      <c r="N246" s="1829"/>
      <c r="O246" s="3115">
        <v>0</v>
      </c>
      <c r="P246" s="1225"/>
    </row>
    <row r="247" spans="2:16" s="976" customFormat="1" ht="15.6">
      <c r="B247" s="2781">
        <v>55251</v>
      </c>
      <c r="C247" s="1215"/>
      <c r="D247" s="1216" t="s">
        <v>875</v>
      </c>
      <c r="E247" s="1217"/>
      <c r="F247" s="1217"/>
      <c r="G247" s="1829">
        <v>5056141.79</v>
      </c>
      <c r="H247" s="1829"/>
      <c r="I247" s="1829">
        <v>5548078.5599999996</v>
      </c>
      <c r="J247" s="1829"/>
      <c r="K247" s="1829">
        <v>3225319.04</v>
      </c>
      <c r="L247" s="1829"/>
      <c r="M247" s="2360">
        <f t="shared" si="5"/>
        <v>168202.75</v>
      </c>
      <c r="N247" s="1829"/>
      <c r="O247" s="3115">
        <v>3393521.79</v>
      </c>
      <c r="P247" s="1225"/>
    </row>
    <row r="248" spans="2:16" s="976" customFormat="1" ht="15.6">
      <c r="B248" s="2781">
        <v>55252</v>
      </c>
      <c r="C248" s="1215"/>
      <c r="D248" s="1219" t="s">
        <v>876</v>
      </c>
      <c r="E248" s="1217"/>
      <c r="F248" s="1217"/>
      <c r="G248" s="1829">
        <v>2505674.6800000002</v>
      </c>
      <c r="H248" s="1829"/>
      <c r="I248" s="1829">
        <v>0</v>
      </c>
      <c r="J248" s="1829"/>
      <c r="K248" s="1829">
        <v>0</v>
      </c>
      <c r="L248" s="1829"/>
      <c r="M248" s="2360">
        <f t="shared" si="5"/>
        <v>0</v>
      </c>
      <c r="N248" s="1829"/>
      <c r="O248" s="3115">
        <v>0</v>
      </c>
      <c r="P248" s="1225"/>
    </row>
    <row r="249" spans="2:16" s="976" customFormat="1" ht="15.6">
      <c r="B249" s="2781">
        <v>55300</v>
      </c>
      <c r="C249" s="1215"/>
      <c r="D249" s="1216" t="s">
        <v>877</v>
      </c>
      <c r="E249" s="1217"/>
      <c r="F249" s="1217"/>
      <c r="G249" s="1829">
        <v>8116411.9800000004</v>
      </c>
      <c r="H249" s="1829"/>
      <c r="I249" s="1829">
        <v>9604668.0800000001</v>
      </c>
      <c r="J249" s="1829"/>
      <c r="K249" s="1829">
        <v>6081029.5999999996</v>
      </c>
      <c r="L249" s="1829"/>
      <c r="M249" s="2360">
        <f t="shared" si="5"/>
        <v>475015.96</v>
      </c>
      <c r="N249" s="1829"/>
      <c r="O249" s="3115">
        <v>6556045.5599999996</v>
      </c>
      <c r="P249" s="1225"/>
    </row>
    <row r="250" spans="2:16" s="976" customFormat="1" ht="15.6">
      <c r="B250" s="2781">
        <v>55301</v>
      </c>
      <c r="C250" s="1215"/>
      <c r="D250" s="1216" t="s">
        <v>878</v>
      </c>
      <c r="E250" s="1217"/>
      <c r="F250" s="1217"/>
      <c r="G250" s="1829">
        <v>5560487.2400000002</v>
      </c>
      <c r="H250" s="1829"/>
      <c r="I250" s="1829">
        <v>5931682.4500000002</v>
      </c>
      <c r="J250" s="1829"/>
      <c r="K250" s="1829">
        <v>6648306.0700000003</v>
      </c>
      <c r="L250" s="1829"/>
      <c r="M250" s="2360">
        <f t="shared" si="5"/>
        <v>130396.14</v>
      </c>
      <c r="N250" s="1829"/>
      <c r="O250" s="3115">
        <v>6778702.21</v>
      </c>
      <c r="P250" s="1225"/>
    </row>
    <row r="251" spans="2:16" s="976" customFormat="1" ht="15.6">
      <c r="B251" s="2781">
        <v>55350</v>
      </c>
      <c r="C251" s="1623"/>
      <c r="D251" s="1216" t="s">
        <v>879</v>
      </c>
      <c r="E251" s="1293"/>
      <c r="F251" s="1293"/>
      <c r="G251" s="1829">
        <v>25065046.699999999</v>
      </c>
      <c r="H251" s="1829"/>
      <c r="I251" s="1829">
        <v>31928904.289999999</v>
      </c>
      <c r="J251" s="1829"/>
      <c r="K251" s="1829">
        <v>17358614.07</v>
      </c>
      <c r="L251" s="1829"/>
      <c r="M251" s="2360">
        <f t="shared" si="5"/>
        <v>1354601.79</v>
      </c>
      <c r="N251" s="1829"/>
      <c r="O251" s="3115">
        <v>18713215.859999999</v>
      </c>
      <c r="P251" s="1225"/>
    </row>
    <row r="252" spans="2:16" s="976" customFormat="1" ht="16.2" thickBot="1">
      <c r="B252" s="1644"/>
      <c r="C252" s="1291"/>
      <c r="D252" s="3296" t="s">
        <v>880</v>
      </c>
      <c r="E252" s="1288"/>
      <c r="F252" s="1288"/>
      <c r="G252" s="3201">
        <f>ROUND(SUM(G209:G251),2)</f>
        <v>313975089.49000001</v>
      </c>
      <c r="H252" s="1667"/>
      <c r="I252" s="3201">
        <f>ROUND(SUM(I209:I251),2)</f>
        <v>332812672.37</v>
      </c>
      <c r="J252" s="1667"/>
      <c r="K252" s="3201">
        <f>ROUND(SUM(K209:K251),2)</f>
        <v>179316239.49000001</v>
      </c>
      <c r="L252" s="1667"/>
      <c r="M252" s="2362">
        <f>ROUND(SUM(M209:M251),2)</f>
        <v>61546529.509999998</v>
      </c>
      <c r="N252" s="1667"/>
      <c r="O252" s="3201">
        <f>ROUND(SUM(O209:O251),2)</f>
        <v>240862769</v>
      </c>
      <c r="P252" s="1225"/>
    </row>
    <row r="253" spans="2:16" s="976" customFormat="1" ht="16.2" thickTop="1">
      <c r="B253" s="1632"/>
      <c r="C253" s="1623"/>
      <c r="D253" s="1645"/>
      <c r="E253" s="1293"/>
      <c r="F253" s="1293"/>
      <c r="G253" s="1829"/>
      <c r="H253" s="1619"/>
      <c r="I253" s="1829"/>
      <c r="J253" s="1619"/>
      <c r="K253" s="1829"/>
      <c r="L253" s="1619"/>
      <c r="M253" s="2360"/>
      <c r="N253" s="1560"/>
      <c r="O253" s="1829"/>
      <c r="P253" s="1225"/>
    </row>
    <row r="254" spans="2:16" s="976" customFormat="1" ht="16.2" thickBot="1">
      <c r="B254" s="1632"/>
      <c r="C254" s="1623"/>
      <c r="D254" s="1645"/>
      <c r="E254" s="1293"/>
      <c r="F254" s="1293"/>
      <c r="G254" s="1829"/>
      <c r="H254" s="1619"/>
      <c r="I254" s="1829"/>
      <c r="J254" s="1619"/>
      <c r="K254" s="1829"/>
      <c r="L254" s="1619"/>
      <c r="M254" s="2360"/>
      <c r="N254" s="1560"/>
      <c r="O254" s="1829"/>
      <c r="P254" s="1225"/>
    </row>
    <row r="255" spans="2:16" s="976" customFormat="1" ht="16.2" thickBot="1">
      <c r="B255" s="1644"/>
      <c r="C255" s="1646"/>
      <c r="D255" s="1226" t="s">
        <v>881</v>
      </c>
      <c r="E255" s="1288"/>
      <c r="F255" s="1647"/>
      <c r="G255" s="3203">
        <f>ROUND(SUM(G11+G98+G183+G196+G201+G206+G252),2)</f>
        <v>3806332573.6900001</v>
      </c>
      <c r="H255" s="2788"/>
      <c r="I255" s="3203">
        <f>ROUND(SUM(I11+I98+I183+I196+I201+I206+I252),2)</f>
        <v>4237093974.3099999</v>
      </c>
      <c r="J255" s="2788"/>
      <c r="K255" s="3203">
        <f>ROUND(SUM(K11+K98+K183+K196+K201+K206+K252),2)</f>
        <v>2749143834.27</v>
      </c>
      <c r="L255" s="2788"/>
      <c r="M255" s="2787">
        <f>ROUND(SUM(M11+M98+M183+M196+M201+M206+M252),2)</f>
        <v>277658543.23000002</v>
      </c>
      <c r="N255" s="2788"/>
      <c r="O255" s="3203">
        <f>ROUND(SUM(O11+O98+O183+O196+O201+O206+O252),2)</f>
        <v>3026802377.5</v>
      </c>
      <c r="P255" s="1225"/>
    </row>
    <row r="256" spans="2:16" s="976" customFormat="1" ht="15.6">
      <c r="B256" s="1632"/>
      <c r="C256" s="1623"/>
      <c r="D256" s="1645"/>
      <c r="E256" s="1293"/>
      <c r="F256" s="1293"/>
      <c r="G256"/>
      <c r="H256" s="1628"/>
      <c r="I256" s="2361"/>
      <c r="J256" s="1628"/>
      <c r="K256" s="2361"/>
      <c r="L256" s="1628"/>
      <c r="M256" s="2364"/>
      <c r="N256" s="1623"/>
      <c r="O256" s="2364"/>
      <c r="P256" s="1225"/>
    </row>
    <row r="257" spans="2:16" s="976" customFormat="1" ht="15.6">
      <c r="B257" s="3016" t="s">
        <v>972</v>
      </c>
      <c r="C257" s="3017" t="s">
        <v>1510</v>
      </c>
      <c r="D257" s="1775"/>
      <c r="E257" s="1659"/>
      <c r="F257" s="1659"/>
      <c r="G257" s="2361"/>
      <c r="H257" s="3018"/>
      <c r="I257" s="2365"/>
      <c r="J257" s="3019"/>
      <c r="K257" s="2365"/>
      <c r="L257" s="1292"/>
      <c r="M257" s="2365"/>
      <c r="N257" s="1292"/>
      <c r="O257" s="2365"/>
      <c r="P257" s="1225"/>
    </row>
    <row r="258" spans="2:16" s="976" customFormat="1" ht="15.6">
      <c r="B258" s="1648"/>
      <c r="C258" s="1307" t="s">
        <v>882</v>
      </c>
      <c r="D258" s="1773"/>
      <c r="E258" s="1307"/>
      <c r="F258" s="1307"/>
      <c r="G258" s="2365"/>
      <c r="H258" s="1306"/>
      <c r="I258" s="2365"/>
      <c r="J258" s="1292"/>
      <c r="K258" s="2365"/>
      <c r="L258" s="1292"/>
      <c r="M258" s="2365"/>
      <c r="N258" s="1292"/>
      <c r="O258" s="2365"/>
      <c r="P258" s="1225"/>
    </row>
    <row r="259" spans="2:16" s="976" customFormat="1" ht="15.6">
      <c r="B259" s="1648"/>
      <c r="C259" s="1307" t="s">
        <v>883</v>
      </c>
      <c r="D259" s="1772"/>
      <c r="E259" s="1307"/>
      <c r="F259" s="1307"/>
      <c r="G259" s="2365"/>
      <c r="H259" s="1306"/>
      <c r="I259" s="2366"/>
      <c r="J259" s="1297"/>
      <c r="K259" s="2366"/>
      <c r="L259" s="1297"/>
      <c r="M259" s="2366"/>
      <c r="N259" s="1297"/>
      <c r="O259" s="2366"/>
      <c r="P259" s="1225"/>
    </row>
    <row r="260" spans="2:16" s="976" customFormat="1" ht="15.6">
      <c r="B260" s="1648"/>
      <c r="C260" s="1307" t="s">
        <v>884</v>
      </c>
      <c r="D260" s="1772"/>
      <c r="E260" s="1307"/>
      <c r="F260" s="1307"/>
      <c r="G260" s="2366"/>
      <c r="H260" s="1306"/>
      <c r="I260" s="2366"/>
      <c r="J260" s="1297"/>
      <c r="K260" s="2366"/>
      <c r="L260" s="1297"/>
      <c r="M260" s="2366"/>
      <c r="N260" s="1297"/>
      <c r="O260" s="2366"/>
      <c r="P260" s="1225"/>
    </row>
    <row r="261" spans="2:16" s="976" customFormat="1" ht="15.6">
      <c r="B261" s="1648"/>
      <c r="C261" s="1307" t="s">
        <v>885</v>
      </c>
      <c r="D261" s="1772"/>
      <c r="E261" s="1307"/>
      <c r="F261" s="1307"/>
      <c r="G261" s="2366"/>
      <c r="H261" s="1306"/>
      <c r="I261" s="2367"/>
      <c r="J261" s="1649"/>
      <c r="K261" s="2367"/>
      <c r="L261" s="1649"/>
      <c r="M261" s="2367"/>
      <c r="N261" s="1649"/>
      <c r="O261" s="2367"/>
      <c r="P261" s="1225"/>
    </row>
    <row r="262" spans="2:16" s="976" customFormat="1" ht="15.6">
      <c r="B262" s="1227"/>
      <c r="C262" s="1307" t="s">
        <v>1509</v>
      </c>
      <c r="D262" s="1772"/>
      <c r="E262" s="1307"/>
      <c r="F262" s="1307"/>
      <c r="G262" s="2367"/>
      <c r="H262" s="1306"/>
      <c r="I262" s="2367"/>
      <c r="J262" s="1649"/>
      <c r="K262" s="2367"/>
      <c r="L262" s="1649"/>
      <c r="M262" s="2367"/>
      <c r="N262" s="1649"/>
      <c r="O262" s="2367"/>
      <c r="P262" s="1298"/>
    </row>
    <row r="263" spans="2:16" s="976" customFormat="1" ht="15.6">
      <c r="B263" s="1227"/>
      <c r="C263" s="1306" t="s">
        <v>973</v>
      </c>
      <c r="D263" s="1774"/>
      <c r="E263" s="1306"/>
      <c r="F263" s="1306"/>
      <c r="G263" s="2367"/>
      <c r="H263" s="1306"/>
      <c r="I263" s="2367"/>
      <c r="J263" s="1649"/>
      <c r="K263" s="2367"/>
      <c r="L263" s="1649"/>
      <c r="M263" s="2367"/>
      <c r="N263" s="1649"/>
      <c r="O263" s="2367"/>
      <c r="P263" s="1225"/>
    </row>
    <row r="264" spans="2:16" s="976" customFormat="1" ht="15.6">
      <c r="B264" s="1650" t="s">
        <v>118</v>
      </c>
      <c r="C264" s="1659" t="s">
        <v>1434</v>
      </c>
      <c r="D264" s="1775"/>
      <c r="E264" s="1306"/>
      <c r="F264" s="1306"/>
      <c r="G264" s="2367"/>
      <c r="H264" s="1306"/>
      <c r="I264" s="1655"/>
      <c r="J264" s="1654"/>
      <c r="K264" s="1655"/>
      <c r="L264" s="1656"/>
      <c r="M264" s="1657"/>
      <c r="N264" s="1658"/>
      <c r="O264" s="1655"/>
      <c r="P264" s="1293"/>
    </row>
    <row r="265" spans="2:16" s="976" customFormat="1" ht="15.6">
      <c r="B265" s="1665"/>
      <c r="C265" s="1655" t="s">
        <v>1435</v>
      </c>
      <c r="D265" s="1183"/>
      <c r="E265" s="1306"/>
      <c r="F265" s="1306"/>
      <c r="G265" s="1655"/>
      <c r="H265" s="1306"/>
      <c r="I265" s="1655"/>
      <c r="J265" s="1654"/>
      <c r="K265" s="1655"/>
      <c r="L265" s="1656"/>
      <c r="M265" s="1657"/>
      <c r="N265" s="1658"/>
      <c r="O265" s="1655"/>
      <c r="P265" s="1290"/>
    </row>
    <row r="266" spans="2:16" s="976" customFormat="1" ht="15.6">
      <c r="B266" s="1666" t="s">
        <v>971</v>
      </c>
      <c r="C266" s="1227" t="s">
        <v>1108</v>
      </c>
      <c r="D266" s="1183"/>
      <c r="E266" s="1660"/>
      <c r="F266" s="1661"/>
      <c r="G266" s="1655"/>
      <c r="H266" s="1662"/>
      <c r="I266" s="1651"/>
      <c r="J266" s="1663"/>
      <c r="K266" s="1651"/>
      <c r="L266" s="1662"/>
      <c r="M266" s="1652"/>
      <c r="N266" s="1664"/>
      <c r="O266" s="1651"/>
      <c r="P266" s="1289"/>
    </row>
    <row r="267" spans="2:16" s="976" customFormat="1" ht="15.6">
      <c r="B267" s="1666" t="s">
        <v>970</v>
      </c>
      <c r="C267" s="1227" t="s">
        <v>1532</v>
      </c>
      <c r="D267" s="3023"/>
      <c r="E267" s="3024"/>
      <c r="F267" s="3024"/>
      <c r="G267" s="1651"/>
      <c r="H267" s="3023"/>
      <c r="I267" s="3025"/>
      <c r="J267" s="3025"/>
      <c r="K267" s="3025"/>
      <c r="L267" s="3025"/>
      <c r="M267" s="3025"/>
      <c r="N267" s="3025"/>
      <c r="O267" s="3025"/>
      <c r="P267" s="1306"/>
    </row>
    <row r="268" spans="2:16" s="976" customFormat="1" ht="15.6">
      <c r="E268" s="1660"/>
      <c r="F268" s="1660"/>
      <c r="G268" s="3294"/>
      <c r="H268" s="1656"/>
      <c r="I268" s="1655"/>
      <c r="J268" s="1654"/>
      <c r="K268" s="1655"/>
      <c r="L268" s="1656"/>
      <c r="M268" s="1290"/>
      <c r="N268" s="1297"/>
      <c r="O268" s="1653"/>
      <c r="P268" s="1306"/>
    </row>
    <row r="269" spans="2:16" s="976" customFormat="1" ht="15.6">
      <c r="B269" s="1309"/>
      <c r="C269" s="1228"/>
      <c r="D269" s="1388"/>
      <c r="E269" s="1307"/>
      <c r="F269" s="1307"/>
      <c r="G269" s="1655"/>
      <c r="H269" s="1388"/>
      <c r="I269" s="1388"/>
      <c r="J269" s="1388"/>
      <c r="K269" s="1388"/>
      <c r="L269" s="1388"/>
      <c r="M269" s="1388"/>
      <c r="N269" s="1388"/>
      <c r="O269" s="1388"/>
      <c r="P269" s="1306"/>
    </row>
    <row r="270" spans="2:16" s="976" customFormat="1" ht="15.6">
      <c r="C270" s="1228"/>
      <c r="D270" s="1290"/>
      <c r="E270" s="1305"/>
      <c r="F270" s="1305"/>
      <c r="G270" s="1388"/>
      <c r="H270" s="1297"/>
      <c r="I270" s="1290"/>
      <c r="J270" s="1297"/>
      <c r="K270" s="1290"/>
      <c r="L270" s="1297"/>
      <c r="M270" s="1290"/>
      <c r="N270" s="1297"/>
      <c r="O270" s="1290"/>
      <c r="P270" s="1306"/>
    </row>
    <row r="271" spans="2:16" s="976" customFormat="1" ht="15.6">
      <c r="C271" s="1228"/>
      <c r="D271" s="1290"/>
      <c r="E271" s="1307"/>
      <c r="F271" s="1307"/>
      <c r="G271" s="1290"/>
      <c r="H271" s="1229"/>
      <c r="I271" s="1229"/>
      <c r="J271" s="1229"/>
      <c r="K271" s="1229"/>
      <c r="L271" s="1229"/>
      <c r="M271" s="1290"/>
      <c r="N271" s="1297"/>
      <c r="O271" s="1290"/>
      <c r="P271" s="1306"/>
    </row>
    <row r="272" spans="2:16" s="976" customFormat="1" ht="15.6">
      <c r="B272" s="1228"/>
      <c r="C272" s="1228"/>
      <c r="D272" s="1290"/>
      <c r="E272" s="1307"/>
      <c r="F272" s="1307"/>
      <c r="G272" s="1229"/>
      <c r="H272" s="1229"/>
      <c r="I272" s="1229"/>
      <c r="J272" s="1229"/>
      <c r="K272" s="1229"/>
      <c r="L272" s="1229"/>
      <c r="M272" s="1290"/>
      <c r="N272" s="1297"/>
      <c r="O272" s="1290"/>
      <c r="P272" s="1306"/>
    </row>
    <row r="273" spans="2:16" s="976" customFormat="1" ht="15.6">
      <c r="B273" s="1228"/>
      <c r="C273" s="1228"/>
      <c r="D273" s="1290"/>
      <c r="E273" s="1307"/>
      <c r="F273" s="1307"/>
      <c r="G273" s="1229"/>
      <c r="H273" s="1229"/>
      <c r="I273" s="1229"/>
      <c r="J273" s="1229"/>
      <c r="K273" s="1229"/>
      <c r="L273" s="1229"/>
      <c r="M273" s="1290"/>
      <c r="N273" s="1297"/>
      <c r="O273" s="1290"/>
      <c r="P273" s="1306"/>
    </row>
    <row r="274" spans="2:16" s="976" customFormat="1" ht="15.6">
      <c r="B274" s="1308"/>
      <c r="C274" s="1306"/>
      <c r="D274" s="1290"/>
      <c r="E274" s="1307"/>
      <c r="F274" s="1307"/>
      <c r="G274" s="1229"/>
      <c r="H274" s="1310"/>
      <c r="I274" s="1306"/>
      <c r="J274" s="1310"/>
      <c r="K274" s="1306"/>
      <c r="L274" s="1297"/>
      <c r="M274" s="1290"/>
      <c r="N274" s="1297"/>
      <c r="O274" s="1290"/>
      <c r="P274" s="1309"/>
    </row>
    <row r="275" spans="2:16" s="976" customFormat="1" ht="15.6">
      <c r="B275" s="1230"/>
      <c r="C275" s="1306"/>
      <c r="D275" s="1290"/>
      <c r="E275" s="1307"/>
      <c r="F275" s="1307"/>
      <c r="G275" s="1306"/>
      <c r="H275" s="1310"/>
      <c r="I275" s="1306"/>
      <c r="J275" s="1310"/>
      <c r="K275" s="1306"/>
      <c r="L275" s="1297"/>
      <c r="M275" s="1290"/>
      <c r="N275" s="1297"/>
      <c r="O275" s="1290"/>
      <c r="P275" s="1309"/>
    </row>
    <row r="276" spans="2:16" s="976" customFormat="1" ht="15.6">
      <c r="B276" s="1230"/>
      <c r="C276" s="1306"/>
      <c r="D276" s="1290"/>
      <c r="E276" s="1307"/>
      <c r="F276" s="1307"/>
      <c r="G276" s="1306"/>
      <c r="H276" s="1310"/>
      <c r="I276" s="1306"/>
      <c r="J276" s="1310"/>
      <c r="K276" s="1306"/>
      <c r="L276" s="1297"/>
      <c r="M276" s="1183"/>
      <c r="N276" s="1292"/>
      <c r="O276" s="1183"/>
      <c r="P276" s="1309"/>
    </row>
    <row r="277" spans="2:16" s="976" customFormat="1" ht="15.6">
      <c r="B277" s="1309"/>
      <c r="C277" s="1306"/>
      <c r="D277" s="1290"/>
      <c r="E277"/>
      <c r="F277" s="1310"/>
      <c r="G277" s="1306"/>
      <c r="H277" s="1310"/>
      <c r="I277" s="1306"/>
      <c r="J277" s="1310"/>
      <c r="K277" s="1306"/>
      <c r="L277" s="1292"/>
      <c r="M277" s="1183"/>
      <c r="N277" s="1292"/>
      <c r="O277" s="1183"/>
      <c r="P277" s="1309"/>
    </row>
    <row r="278" spans="2:16" s="976" customFormat="1" ht="15.6">
      <c r="B278" s="1309"/>
      <c r="C278" s="1306"/>
      <c r="D278" s="1290"/>
      <c r="E278"/>
      <c r="F278" s="1310"/>
      <c r="G278" s="1306"/>
      <c r="H278" s="1310"/>
      <c r="I278" s="1306"/>
      <c r="J278" s="1310"/>
      <c r="K278" s="1306"/>
      <c r="L278" s="1292"/>
      <c r="M278" s="1231"/>
      <c r="N278" s="1311"/>
      <c r="O278" s="1231"/>
      <c r="P278" s="1309"/>
    </row>
    <row r="279" spans="2:16" ht="15.6">
      <c r="B279" s="1309"/>
      <c r="C279" s="1306"/>
      <c r="D279" s="1290"/>
      <c r="E279"/>
      <c r="F279" s="1310"/>
      <c r="G279" s="1306"/>
      <c r="H279" s="1310"/>
      <c r="I279" s="1306"/>
      <c r="J279" s="1310"/>
      <c r="K279" s="1306"/>
      <c r="L279" s="1292"/>
      <c r="M279" s="1183"/>
      <c r="N279" s="1292"/>
      <c r="O279" s="1183"/>
      <c r="P279" s="1309"/>
    </row>
    <row r="280" spans="2:16" ht="15.6">
      <c r="G280" s="1306"/>
    </row>
    <row r="285" spans="2:16" ht="15.6">
      <c r="C285" s="2355"/>
      <c r="D285" s="1828"/>
      <c r="E285" s="2355"/>
      <c r="F285" s="2356"/>
      <c r="H285" s="2370"/>
      <c r="I285" s="2369"/>
      <c r="J285" s="2370"/>
      <c r="K285" s="2369"/>
      <c r="L285" s="2370"/>
    </row>
    <row r="286" spans="2:16" ht="15.6">
      <c r="C286" s="2355"/>
      <c r="D286" s="1828"/>
      <c r="E286" s="2355"/>
      <c r="F286" s="2356"/>
      <c r="G286" s="2369"/>
      <c r="H286" s="2370"/>
      <c r="I286" s="2369"/>
      <c r="J286" s="2370"/>
      <c r="K286" s="2369"/>
      <c r="L286" s="2370"/>
    </row>
    <row r="287" spans="2:16" ht="15.6">
      <c r="C287" s="2355"/>
      <c r="D287" s="1828"/>
      <c r="E287" s="2355"/>
      <c r="F287" s="2356"/>
      <c r="G287" s="2369"/>
      <c r="H287" s="2370"/>
      <c r="I287" s="2369"/>
      <c r="J287" s="2370"/>
      <c r="K287" s="2369"/>
      <c r="L287" s="2370"/>
    </row>
    <row r="288" spans="2:16" ht="15.6">
      <c r="C288" s="2355"/>
      <c r="D288" s="1828"/>
      <c r="E288" s="2355"/>
      <c r="F288" s="2356"/>
      <c r="G288" s="2369"/>
      <c r="H288" s="2370"/>
      <c r="I288" s="2369"/>
      <c r="J288" s="2370"/>
      <c r="K288" s="2369"/>
      <c r="L288" s="2370"/>
    </row>
    <row r="289" spans="3:12" ht="15.6">
      <c r="C289" s="2355"/>
      <c r="D289" s="1828"/>
      <c r="E289" s="2355"/>
      <c r="F289" s="2356"/>
      <c r="G289" s="2369"/>
      <c r="H289" s="2370"/>
      <c r="I289" s="2369"/>
      <c r="J289" s="2370"/>
      <c r="K289" s="2369"/>
      <c r="L289" s="2370"/>
    </row>
    <row r="290" spans="3:12">
      <c r="G290" s="2369"/>
    </row>
  </sheetData>
  <customSheetViews>
    <customSheetView guid="{8EE6466D-211E-4E05-9F84-CC0A1C6F79F4}" scale="70" showGridLines="0" fitToPage="1" topLeftCell="A248">
      <selection activeCell="G11" sqref="G11:O258"/>
      <rowBreaks count="3" manualBreakCount="3">
        <brk id="83" max="16383" man="1"/>
        <brk id="154" max="16383" man="1"/>
        <brk id="218" max="16383" man="1"/>
      </rowBreaks>
      <pageMargins left="0.45" right="0.45" top="0.5" bottom="0.5" header="0.3" footer="0.25"/>
      <pageSetup scale="43" firstPageNumber="55" fitToHeight="4" orientation="landscape" useFirstPageNumber="1" r:id="rId1"/>
      <headerFooter scaleWithDoc="0" alignWithMargins="0">
        <oddFooter>&amp;C&amp;8&amp;P</oddFooter>
      </headerFooter>
    </customSheetView>
  </customSheetViews>
  <pageMargins left="0.45" right="0.45" top="0.5" bottom="0.5" header="0.3" footer="0.25"/>
  <pageSetup scale="44" firstPageNumber="53" fitToHeight="4" orientation="landscape" useFirstPageNumber="1" r:id="rId2"/>
  <headerFooter scaleWithDoc="0" alignWithMargins="0">
    <oddFooter>&amp;C&amp;8&amp;P</oddFooter>
  </headerFooter>
  <rowBreaks count="3" manualBreakCount="3">
    <brk id="83" max="16383" man="1"/>
    <brk id="154" max="16383" man="1"/>
    <brk id="218" max="16383" man="1"/>
  </rowBreaks>
  <ignoredErrors>
    <ignoredError sqref="L11 N11 N199 N200 L201 N201 N204 L206 N206 L252 N252 L255 N255 L12:N13 L99:N100 L184:N185 L197:N198 L202:N203 L199:M199 L200:M200 L207:N208 L204:M204 L253:N254" unlocked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N86"/>
  <sheetViews>
    <sheetView zoomScale="70" zoomScaleNormal="70" workbookViewId="0"/>
  </sheetViews>
  <sheetFormatPr defaultColWidth="8.90625" defaultRowHeight="13.2" outlineLevelCol="1"/>
  <cols>
    <col min="1" max="1" width="53.453125" style="939" customWidth="1"/>
    <col min="2" max="2" width="13.81640625" style="3158" customWidth="1"/>
    <col min="3" max="3" width="1.81640625" style="3158" customWidth="1"/>
    <col min="4" max="4" width="13.81640625" style="3158" customWidth="1"/>
    <col min="5" max="5" width="1.6328125" style="3157" customWidth="1" outlineLevel="1"/>
    <col min="6" max="6" width="13.81640625" style="3158" customWidth="1"/>
    <col min="7" max="7" width="1.6328125" style="3157" customWidth="1" outlineLevel="1"/>
    <col min="8" max="8" width="13.81640625" style="3158" customWidth="1"/>
    <col min="9" max="9" width="1.6328125" style="3157" customWidth="1" outlineLevel="1"/>
    <col min="10" max="10" width="13.81640625" style="3158" customWidth="1"/>
    <col min="11" max="11" width="1.6328125" style="3158" customWidth="1"/>
    <col min="12" max="12" width="13.81640625" style="3158" customWidth="1"/>
    <col min="13" max="13" width="1.6328125" style="3157" customWidth="1" outlineLevel="1"/>
    <col min="14" max="14" width="13.81640625" style="3158" customWidth="1"/>
    <col min="15" max="15" width="1.6328125" style="3157" customWidth="1" outlineLevel="1"/>
    <col min="16" max="16" width="13.81640625" style="3158" customWidth="1"/>
    <col min="17" max="17" width="1.6328125" style="3157" customWidth="1" outlineLevel="1"/>
    <col min="18" max="18" width="13.81640625" style="3158" customWidth="1"/>
    <col min="19" max="19" width="1.6328125" style="3157" customWidth="1" outlineLevel="1"/>
    <col min="20" max="20" width="13.81640625" style="3158" customWidth="1"/>
    <col min="21" max="21" width="1.6328125" style="3157" customWidth="1"/>
    <col min="22" max="22" width="13.81640625" style="3158" customWidth="1"/>
    <col min="23" max="23" width="1.6328125" style="3157" customWidth="1"/>
    <col min="24" max="24" width="13.81640625" style="3158" customWidth="1"/>
    <col min="25" max="25" width="1.6328125" style="3157" customWidth="1"/>
    <col min="26" max="26" width="18.90625" style="766" customWidth="1"/>
    <col min="27" max="27" width="1.54296875" style="939" customWidth="1"/>
    <col min="28" max="28" width="18.81640625" style="939" bestFit="1" customWidth="1"/>
    <col min="29" max="29" width="12.6328125" style="939" bestFit="1" customWidth="1"/>
    <col min="30" max="16384" width="8.90625" style="939"/>
  </cols>
  <sheetData>
    <row r="1" spans="1:40" ht="15">
      <c r="A1" s="1854" t="s">
        <v>1103</v>
      </c>
      <c r="B1" s="2483"/>
      <c r="C1" s="2483"/>
      <c r="D1" s="2483"/>
      <c r="E1" s="2483"/>
      <c r="F1" s="2483"/>
      <c r="G1" s="2483"/>
      <c r="H1" s="2483"/>
      <c r="I1" s="2483"/>
      <c r="J1" s="2483"/>
      <c r="K1" s="2483"/>
      <c r="L1" s="2483"/>
      <c r="M1" s="2483"/>
      <c r="N1" s="2483"/>
      <c r="O1" s="2483"/>
      <c r="P1" s="2483"/>
      <c r="Q1" s="2483"/>
      <c r="R1" s="2483"/>
      <c r="S1" s="2483"/>
      <c r="T1" s="2483"/>
      <c r="U1" s="2483"/>
      <c r="V1" s="2483"/>
      <c r="W1" s="2483"/>
      <c r="X1" s="2483"/>
      <c r="Y1" s="2483"/>
      <c r="Z1" s="2483"/>
      <c r="AA1" s="2483"/>
      <c r="AB1" s="2483"/>
      <c r="AC1" s="2483"/>
      <c r="AD1" s="2483"/>
      <c r="AE1" s="2483"/>
      <c r="AF1" s="2483"/>
      <c r="AG1" s="2483"/>
    </row>
    <row r="2" spans="1:40" ht="15">
      <c r="A2" s="1854"/>
      <c r="B2" s="2483"/>
      <c r="C2" s="2483"/>
      <c r="D2" s="2483"/>
      <c r="E2" s="2483"/>
      <c r="F2" s="2483"/>
      <c r="G2" s="2483"/>
      <c r="H2" s="2483"/>
      <c r="I2" s="2483"/>
      <c r="J2" s="2483"/>
      <c r="K2" s="2483"/>
      <c r="L2" s="2483"/>
      <c r="M2" s="2483"/>
      <c r="N2" s="2483"/>
      <c r="O2" s="2483"/>
      <c r="P2" s="2483"/>
      <c r="Q2" s="2483"/>
      <c r="R2" s="2483"/>
      <c r="S2" s="2483"/>
      <c r="T2" s="2483"/>
      <c r="U2" s="2483"/>
      <c r="V2" s="2483"/>
      <c r="W2" s="2483"/>
      <c r="X2" s="2483"/>
      <c r="Y2" s="2483"/>
      <c r="Z2" s="2483"/>
      <c r="AA2" s="2483"/>
      <c r="AB2" s="2483"/>
      <c r="AC2" s="2483"/>
      <c r="AD2" s="2483"/>
      <c r="AE2" s="2483"/>
      <c r="AF2" s="2483"/>
      <c r="AG2" s="2483"/>
    </row>
    <row r="3" spans="1:40" ht="24" customHeight="1">
      <c r="A3" s="1669" t="s">
        <v>0</v>
      </c>
      <c r="B3" s="936"/>
      <c r="C3" s="936"/>
      <c r="D3" s="937"/>
      <c r="E3" s="938"/>
      <c r="F3" s="937"/>
      <c r="G3" s="938"/>
      <c r="H3" s="937"/>
      <c r="I3" s="938"/>
      <c r="K3" s="936"/>
      <c r="L3" s="765"/>
      <c r="M3" s="936"/>
      <c r="N3" s="937"/>
      <c r="O3" s="938"/>
      <c r="P3" s="937"/>
      <c r="Q3" s="938"/>
      <c r="R3" s="937"/>
      <c r="S3" s="938"/>
      <c r="T3" s="937"/>
      <c r="U3" s="938"/>
      <c r="V3" s="937"/>
      <c r="W3" s="938"/>
      <c r="X3" s="937"/>
      <c r="Y3" s="938"/>
      <c r="Z3" s="1599" t="s">
        <v>658</v>
      </c>
      <c r="AA3" s="936"/>
      <c r="AC3" s="936"/>
      <c r="AE3" s="936"/>
    </row>
    <row r="4" spans="1:40" ht="16.8">
      <c r="A4" s="1669" t="s">
        <v>1426</v>
      </c>
      <c r="B4" s="2484"/>
      <c r="C4" s="2484"/>
      <c r="D4" s="940"/>
      <c r="E4" s="938"/>
      <c r="F4" s="2484"/>
      <c r="G4" s="938"/>
      <c r="H4" s="2484"/>
      <c r="I4" s="938"/>
      <c r="J4" s="2484"/>
      <c r="K4" s="2484"/>
      <c r="L4" s="2484"/>
      <c r="M4" s="941"/>
      <c r="N4" s="2484"/>
      <c r="O4" s="938"/>
      <c r="P4" s="2484"/>
      <c r="Q4" s="938"/>
      <c r="R4" s="2484"/>
      <c r="S4" s="938"/>
      <c r="T4" s="2484"/>
      <c r="U4" s="938"/>
      <c r="V4" s="2484"/>
      <c r="W4" s="938"/>
      <c r="X4" s="2484"/>
      <c r="Y4" s="938"/>
      <c r="Z4" s="2485"/>
      <c r="AA4" s="942"/>
      <c r="AC4" s="936"/>
    </row>
    <row r="5" spans="1:40" ht="16.8">
      <c r="A5" s="1670" t="s">
        <v>1339</v>
      </c>
      <c r="B5" s="2484"/>
      <c r="C5" s="2484"/>
      <c r="D5" s="2484"/>
      <c r="E5" s="938"/>
      <c r="F5" s="2484"/>
      <c r="G5" s="938"/>
      <c r="H5" s="2484"/>
      <c r="I5" s="938"/>
      <c r="J5" s="2484"/>
      <c r="K5" s="2484"/>
      <c r="L5" s="2484"/>
      <c r="M5" s="941"/>
      <c r="N5" s="2484"/>
      <c r="O5" s="938"/>
      <c r="P5" s="2484"/>
      <c r="Q5" s="938"/>
      <c r="R5" s="2484"/>
      <c r="S5" s="938"/>
      <c r="T5" s="2484"/>
      <c r="U5" s="938"/>
      <c r="V5" s="2484"/>
      <c r="W5" s="938"/>
      <c r="X5" s="2484"/>
      <c r="Y5" s="938"/>
      <c r="Z5" s="2485"/>
    </row>
    <row r="6" spans="1:40" ht="18" customHeight="1">
      <c r="A6" s="943" t="s">
        <v>1459</v>
      </c>
      <c r="B6" s="2484"/>
      <c r="C6" s="2484"/>
      <c r="D6" s="945"/>
      <c r="E6" s="938"/>
      <c r="F6" s="2484"/>
      <c r="G6" s="938"/>
      <c r="H6" s="2484"/>
      <c r="I6" s="938"/>
      <c r="J6" s="2484"/>
      <c r="K6" s="2484"/>
      <c r="L6" s="2484"/>
      <c r="M6" s="941"/>
      <c r="N6" s="2484"/>
      <c r="O6" s="938"/>
      <c r="P6" s="2484"/>
      <c r="Q6" s="938"/>
      <c r="R6" s="2484"/>
      <c r="S6" s="938"/>
      <c r="T6" s="2484"/>
      <c r="U6" s="938"/>
      <c r="V6" s="2484"/>
      <c r="W6" s="938"/>
      <c r="X6" s="2484"/>
      <c r="Y6" s="938"/>
      <c r="Z6" s="2485"/>
    </row>
    <row r="7" spans="1:40" ht="15" customHeight="1">
      <c r="A7" s="944"/>
      <c r="B7" s="2484"/>
      <c r="C7" s="2484"/>
      <c r="D7" s="2484"/>
      <c r="E7" s="938"/>
      <c r="F7" s="2484"/>
      <c r="G7" s="938"/>
      <c r="H7" s="2484"/>
      <c r="I7" s="938"/>
      <c r="J7" s="2484"/>
      <c r="K7" s="2484"/>
      <c r="L7" s="2484"/>
      <c r="M7" s="941"/>
      <c r="N7" s="2484"/>
      <c r="O7" s="938"/>
      <c r="P7" s="2484"/>
      <c r="Q7" s="938"/>
      <c r="R7" s="2486"/>
      <c r="S7" s="938"/>
      <c r="T7" s="2486"/>
      <c r="U7" s="938"/>
      <c r="V7" s="2486"/>
      <c r="W7" s="938"/>
      <c r="X7" s="2486"/>
      <c r="Y7" s="938"/>
      <c r="Z7" s="2485"/>
    </row>
    <row r="8" spans="1:40" ht="15.6">
      <c r="A8" s="935"/>
      <c r="B8" s="2484"/>
      <c r="C8" s="2484"/>
      <c r="D8" s="2484"/>
      <c r="E8" s="938"/>
      <c r="F8" s="2484"/>
      <c r="G8" s="938"/>
      <c r="H8" s="2484"/>
      <c r="I8" s="938"/>
      <c r="J8" s="2484"/>
      <c r="K8" s="2484"/>
      <c r="L8" s="2484"/>
      <c r="M8" s="938"/>
      <c r="N8" s="2484"/>
      <c r="O8" s="938"/>
      <c r="P8" s="2484"/>
      <c r="Q8" s="938"/>
      <c r="R8" s="2484"/>
      <c r="S8" s="938"/>
      <c r="T8" s="2484"/>
      <c r="U8" s="938"/>
      <c r="V8" s="2484"/>
      <c r="W8" s="938"/>
      <c r="X8" s="2484"/>
      <c r="Y8" s="938"/>
      <c r="Z8" s="946"/>
      <c r="AA8" s="947"/>
    </row>
    <row r="9" spans="1:40" ht="15" customHeight="1">
      <c r="A9" s="2487"/>
      <c r="B9" s="1812">
        <v>2016</v>
      </c>
      <c r="C9" s="948"/>
      <c r="D9" s="948"/>
      <c r="E9" s="941"/>
      <c r="F9" s="948"/>
      <c r="G9" s="941"/>
      <c r="H9" s="948"/>
      <c r="I9" s="941"/>
      <c r="J9" s="948"/>
      <c r="K9" s="948"/>
      <c r="L9" s="949"/>
      <c r="M9" s="941"/>
      <c r="N9" s="949"/>
      <c r="O9" s="941"/>
      <c r="P9" s="949"/>
      <c r="Q9" s="941"/>
      <c r="R9" s="949"/>
      <c r="S9" s="941"/>
      <c r="T9" s="1812">
        <v>2017</v>
      </c>
      <c r="U9" s="941"/>
      <c r="V9" s="949"/>
      <c r="W9" s="941"/>
      <c r="X9" s="949"/>
      <c r="Y9" s="941"/>
      <c r="Z9" s="950" t="s">
        <v>1496</v>
      </c>
      <c r="AA9" s="950"/>
    </row>
    <row r="10" spans="1:40" ht="15" customHeight="1">
      <c r="A10" s="2487"/>
      <c r="B10" s="951" t="s">
        <v>129</v>
      </c>
      <c r="C10" s="952"/>
      <c r="D10" s="949" t="s">
        <v>130</v>
      </c>
      <c r="E10" s="941"/>
      <c r="F10" s="949" t="s">
        <v>131</v>
      </c>
      <c r="G10" s="941"/>
      <c r="H10" s="949" t="s">
        <v>132</v>
      </c>
      <c r="I10" s="941"/>
      <c r="J10" s="949" t="s">
        <v>133</v>
      </c>
      <c r="K10" s="953"/>
      <c r="L10" s="949" t="s">
        <v>134</v>
      </c>
      <c r="M10" s="941"/>
      <c r="N10" s="949" t="s">
        <v>135</v>
      </c>
      <c r="O10" s="941"/>
      <c r="P10" s="949" t="s">
        <v>136</v>
      </c>
      <c r="Q10" s="941"/>
      <c r="R10" s="949" t="s">
        <v>137</v>
      </c>
      <c r="S10" s="941"/>
      <c r="T10" s="949" t="s">
        <v>154</v>
      </c>
      <c r="U10" s="941"/>
      <c r="V10" s="949" t="s">
        <v>139</v>
      </c>
      <c r="W10" s="941"/>
      <c r="X10" s="949" t="s">
        <v>140</v>
      </c>
      <c r="Y10" s="941"/>
      <c r="Z10" s="954">
        <v>42490</v>
      </c>
      <c r="AA10" s="954"/>
    </row>
    <row r="11" spans="1:40" ht="15" customHeight="1">
      <c r="A11" s="2487"/>
      <c r="B11" s="3171" t="s">
        <v>16</v>
      </c>
      <c r="C11" s="2489"/>
      <c r="D11" s="3171" t="s">
        <v>16</v>
      </c>
      <c r="E11" s="2490"/>
      <c r="F11" s="3171" t="s">
        <v>16</v>
      </c>
      <c r="G11" s="2490"/>
      <c r="H11" s="3171" t="s">
        <v>16</v>
      </c>
      <c r="I11" s="2490"/>
      <c r="J11" s="3171" t="s">
        <v>16</v>
      </c>
      <c r="K11" s="953"/>
      <c r="L11" s="3171" t="s">
        <v>16</v>
      </c>
      <c r="M11" s="2490"/>
      <c r="N11" s="3171" t="s">
        <v>16</v>
      </c>
      <c r="O11" s="2490"/>
      <c r="P11" s="3171" t="s">
        <v>16</v>
      </c>
      <c r="Q11" s="2490"/>
      <c r="R11" s="3171" t="s">
        <v>16</v>
      </c>
      <c r="S11" s="2490"/>
      <c r="T11" s="3171" t="s">
        <v>16</v>
      </c>
      <c r="U11" s="2490"/>
      <c r="V11" s="3171" t="s">
        <v>16</v>
      </c>
      <c r="W11" s="2490"/>
      <c r="X11" s="3171" t="s">
        <v>16</v>
      </c>
      <c r="Y11" s="2490"/>
      <c r="Z11" s="3170" t="s">
        <v>16</v>
      </c>
      <c r="AB11" s="955"/>
      <c r="AC11" s="955"/>
      <c r="AD11" s="955"/>
      <c r="AE11" s="955"/>
      <c r="AF11" s="955"/>
      <c r="AG11" s="955"/>
      <c r="AH11" s="955"/>
      <c r="AI11" s="955"/>
      <c r="AJ11" s="955"/>
      <c r="AK11" s="955"/>
      <c r="AL11" s="955"/>
      <c r="AM11" s="955"/>
      <c r="AN11" s="955"/>
    </row>
    <row r="12" spans="1:40" s="960" customFormat="1" ht="15" customHeight="1">
      <c r="A12" s="1671" t="s">
        <v>498</v>
      </c>
      <c r="B12" s="956">
        <v>110333290</v>
      </c>
      <c r="C12" s="957"/>
      <c r="D12" s="956"/>
      <c r="E12" s="2492"/>
      <c r="F12" s="956"/>
      <c r="G12" s="2492"/>
      <c r="H12" s="956"/>
      <c r="I12" s="2492"/>
      <c r="J12" s="956"/>
      <c r="K12" s="958"/>
      <c r="L12" s="956"/>
      <c r="M12" s="959"/>
      <c r="N12" s="956"/>
      <c r="O12" s="956"/>
      <c r="P12" s="956"/>
      <c r="Q12" s="956"/>
      <c r="R12" s="956"/>
      <c r="S12" s="956"/>
      <c r="T12" s="956"/>
      <c r="U12" s="956"/>
      <c r="V12" s="956"/>
      <c r="W12" s="956"/>
      <c r="X12" s="956"/>
      <c r="Y12" s="956"/>
      <c r="Z12" s="956">
        <f>+B12</f>
        <v>110333290</v>
      </c>
    </row>
    <row r="13" spans="1:40" ht="15" customHeight="1">
      <c r="A13" s="2493"/>
      <c r="B13" s="2494"/>
      <c r="C13" s="2495"/>
      <c r="D13" s="2494"/>
      <c r="E13" s="2494"/>
      <c r="F13" s="2494"/>
      <c r="G13" s="2494"/>
      <c r="H13" s="2494"/>
      <c r="I13" s="2494"/>
      <c r="J13" s="2494"/>
      <c r="K13" s="953"/>
      <c r="L13" s="2494"/>
      <c r="M13" s="2494"/>
      <c r="N13" s="2494"/>
      <c r="O13" s="2494"/>
      <c r="P13" s="2494"/>
      <c r="Q13" s="2494"/>
      <c r="R13" s="2494"/>
      <c r="S13" s="2494"/>
      <c r="T13" s="2494"/>
      <c r="U13" s="2494"/>
      <c r="V13" s="2494"/>
      <c r="W13" s="2494"/>
      <c r="X13" s="2494"/>
      <c r="Y13" s="2494"/>
      <c r="Z13" s="2496"/>
    </row>
    <row r="14" spans="1:40" ht="15" customHeight="1">
      <c r="A14" s="961" t="s">
        <v>15</v>
      </c>
      <c r="B14" s="2494"/>
      <c r="C14" s="2495"/>
      <c r="D14" s="2494"/>
      <c r="E14" s="2494"/>
      <c r="F14" s="2494"/>
      <c r="G14" s="2494"/>
      <c r="H14" s="2494"/>
      <c r="I14" s="2494"/>
      <c r="J14" s="2494"/>
      <c r="K14" s="2494"/>
      <c r="L14" s="2494"/>
      <c r="M14" s="2494"/>
      <c r="N14" s="2494"/>
      <c r="O14" s="2494"/>
      <c r="P14" s="2494"/>
      <c r="Q14" s="2494"/>
      <c r="R14" s="2494"/>
      <c r="S14" s="2494"/>
      <c r="T14" s="2494"/>
      <c r="U14" s="2494"/>
      <c r="V14" s="2494"/>
      <c r="W14" s="2494"/>
      <c r="X14" s="2494"/>
      <c r="Y14" s="2494"/>
      <c r="Z14" s="2496"/>
    </row>
    <row r="15" spans="1:40" ht="15" customHeight="1">
      <c r="A15" s="1673" t="s">
        <v>1425</v>
      </c>
      <c r="B15" s="2497">
        <v>40000000</v>
      </c>
      <c r="C15" s="2498"/>
      <c r="D15" s="2497"/>
      <c r="E15" s="2497"/>
      <c r="F15" s="2497"/>
      <c r="G15" s="2497"/>
      <c r="H15" s="2497"/>
      <c r="I15" s="2497"/>
      <c r="J15" s="2497"/>
      <c r="K15" s="2497"/>
      <c r="L15" s="2497"/>
      <c r="M15" s="2494"/>
      <c r="N15" s="2497"/>
      <c r="O15" s="2497"/>
      <c r="P15" s="2497"/>
      <c r="Q15" s="2497"/>
      <c r="R15" s="2497"/>
      <c r="S15" s="2497"/>
      <c r="T15" s="2497"/>
      <c r="U15" s="2497"/>
      <c r="V15" s="2497"/>
      <c r="W15" s="2497"/>
      <c r="X15" s="2497"/>
      <c r="Y15" s="2497"/>
      <c r="Z15" s="2499">
        <f>ROUND(SUM(B15:X15),0)</f>
        <v>40000000</v>
      </c>
    </row>
    <row r="16" spans="1:40" s="960" customFormat="1" ht="22.5" customHeight="1">
      <c r="A16" s="961" t="s">
        <v>156</v>
      </c>
      <c r="B16" s="3169">
        <f>ROUND(SUM(B15:B15),0)</f>
        <v>40000000</v>
      </c>
      <c r="C16" s="963"/>
      <c r="D16" s="3169">
        <f>ROUND(SUM(D15:D15),0)</f>
        <v>0</v>
      </c>
      <c r="E16" s="964"/>
      <c r="F16" s="3169">
        <f>ROUND(SUM(F15:F15),0)</f>
        <v>0</v>
      </c>
      <c r="G16" s="964"/>
      <c r="H16" s="3169">
        <f>ROUND(SUM(H15:H15),0)</f>
        <v>0</v>
      </c>
      <c r="I16" s="964"/>
      <c r="J16" s="3169">
        <f>ROUND(SUM(J15:J15),0)</f>
        <v>0</v>
      </c>
      <c r="K16" s="966"/>
      <c r="L16" s="3169">
        <f>ROUND(SUM(L15:L15),0)</f>
        <v>0</v>
      </c>
      <c r="M16" s="959"/>
      <c r="N16" s="3169">
        <f>ROUND(SUM(N15:N15),0)</f>
        <v>0</v>
      </c>
      <c r="O16" s="964"/>
      <c r="P16" s="3169">
        <f>ROUND(SUM(P15:P15),0)</f>
        <v>0</v>
      </c>
      <c r="Q16" s="964"/>
      <c r="R16" s="3169">
        <f>ROUND(SUM(R15:R15),0)</f>
        <v>0</v>
      </c>
      <c r="S16" s="964"/>
      <c r="T16" s="3169">
        <f>ROUND(SUM(T15:T15),0)</f>
        <v>0</v>
      </c>
      <c r="U16" s="964"/>
      <c r="V16" s="3169">
        <f>ROUND(SUM(V15:V15),0)</f>
        <v>0</v>
      </c>
      <c r="W16" s="964"/>
      <c r="X16" s="3169">
        <f>ROUND(SUM(X15:X15),0)</f>
        <v>0</v>
      </c>
      <c r="Y16" s="964"/>
      <c r="Z16" s="3169">
        <f>ROUND(SUM(Z15:Z15),0)</f>
        <v>40000000</v>
      </c>
      <c r="AB16" s="767"/>
    </row>
    <row r="17" spans="1:26" ht="15" customHeight="1">
      <c r="A17" s="2493"/>
      <c r="B17" s="2497"/>
      <c r="C17" s="2498"/>
      <c r="D17" s="2497"/>
      <c r="E17" s="2497"/>
      <c r="F17" s="2497"/>
      <c r="G17" s="2497"/>
      <c r="H17" s="2497"/>
      <c r="I17" s="2497"/>
      <c r="J17" s="2497"/>
      <c r="K17" s="2497"/>
      <c r="L17" s="2497"/>
      <c r="M17" s="2494"/>
      <c r="N17" s="2497"/>
      <c r="O17" s="2497"/>
      <c r="P17" s="2497"/>
      <c r="Q17" s="2497"/>
      <c r="R17" s="2497"/>
      <c r="S17" s="2497"/>
      <c r="T17" s="2497"/>
      <c r="U17" s="2497"/>
      <c r="V17" s="2497"/>
      <c r="W17" s="2497"/>
      <c r="X17" s="2497"/>
      <c r="Y17" s="2497"/>
      <c r="Z17" s="2507"/>
    </row>
    <row r="18" spans="1:26" ht="15" customHeight="1">
      <c r="A18" s="961" t="s">
        <v>24</v>
      </c>
      <c r="B18" s="2497"/>
      <c r="C18" s="2498"/>
      <c r="D18" s="2497"/>
      <c r="E18" s="2497"/>
      <c r="F18" s="2497"/>
      <c r="G18" s="2497"/>
      <c r="H18" s="2497"/>
      <c r="I18" s="2497"/>
      <c r="J18" s="2497"/>
      <c r="K18" s="2497"/>
      <c r="L18" s="2497"/>
      <c r="M18" s="2494"/>
      <c r="N18" s="2497"/>
      <c r="O18" s="2497"/>
      <c r="P18" s="2497"/>
      <c r="Q18" s="2497"/>
      <c r="R18" s="2497"/>
      <c r="S18" s="2497"/>
      <c r="T18" s="2497"/>
      <c r="U18" s="2497"/>
      <c r="V18" s="2497"/>
      <c r="W18" s="2497"/>
      <c r="X18" s="2497"/>
      <c r="Y18" s="2497"/>
      <c r="Z18" s="2507"/>
    </row>
    <row r="19" spans="1:26" ht="15" customHeight="1">
      <c r="A19" s="1673" t="s">
        <v>1424</v>
      </c>
      <c r="B19" s="2508">
        <v>0</v>
      </c>
      <c r="C19" s="2509"/>
      <c r="D19" s="2497"/>
      <c r="E19" s="2508"/>
      <c r="F19" s="2508"/>
      <c r="G19" s="2508"/>
      <c r="H19" s="2508"/>
      <c r="I19" s="2508"/>
      <c r="J19" s="2508"/>
      <c r="K19" s="2508"/>
      <c r="L19" s="2508"/>
      <c r="M19" s="2510"/>
      <c r="N19" s="2508"/>
      <c r="O19" s="2508"/>
      <c r="P19" s="2508"/>
      <c r="Q19" s="2508"/>
      <c r="R19" s="2508"/>
      <c r="S19" s="2508"/>
      <c r="T19" s="2508"/>
      <c r="U19" s="2508"/>
      <c r="V19" s="2508"/>
      <c r="W19" s="2508"/>
      <c r="X19" s="2508"/>
      <c r="Y19" s="2508"/>
      <c r="Z19" s="2499">
        <f t="shared" ref="Z19:Z28" si="0">ROUND(SUM(B19:X19),0)</f>
        <v>0</v>
      </c>
    </row>
    <row r="20" spans="1:26" ht="15" customHeight="1">
      <c r="A20" s="1673" t="s">
        <v>1438</v>
      </c>
      <c r="B20" s="2508">
        <v>0</v>
      </c>
      <c r="C20" s="2509"/>
      <c r="D20" s="2497"/>
      <c r="E20" s="2508"/>
      <c r="F20" s="2508"/>
      <c r="G20" s="2508"/>
      <c r="H20" s="2508"/>
      <c r="I20" s="2508"/>
      <c r="J20" s="2508"/>
      <c r="K20" s="2508"/>
      <c r="L20" s="2508"/>
      <c r="M20" s="2510"/>
      <c r="N20" s="2508"/>
      <c r="O20" s="2508"/>
      <c r="P20" s="2508"/>
      <c r="Q20" s="2508"/>
      <c r="R20" s="2508"/>
      <c r="S20" s="2508"/>
      <c r="T20" s="2508"/>
      <c r="U20" s="2508"/>
      <c r="V20" s="2508"/>
      <c r="W20" s="2508"/>
      <c r="X20" s="2508"/>
      <c r="Y20" s="2508"/>
      <c r="Z20" s="2499">
        <f t="shared" si="0"/>
        <v>0</v>
      </c>
    </row>
    <row r="21" spans="1:26" ht="15" customHeight="1">
      <c r="A21" s="1673" t="s">
        <v>1423</v>
      </c>
      <c r="B21" s="2508">
        <v>159949</v>
      </c>
      <c r="C21" s="2509"/>
      <c r="D21" s="2497"/>
      <c r="E21" s="2508"/>
      <c r="F21" s="2508"/>
      <c r="G21" s="2508"/>
      <c r="H21" s="2508"/>
      <c r="I21" s="2508"/>
      <c r="J21" s="2508"/>
      <c r="K21" s="2508"/>
      <c r="L21" s="2508"/>
      <c r="M21" s="2510"/>
      <c r="N21" s="2508"/>
      <c r="O21" s="2508"/>
      <c r="P21" s="2508"/>
      <c r="Q21" s="2508"/>
      <c r="R21" s="2508"/>
      <c r="S21" s="2508"/>
      <c r="T21" s="2508"/>
      <c r="U21" s="2508"/>
      <c r="V21" s="2508"/>
      <c r="W21" s="2508"/>
      <c r="X21" s="2508"/>
      <c r="Y21" s="2508"/>
      <c r="Z21" s="2499">
        <f t="shared" si="0"/>
        <v>159949</v>
      </c>
    </row>
    <row r="22" spans="1:26" ht="15" customHeight="1">
      <c r="A22" s="1673" t="s">
        <v>1422</v>
      </c>
      <c r="B22" s="2508">
        <v>0</v>
      </c>
      <c r="C22" s="2509"/>
      <c r="D22" s="2497"/>
      <c r="E22" s="2508"/>
      <c r="F22" s="2508"/>
      <c r="G22" s="2508"/>
      <c r="H22" s="2508"/>
      <c r="I22" s="2508"/>
      <c r="J22" s="2508"/>
      <c r="K22" s="2508"/>
      <c r="L22" s="2508"/>
      <c r="M22" s="2510"/>
      <c r="N22" s="2508"/>
      <c r="O22" s="2508"/>
      <c r="P22" s="2508"/>
      <c r="Q22" s="2508"/>
      <c r="R22" s="2508"/>
      <c r="S22" s="2508"/>
      <c r="T22" s="2508"/>
      <c r="U22" s="2508"/>
      <c r="V22" s="2508"/>
      <c r="W22" s="2508"/>
      <c r="X22" s="2508"/>
      <c r="Y22" s="2508"/>
      <c r="Z22" s="2499">
        <f t="shared" si="0"/>
        <v>0</v>
      </c>
    </row>
    <row r="23" spans="1:26" ht="15" customHeight="1">
      <c r="A23" s="1673" t="s">
        <v>1421</v>
      </c>
      <c r="B23" s="2508">
        <v>0</v>
      </c>
      <c r="C23" s="2509"/>
      <c r="D23" s="2497"/>
      <c r="E23" s="2508"/>
      <c r="F23" s="2508"/>
      <c r="G23" s="2508"/>
      <c r="H23" s="2508"/>
      <c r="I23" s="2508"/>
      <c r="J23" s="2508"/>
      <c r="K23" s="2508"/>
      <c r="L23" s="2508"/>
      <c r="M23" s="2510"/>
      <c r="N23" s="2508"/>
      <c r="O23" s="2508"/>
      <c r="P23" s="2508"/>
      <c r="Q23" s="2508"/>
      <c r="R23" s="2508"/>
      <c r="S23" s="2508"/>
      <c r="T23" s="2508"/>
      <c r="U23" s="2508"/>
      <c r="V23" s="2508"/>
      <c r="W23" s="2508"/>
      <c r="X23" s="2508"/>
      <c r="Y23" s="2508"/>
      <c r="Z23" s="2499">
        <f t="shared" si="0"/>
        <v>0</v>
      </c>
    </row>
    <row r="24" spans="1:26" ht="15" customHeight="1">
      <c r="A24" s="1673" t="s">
        <v>1527</v>
      </c>
      <c r="B24" s="2508">
        <v>1340487</v>
      </c>
      <c r="C24" s="2509"/>
      <c r="D24" s="2497"/>
      <c r="E24" s="2508"/>
      <c r="F24" s="2508"/>
      <c r="G24" s="2508"/>
      <c r="H24" s="2508"/>
      <c r="I24" s="2508"/>
      <c r="J24" s="2508"/>
      <c r="K24" s="2508"/>
      <c r="L24" s="2508"/>
      <c r="M24" s="2510"/>
      <c r="N24" s="2508"/>
      <c r="O24" s="2508"/>
      <c r="P24" s="2508"/>
      <c r="Q24" s="2508"/>
      <c r="R24" s="2508"/>
      <c r="S24" s="2508"/>
      <c r="T24" s="2508"/>
      <c r="U24" s="2508"/>
      <c r="V24" s="2508"/>
      <c r="W24" s="2508"/>
      <c r="X24" s="2508"/>
      <c r="Y24" s="2508"/>
      <c r="Z24" s="2499">
        <f t="shared" si="0"/>
        <v>1340487</v>
      </c>
    </row>
    <row r="25" spans="1:26" ht="15" customHeight="1">
      <c r="A25" s="1673" t="s">
        <v>1420</v>
      </c>
      <c r="B25" s="2508">
        <v>0</v>
      </c>
      <c r="C25" s="2509"/>
      <c r="D25" s="2497"/>
      <c r="E25" s="2508"/>
      <c r="F25" s="2508"/>
      <c r="G25" s="2508"/>
      <c r="H25" s="2508"/>
      <c r="I25" s="2508"/>
      <c r="J25" s="2508"/>
      <c r="K25" s="2508"/>
      <c r="L25" s="2508"/>
      <c r="M25" s="2510"/>
      <c r="N25" s="2508"/>
      <c r="O25" s="2508"/>
      <c r="P25" s="2508"/>
      <c r="Q25" s="2508"/>
      <c r="R25" s="2508"/>
      <c r="S25" s="2508"/>
      <c r="T25" s="2508"/>
      <c r="U25" s="2508"/>
      <c r="V25" s="2508"/>
      <c r="W25" s="2508"/>
      <c r="X25" s="2508"/>
      <c r="Y25" s="2508"/>
      <c r="Z25" s="2499">
        <f t="shared" si="0"/>
        <v>0</v>
      </c>
    </row>
    <row r="26" spans="1:26" ht="15" customHeight="1">
      <c r="A26" s="1673" t="s">
        <v>1419</v>
      </c>
      <c r="B26" s="2508">
        <v>46099336</v>
      </c>
      <c r="C26" s="2509"/>
      <c r="D26" s="2497"/>
      <c r="E26" s="2508"/>
      <c r="F26" s="2508"/>
      <c r="G26" s="2508"/>
      <c r="H26" s="2508"/>
      <c r="I26" s="2508"/>
      <c r="J26" s="2508"/>
      <c r="K26" s="2508"/>
      <c r="L26" s="2508"/>
      <c r="M26" s="2510"/>
      <c r="N26" s="2508"/>
      <c r="O26" s="2508"/>
      <c r="P26" s="2508"/>
      <c r="Q26" s="2508"/>
      <c r="R26" s="2508"/>
      <c r="S26" s="2508"/>
      <c r="T26" s="2508"/>
      <c r="U26" s="2508"/>
      <c r="V26" s="2508"/>
      <c r="W26" s="2508"/>
      <c r="X26" s="2508"/>
      <c r="Y26" s="2508"/>
      <c r="Z26" s="2499">
        <f t="shared" si="0"/>
        <v>46099336</v>
      </c>
    </row>
    <row r="27" spans="1:26" ht="15" customHeight="1">
      <c r="A27" s="1673" t="s">
        <v>1418</v>
      </c>
      <c r="B27" s="2514">
        <v>0</v>
      </c>
      <c r="C27" s="2509"/>
      <c r="D27" s="2497"/>
      <c r="E27" s="2508"/>
      <c r="F27" s="2515"/>
      <c r="G27" s="2508"/>
      <c r="H27" s="2514"/>
      <c r="I27" s="2508"/>
      <c r="J27" s="2508"/>
      <c r="K27" s="2508"/>
      <c r="L27" s="2508"/>
      <c r="M27" s="2510"/>
      <c r="N27" s="2514"/>
      <c r="O27" s="2508"/>
      <c r="P27" s="2508"/>
      <c r="Q27" s="2508"/>
      <c r="R27" s="2513"/>
      <c r="S27" s="2508"/>
      <c r="T27" s="2515"/>
      <c r="U27" s="2508"/>
      <c r="V27" s="2515"/>
      <c r="W27" s="2508"/>
      <c r="X27" s="2513"/>
      <c r="Y27" s="2508"/>
      <c r="Z27" s="2499">
        <f t="shared" si="0"/>
        <v>0</v>
      </c>
    </row>
    <row r="28" spans="1:26" ht="15" customHeight="1">
      <c r="A28" s="1673" t="s">
        <v>1439</v>
      </c>
      <c r="B28" s="2508">
        <v>0</v>
      </c>
      <c r="C28" s="2509"/>
      <c r="D28" s="2497"/>
      <c r="E28" s="2508"/>
      <c r="F28" s="2508"/>
      <c r="G28" s="2508"/>
      <c r="H28" s="2508"/>
      <c r="I28" s="2508"/>
      <c r="J28" s="2508"/>
      <c r="K28" s="2508"/>
      <c r="L28" s="2508"/>
      <c r="M28" s="2510"/>
      <c r="N28" s="2508"/>
      <c r="O28" s="2508"/>
      <c r="P28" s="2508"/>
      <c r="Q28" s="2508"/>
      <c r="R28" s="2508"/>
      <c r="S28" s="2508"/>
      <c r="T28" s="2508"/>
      <c r="U28" s="2508"/>
      <c r="V28" s="2508"/>
      <c r="W28" s="2508"/>
      <c r="X28" s="2508"/>
      <c r="Y28" s="2508"/>
      <c r="Z28" s="2499">
        <f t="shared" si="0"/>
        <v>0</v>
      </c>
    </row>
    <row r="29" spans="1:26" ht="22.5" customHeight="1">
      <c r="A29" s="967" t="s">
        <v>162</v>
      </c>
      <c r="B29" s="3168">
        <f>ROUND(SUM(B19:B28),0)</f>
        <v>47599772</v>
      </c>
      <c r="C29" s="2509"/>
      <c r="D29" s="3168">
        <f>ROUND(SUM(D19:D28),0)</f>
        <v>0</v>
      </c>
      <c r="E29" s="2508"/>
      <c r="F29" s="3168">
        <f>ROUND(SUM(F19:F28),0)</f>
        <v>0</v>
      </c>
      <c r="G29" s="2508"/>
      <c r="H29" s="3168">
        <f>ROUND(SUM(H19:H28),0)</f>
        <v>0</v>
      </c>
      <c r="I29" s="2508"/>
      <c r="J29" s="3168">
        <f>ROUND(SUM(J19:J28),0)</f>
        <v>0</v>
      </c>
      <c r="K29" s="2508"/>
      <c r="L29" s="3168">
        <f>ROUND(SUM(L19:L28),0)</f>
        <v>0</v>
      </c>
      <c r="M29" s="2510"/>
      <c r="N29" s="3168">
        <f>ROUND(SUM(N19:N28),0)</f>
        <v>0</v>
      </c>
      <c r="O29" s="2508"/>
      <c r="P29" s="3168">
        <f>ROUND(SUM(P19:P28),0)</f>
        <v>0</v>
      </c>
      <c r="Q29" s="2508"/>
      <c r="R29" s="3168">
        <f>ROUND(SUM(R19:R28),0)</f>
        <v>0</v>
      </c>
      <c r="S29" s="2508"/>
      <c r="T29" s="3168">
        <f>ROUND(SUM(T19:T28),0)</f>
        <v>0</v>
      </c>
      <c r="U29" s="2508"/>
      <c r="V29" s="3168">
        <f>ROUND(SUM(V19:V28),0)</f>
        <v>0</v>
      </c>
      <c r="W29" s="2508"/>
      <c r="X29" s="3168">
        <f>ROUND(SUM(X19:X28),0)</f>
        <v>0</v>
      </c>
      <c r="Y29" s="2508"/>
      <c r="Z29" s="3168">
        <f>ROUND(SUM(Z19:Z28),0)</f>
        <v>47599772</v>
      </c>
    </row>
    <row r="30" spans="1:26" ht="15" customHeight="1">
      <c r="A30" s="967"/>
      <c r="B30" s="2508"/>
      <c r="C30" s="2509"/>
      <c r="D30" s="2508"/>
      <c r="E30" s="2508"/>
      <c r="F30" s="2514"/>
      <c r="G30" s="2508"/>
      <c r="H30" s="2514"/>
      <c r="I30" s="2508"/>
      <c r="J30" s="2508"/>
      <c r="K30" s="2508"/>
      <c r="L30" s="2513"/>
      <c r="M30" s="2510"/>
      <c r="N30" s="2513"/>
      <c r="O30" s="2508"/>
      <c r="P30" s="2512"/>
      <c r="Q30" s="2508"/>
      <c r="R30" s="2514"/>
      <c r="S30" s="2508"/>
      <c r="T30" s="2514"/>
      <c r="U30" s="2508"/>
      <c r="V30" s="2509"/>
      <c r="W30" s="2508"/>
      <c r="X30" s="2514"/>
      <c r="Y30" s="2508"/>
      <c r="Z30" s="2499"/>
    </row>
    <row r="31" spans="1:26" ht="15" customHeight="1">
      <c r="A31" s="968" t="s">
        <v>513</v>
      </c>
      <c r="B31" s="2514"/>
      <c r="C31" s="2516"/>
      <c r="D31" s="2514"/>
      <c r="E31" s="2508"/>
      <c r="F31" s="2513"/>
      <c r="G31" s="2508"/>
      <c r="H31" s="2514"/>
      <c r="I31" s="2508"/>
      <c r="J31" s="2514"/>
      <c r="K31" s="2508"/>
      <c r="L31" s="2514"/>
      <c r="M31" s="2510"/>
      <c r="N31" s="2514"/>
      <c r="O31" s="2508"/>
      <c r="P31" s="2512"/>
      <c r="Q31" s="2508"/>
      <c r="R31" s="2514"/>
      <c r="S31" s="2508"/>
      <c r="T31" s="2514"/>
      <c r="U31" s="2508"/>
      <c r="V31" s="2513"/>
      <c r="W31" s="2508"/>
      <c r="X31" s="2513"/>
      <c r="Y31" s="2508"/>
      <c r="Z31" s="2499"/>
    </row>
    <row r="32" spans="1:26" ht="15" customHeight="1">
      <c r="A32" s="1673" t="s">
        <v>515</v>
      </c>
      <c r="B32" s="2514">
        <v>0</v>
      </c>
      <c r="C32" s="2516"/>
      <c r="D32" s="2497"/>
      <c r="E32" s="2508"/>
      <c r="F32" s="2514"/>
      <c r="G32" s="2508"/>
      <c r="H32" s="2514"/>
      <c r="I32" s="2508"/>
      <c r="J32" s="2514"/>
      <c r="K32" s="2508"/>
      <c r="L32" s="2514"/>
      <c r="M32" s="2510"/>
      <c r="N32" s="2514"/>
      <c r="O32" s="2508"/>
      <c r="P32" s="2514"/>
      <c r="Q32" s="2508"/>
      <c r="R32" s="2514"/>
      <c r="S32" s="2508"/>
      <c r="T32" s="2500"/>
      <c r="U32" s="2508"/>
      <c r="V32" s="2500"/>
      <c r="W32" s="2508"/>
      <c r="X32" s="2514"/>
      <c r="Y32" s="2508"/>
      <c r="Z32" s="2499">
        <f>ROUND(SUM(B32:X32),0)</f>
        <v>0</v>
      </c>
    </row>
    <row r="33" spans="1:28" ht="22.5" customHeight="1">
      <c r="A33" s="961" t="s">
        <v>520</v>
      </c>
      <c r="B33" s="3167">
        <f>ROUND(SUM(B32:B32),0)</f>
        <v>0</v>
      </c>
      <c r="C33" s="2501"/>
      <c r="D33" s="3167">
        <f>ROUND(SUM(D32:D32),0)</f>
        <v>0</v>
      </c>
      <c r="E33" s="2497"/>
      <c r="F33" s="3167">
        <f>ROUND(SUM(F32:F32),0)</f>
        <v>0</v>
      </c>
      <c r="G33" s="2497"/>
      <c r="H33" s="3167">
        <f>ROUND(SUM(H32:H32),0)</f>
        <v>0</v>
      </c>
      <c r="I33" s="2497"/>
      <c r="J33" s="3167">
        <f>ROUND(SUM(J32:J32),0)</f>
        <v>0</v>
      </c>
      <c r="K33" s="2497"/>
      <c r="L33" s="3167">
        <f>ROUND(SUM(L32:L32),0)</f>
        <v>0</v>
      </c>
      <c r="M33" s="2494"/>
      <c r="N33" s="3167">
        <f>ROUND(SUM(N32:N32),0)</f>
        <v>0</v>
      </c>
      <c r="O33" s="2497"/>
      <c r="P33" s="3167">
        <f>ROUND(SUM(P32:P32),0)</f>
        <v>0</v>
      </c>
      <c r="Q33" s="2497"/>
      <c r="R33" s="3167">
        <f>ROUND(SUM(R32:R32),0)</f>
        <v>0</v>
      </c>
      <c r="S33" s="2497"/>
      <c r="T33" s="3167">
        <f>ROUND(SUM(T32:T32),0)</f>
        <v>0</v>
      </c>
      <c r="U33" s="2497"/>
      <c r="V33" s="3167">
        <f>ROUND(SUM(V32:V32),0)</f>
        <v>0</v>
      </c>
      <c r="W33" s="2497"/>
      <c r="X33" s="3167">
        <f>ROUND(SUM(X32:X32),0)</f>
        <v>0</v>
      </c>
      <c r="Y33" s="2497"/>
      <c r="Z33" s="3167">
        <f>ROUND(SUM(Z32:Z32),0)</f>
        <v>0</v>
      </c>
    </row>
    <row r="34" spans="1:28" ht="15" customHeight="1">
      <c r="B34" s="3165"/>
      <c r="C34" s="2501"/>
      <c r="D34" s="3165"/>
      <c r="E34" s="2497"/>
      <c r="F34" s="3164"/>
      <c r="G34" s="2497"/>
      <c r="H34" s="3165"/>
      <c r="I34" s="2497"/>
      <c r="J34" s="3165"/>
      <c r="K34" s="2497"/>
      <c r="L34" s="3165"/>
      <c r="M34" s="2494"/>
      <c r="N34" s="3165"/>
      <c r="O34" s="2497"/>
      <c r="P34" s="3166"/>
      <c r="Q34" s="2497"/>
      <c r="R34" s="3165"/>
      <c r="S34" s="2497"/>
      <c r="T34" s="3165"/>
      <c r="U34" s="2497"/>
      <c r="V34" s="3164"/>
      <c r="W34" s="2497"/>
      <c r="X34" s="2520"/>
      <c r="Y34" s="2497"/>
      <c r="Z34" s="3163"/>
    </row>
    <row r="35" spans="1:28" s="960" customFormat="1" ht="20.25" customHeight="1">
      <c r="A35" s="961" t="s">
        <v>521</v>
      </c>
      <c r="B35" s="2522">
        <f>ROUND(B29+B33,0)</f>
        <v>47599772</v>
      </c>
      <c r="C35" s="963"/>
      <c r="D35" s="2522">
        <f>ROUND(D29+D33,0)</f>
        <v>0</v>
      </c>
      <c r="E35" s="964"/>
      <c r="F35" s="2522">
        <f>ROUND(F29+F33,0)</f>
        <v>0</v>
      </c>
      <c r="G35" s="964"/>
      <c r="H35" s="2522">
        <f>ROUND(H29+H33,0)</f>
        <v>0</v>
      </c>
      <c r="I35" s="964"/>
      <c r="J35" s="2522">
        <f>ROUND(J29+J33,0)</f>
        <v>0</v>
      </c>
      <c r="K35" s="963"/>
      <c r="L35" s="2522">
        <f>ROUND(L29+L33,0)</f>
        <v>0</v>
      </c>
      <c r="M35" s="959"/>
      <c r="N35" s="2522">
        <f>ROUND(N29+N33,0)</f>
        <v>0</v>
      </c>
      <c r="O35" s="964"/>
      <c r="P35" s="2522">
        <f>ROUND(P29+P33,0)</f>
        <v>0</v>
      </c>
      <c r="Q35" s="964"/>
      <c r="R35" s="2522">
        <f>ROUND(R29+R33,0)</f>
        <v>0</v>
      </c>
      <c r="S35" s="964"/>
      <c r="T35" s="2522">
        <f>ROUND(T29+T33,0)</f>
        <v>0</v>
      </c>
      <c r="U35" s="964"/>
      <c r="V35" s="2522">
        <f>ROUND(V29+V33,0)</f>
        <v>0</v>
      </c>
      <c r="W35" s="964"/>
      <c r="X35" s="2522">
        <f>ROUND(X29+X33,0)</f>
        <v>0</v>
      </c>
      <c r="Y35" s="964"/>
      <c r="Z35" s="2522">
        <f>ROUND(Z29+Z33,0)</f>
        <v>47599772</v>
      </c>
      <c r="AB35" s="767"/>
    </row>
    <row r="36" spans="1:28" ht="15" customHeight="1">
      <c r="A36" s="2493"/>
      <c r="B36" s="2495"/>
      <c r="C36" s="2495"/>
      <c r="D36" s="2495"/>
      <c r="E36" s="2494"/>
      <c r="F36" s="2495"/>
      <c r="G36" s="2494"/>
      <c r="H36" s="2495"/>
      <c r="I36" s="2494"/>
      <c r="J36" s="3162"/>
      <c r="K36" s="2495"/>
      <c r="L36" s="3162"/>
      <c r="M36" s="2494"/>
      <c r="N36" s="3162"/>
      <c r="O36" s="2494"/>
      <c r="P36" s="3162"/>
      <c r="Q36" s="2494"/>
      <c r="R36" s="3162"/>
      <c r="S36" s="2494"/>
      <c r="T36" s="3162"/>
      <c r="U36" s="2494"/>
      <c r="V36" s="3162"/>
      <c r="W36" s="2494"/>
      <c r="X36" s="3162"/>
      <c r="Y36" s="2494"/>
      <c r="Z36" s="2524"/>
    </row>
    <row r="37" spans="1:28" s="960" customFormat="1" ht="20.25" customHeight="1" thickBot="1">
      <c r="A37" s="968" t="s">
        <v>522</v>
      </c>
      <c r="B37" s="3161">
        <f>ROUND(B12+B16-B35,0)</f>
        <v>102733518</v>
      </c>
      <c r="C37" s="957"/>
      <c r="D37" s="3161">
        <f>ROUND(D12+D16-D35,0)</f>
        <v>0</v>
      </c>
      <c r="E37" s="2492"/>
      <c r="F37" s="3161">
        <f>ROUND(F12+F16-F35,0)</f>
        <v>0</v>
      </c>
      <c r="G37" s="2492"/>
      <c r="H37" s="3161">
        <f>ROUND(H12+H16-H35,0)</f>
        <v>0</v>
      </c>
      <c r="I37" s="2492"/>
      <c r="J37" s="3161">
        <f>ROUND(J12+J16-J35,0)</f>
        <v>0</v>
      </c>
      <c r="K37" s="957"/>
      <c r="L37" s="3161">
        <f>ROUND(L12+L16-L35,0)</f>
        <v>0</v>
      </c>
      <c r="M37" s="972"/>
      <c r="N37" s="3161">
        <f>ROUND(N12+N16-N35,0)</f>
        <v>0</v>
      </c>
      <c r="O37" s="973"/>
      <c r="P37" s="3161">
        <f>ROUND(P12+P16-P35,0)</f>
        <v>0</v>
      </c>
      <c r="Q37" s="973"/>
      <c r="R37" s="3161">
        <f>ROUND(R12+R16-R35,0)</f>
        <v>0</v>
      </c>
      <c r="S37" s="973"/>
      <c r="T37" s="3161">
        <f>ROUND(T12+T16-T35,0)</f>
        <v>0</v>
      </c>
      <c r="U37" s="973"/>
      <c r="V37" s="3161">
        <f>ROUND(V12+V16-V35,0)</f>
        <v>0</v>
      </c>
      <c r="W37" s="973"/>
      <c r="X37" s="3161">
        <f>ROUND(X12+X16-X35,0)</f>
        <v>0</v>
      </c>
      <c r="Y37" s="973"/>
      <c r="Z37" s="3161">
        <f>ROUND(Z12+Z16-Z35,0)</f>
        <v>102733518</v>
      </c>
    </row>
    <row r="38" spans="1:28" ht="15" customHeight="1" thickTop="1">
      <c r="A38" s="2493"/>
      <c r="B38" s="2489"/>
      <c r="C38" s="2489"/>
      <c r="D38" s="2489"/>
      <c r="E38" s="2525"/>
      <c r="F38" s="2489"/>
      <c r="G38" s="2525"/>
      <c r="H38" s="2489"/>
      <c r="I38" s="2525"/>
      <c r="J38" s="2489"/>
      <c r="K38" s="2489"/>
      <c r="L38" s="2489"/>
      <c r="M38" s="2525"/>
      <c r="N38" s="2489"/>
      <c r="O38" s="2525"/>
      <c r="P38" s="2489"/>
      <c r="Q38" s="2525"/>
      <c r="R38" s="2489"/>
      <c r="S38" s="2525"/>
      <c r="T38" s="2489"/>
      <c r="U38" s="2525"/>
      <c r="V38" s="2489"/>
      <c r="W38" s="2525"/>
      <c r="X38" s="2489"/>
      <c r="Y38" s="2525"/>
      <c r="Z38" s="2524"/>
    </row>
    <row r="39" spans="1:28" ht="20.100000000000001" customHeight="1">
      <c r="A39" s="974"/>
      <c r="B39" s="2526"/>
      <c r="C39" s="2526"/>
      <c r="D39" s="2526"/>
      <c r="E39" s="2490"/>
      <c r="F39" s="2526"/>
      <c r="G39" s="2490"/>
      <c r="H39" s="2526"/>
      <c r="I39" s="2490"/>
      <c r="J39" s="2526"/>
      <c r="K39" s="2526"/>
      <c r="L39" s="2526"/>
      <c r="M39" s="2490"/>
      <c r="N39" s="2526"/>
      <c r="O39" s="2490"/>
      <c r="P39" s="2526"/>
      <c r="Q39" s="2490"/>
      <c r="R39" s="2526"/>
      <c r="S39" s="2490"/>
      <c r="T39" s="2526"/>
      <c r="U39" s="2490"/>
      <c r="V39" s="2526"/>
      <c r="W39" s="2490"/>
      <c r="X39" s="2526"/>
      <c r="Y39" s="2490"/>
      <c r="Z39" s="2496"/>
    </row>
    <row r="41" spans="1:28" ht="18" customHeight="1">
      <c r="A41" s="3160" t="s">
        <v>1443</v>
      </c>
      <c r="B41" s="2484"/>
      <c r="C41" s="2484"/>
      <c r="D41" s="2484"/>
      <c r="E41" s="938"/>
      <c r="F41" s="2484"/>
      <c r="G41" s="938"/>
      <c r="H41" s="2484"/>
      <c r="I41" s="938"/>
      <c r="J41" s="2484"/>
      <c r="K41" s="2484"/>
      <c r="L41" s="2484"/>
      <c r="M41" s="2490"/>
      <c r="N41" s="2484"/>
      <c r="O41" s="938"/>
      <c r="P41" s="2484"/>
      <c r="Q41" s="938"/>
      <c r="R41" s="2484"/>
      <c r="S41" s="938"/>
      <c r="T41" s="2484"/>
      <c r="U41" s="938"/>
      <c r="V41" s="2484"/>
      <c r="W41" s="938"/>
      <c r="X41" s="2484"/>
      <c r="Y41" s="938"/>
      <c r="Z41" s="2485"/>
    </row>
    <row r="42" spans="1:28" ht="20.100000000000001" customHeight="1">
      <c r="A42" s="3159" t="s">
        <v>1497</v>
      </c>
      <c r="B42" s="2526"/>
      <c r="C42" s="2526"/>
      <c r="D42" s="2526"/>
      <c r="E42" s="2490"/>
      <c r="F42" s="2526"/>
      <c r="G42" s="2490"/>
      <c r="H42" s="2526"/>
      <c r="I42" s="2490"/>
      <c r="J42" s="2526"/>
      <c r="K42" s="2526"/>
      <c r="L42" s="2526"/>
      <c r="M42" s="2490"/>
      <c r="N42" s="2526"/>
      <c r="O42" s="2490"/>
      <c r="P42" s="2526"/>
      <c r="Q42" s="2490"/>
      <c r="R42" s="2526"/>
      <c r="S42" s="2490"/>
      <c r="T42" s="2526"/>
      <c r="U42" s="2490"/>
      <c r="V42" s="2526"/>
      <c r="W42" s="2490"/>
      <c r="X42" s="2526"/>
      <c r="Y42" s="2490"/>
      <c r="Z42" s="2496"/>
    </row>
    <row r="43" spans="1:28" ht="20.100000000000001" customHeight="1">
      <c r="A43" s="3159"/>
      <c r="B43" s="2526"/>
      <c r="C43" s="2526"/>
      <c r="D43" s="2526"/>
      <c r="E43" s="2490"/>
      <c r="F43" s="2526"/>
      <c r="G43" s="2490"/>
      <c r="H43" s="2526"/>
      <c r="I43" s="2490"/>
      <c r="J43" s="2526"/>
      <c r="K43" s="2526"/>
      <c r="L43" s="2526"/>
      <c r="M43" s="2490"/>
      <c r="N43" s="2526"/>
      <c r="O43" s="2490"/>
      <c r="P43" s="2526"/>
      <c r="Q43" s="2490"/>
      <c r="R43" s="2526"/>
      <c r="S43" s="2490"/>
      <c r="T43" s="2526"/>
      <c r="U43" s="2490"/>
      <c r="V43" s="2526"/>
      <c r="W43" s="2490"/>
      <c r="X43" s="2526"/>
      <c r="Y43" s="2490"/>
      <c r="Z43" s="2496"/>
    </row>
    <row r="44" spans="1:28" ht="20.100000000000001" customHeight="1">
      <c r="A44" s="3241"/>
      <c r="B44" s="937"/>
      <c r="C44" s="937"/>
      <c r="D44" s="937"/>
      <c r="E44" s="938"/>
      <c r="F44" s="937"/>
      <c r="G44" s="938"/>
      <c r="H44" s="937"/>
      <c r="I44" s="938"/>
      <c r="J44" s="937"/>
      <c r="K44" s="937"/>
      <c r="L44" s="937"/>
      <c r="M44" s="938"/>
      <c r="N44" s="937"/>
      <c r="O44" s="938"/>
      <c r="P44" s="937"/>
      <c r="Q44" s="938"/>
      <c r="R44" s="937"/>
      <c r="S44" s="938"/>
      <c r="T44" s="937"/>
      <c r="U44" s="938"/>
      <c r="V44" s="937"/>
      <c r="W44" s="938"/>
      <c r="X44" s="937"/>
      <c r="Y44" s="938"/>
      <c r="Z44" s="769"/>
    </row>
    <row r="45" spans="1:28" ht="20.100000000000001" customHeight="1">
      <c r="A45" s="935"/>
      <c r="B45" s="937"/>
      <c r="C45" s="937"/>
      <c r="D45" s="937"/>
      <c r="E45" s="938"/>
      <c r="F45" s="937"/>
      <c r="G45" s="938"/>
      <c r="H45" s="937"/>
      <c r="I45" s="938"/>
      <c r="J45" s="937"/>
      <c r="K45" s="937"/>
      <c r="L45" s="937"/>
      <c r="M45" s="938"/>
      <c r="N45" s="937"/>
      <c r="O45" s="938"/>
      <c r="P45" s="937"/>
      <c r="Q45" s="938"/>
      <c r="R45" s="937"/>
      <c r="S45" s="938"/>
      <c r="T45" s="937"/>
      <c r="U45" s="938"/>
      <c r="V45" s="937"/>
      <c r="W45" s="938"/>
      <c r="X45" s="937"/>
      <c r="Y45" s="938"/>
      <c r="Z45" s="769"/>
    </row>
    <row r="46" spans="1:28" ht="20.100000000000001" customHeight="1">
      <c r="A46" s="935"/>
      <c r="B46" s="937"/>
      <c r="C46" s="937"/>
      <c r="D46" s="937"/>
      <c r="E46" s="938"/>
      <c r="F46" s="937"/>
      <c r="G46" s="938"/>
      <c r="H46" s="937"/>
      <c r="I46" s="938"/>
      <c r="J46" s="937"/>
      <c r="K46" s="937"/>
      <c r="L46" s="937"/>
      <c r="M46" s="938"/>
      <c r="N46" s="937"/>
      <c r="O46" s="938"/>
      <c r="P46" s="937"/>
      <c r="Q46" s="938"/>
      <c r="R46" s="937"/>
      <c r="S46" s="938"/>
      <c r="T46" s="937"/>
      <c r="U46" s="938"/>
      <c r="V46" s="937"/>
      <c r="W46" s="938"/>
      <c r="X46" s="937"/>
      <c r="Y46" s="938"/>
      <c r="Z46" s="769"/>
    </row>
    <row r="47" spans="1:28" ht="20.100000000000001" customHeight="1">
      <c r="A47" s="935"/>
      <c r="B47" s="937"/>
      <c r="C47" s="937"/>
      <c r="D47" s="937"/>
      <c r="E47" s="938"/>
      <c r="F47" s="937"/>
      <c r="G47" s="938"/>
      <c r="H47" s="937"/>
      <c r="I47" s="938"/>
      <c r="J47" s="937"/>
      <c r="K47" s="937"/>
      <c r="L47" s="937"/>
      <c r="M47" s="938"/>
      <c r="N47" s="937"/>
      <c r="O47" s="938"/>
      <c r="P47" s="937"/>
      <c r="Q47" s="938"/>
      <c r="R47" s="937"/>
      <c r="S47" s="938"/>
      <c r="T47" s="937"/>
      <c r="U47" s="938"/>
      <c r="V47" s="937"/>
      <c r="W47" s="938"/>
      <c r="X47" s="937"/>
      <c r="Y47" s="938"/>
      <c r="Z47" s="769"/>
    </row>
    <row r="48" spans="1:28" ht="20.100000000000001" customHeight="1">
      <c r="A48" s="935"/>
      <c r="B48" s="937"/>
      <c r="C48" s="937"/>
      <c r="D48" s="937"/>
      <c r="E48" s="938"/>
      <c r="F48" s="937"/>
      <c r="G48" s="938"/>
      <c r="H48" s="937"/>
      <c r="I48" s="938"/>
      <c r="J48" s="937"/>
      <c r="K48" s="937"/>
      <c r="L48" s="937"/>
      <c r="M48" s="938"/>
      <c r="N48" s="937"/>
      <c r="O48" s="938"/>
      <c r="P48" s="937"/>
      <c r="Q48" s="938"/>
      <c r="R48" s="937"/>
      <c r="S48" s="938"/>
      <c r="T48" s="937"/>
      <c r="U48" s="938"/>
      <c r="V48" s="937"/>
      <c r="W48" s="938"/>
      <c r="X48" s="937"/>
      <c r="Y48" s="938"/>
      <c r="Z48" s="769"/>
    </row>
    <row r="49" spans="1:26">
      <c r="A49" s="935"/>
      <c r="B49" s="937"/>
      <c r="C49" s="937"/>
      <c r="D49" s="937"/>
      <c r="E49" s="938"/>
      <c r="F49" s="937"/>
      <c r="G49" s="938"/>
      <c r="H49" s="937"/>
      <c r="I49" s="938"/>
      <c r="J49" s="937"/>
      <c r="K49" s="937"/>
      <c r="L49" s="937"/>
      <c r="M49" s="938"/>
      <c r="N49" s="937"/>
      <c r="O49" s="938"/>
      <c r="P49" s="937"/>
      <c r="Q49" s="938"/>
      <c r="R49" s="937"/>
      <c r="S49" s="938"/>
      <c r="T49" s="937"/>
      <c r="U49" s="938"/>
      <c r="V49" s="937"/>
      <c r="W49" s="938"/>
      <c r="X49" s="937"/>
      <c r="Y49" s="938"/>
      <c r="Z49" s="769"/>
    </row>
    <row r="50" spans="1:26">
      <c r="A50" s="935"/>
      <c r="B50" s="937"/>
      <c r="C50" s="937"/>
      <c r="D50" s="937"/>
      <c r="E50" s="938"/>
      <c r="F50" s="937"/>
      <c r="G50" s="938"/>
      <c r="H50" s="937"/>
      <c r="I50" s="938"/>
      <c r="J50" s="937"/>
      <c r="K50" s="937"/>
      <c r="L50" s="937"/>
      <c r="M50" s="938"/>
      <c r="N50" s="937"/>
      <c r="O50" s="938"/>
      <c r="P50" s="937"/>
      <c r="Q50" s="938"/>
      <c r="R50" s="937"/>
      <c r="S50" s="938"/>
      <c r="T50" s="937"/>
      <c r="U50" s="938"/>
      <c r="V50" s="937"/>
      <c r="W50" s="938"/>
      <c r="X50" s="937"/>
      <c r="Y50" s="938"/>
      <c r="Z50" s="769"/>
    </row>
    <row r="51" spans="1:26">
      <c r="A51" s="935"/>
      <c r="B51" s="937"/>
      <c r="C51" s="937"/>
      <c r="D51" s="937"/>
      <c r="E51" s="938"/>
      <c r="F51" s="937"/>
      <c r="G51" s="938"/>
      <c r="H51" s="937"/>
      <c r="I51" s="938"/>
      <c r="J51" s="937"/>
      <c r="K51" s="937"/>
      <c r="L51" s="937"/>
      <c r="M51" s="938"/>
      <c r="N51" s="937"/>
      <c r="O51" s="938"/>
      <c r="P51" s="937"/>
      <c r="Q51" s="938"/>
      <c r="R51" s="937"/>
      <c r="S51" s="938"/>
      <c r="T51" s="937"/>
      <c r="U51" s="938"/>
      <c r="V51" s="937"/>
      <c r="W51" s="938"/>
      <c r="X51" s="937"/>
      <c r="Y51" s="938"/>
      <c r="Z51" s="769"/>
    </row>
    <row r="52" spans="1:26">
      <c r="A52" s="935"/>
      <c r="B52" s="937"/>
      <c r="C52" s="937"/>
      <c r="D52" s="937"/>
      <c r="E52" s="938"/>
      <c r="F52" s="937"/>
      <c r="G52" s="938"/>
      <c r="H52" s="937"/>
      <c r="I52" s="938"/>
      <c r="J52" s="937"/>
      <c r="K52" s="937"/>
      <c r="L52" s="937"/>
      <c r="M52" s="938"/>
      <c r="N52" s="937"/>
      <c r="O52" s="938"/>
      <c r="P52" s="937"/>
      <c r="Q52" s="938"/>
      <c r="R52" s="937"/>
      <c r="S52" s="938"/>
      <c r="T52" s="937"/>
      <c r="U52" s="938"/>
      <c r="V52" s="937"/>
      <c r="W52" s="938"/>
      <c r="X52" s="937"/>
      <c r="Y52" s="938"/>
      <c r="Z52" s="769"/>
    </row>
    <row r="53" spans="1:26">
      <c r="A53" s="935"/>
      <c r="B53" s="937"/>
      <c r="C53" s="937"/>
      <c r="D53" s="937"/>
      <c r="E53" s="938"/>
      <c r="F53" s="937"/>
      <c r="G53" s="938"/>
      <c r="H53" s="937"/>
      <c r="I53" s="938"/>
      <c r="J53" s="937"/>
      <c r="K53" s="937"/>
      <c r="L53" s="937"/>
      <c r="M53" s="938"/>
      <c r="N53" s="937"/>
      <c r="O53" s="938"/>
      <c r="P53" s="937"/>
      <c r="Q53" s="938"/>
      <c r="R53" s="937"/>
      <c r="S53" s="938"/>
      <c r="T53" s="937"/>
      <c r="U53" s="938"/>
      <c r="V53" s="937"/>
      <c r="W53" s="938"/>
      <c r="X53" s="937"/>
      <c r="Y53" s="938"/>
      <c r="Z53" s="769"/>
    </row>
    <row r="54" spans="1:26">
      <c r="A54" s="935"/>
      <c r="B54" s="937"/>
      <c r="C54" s="937"/>
      <c r="D54" s="937"/>
      <c r="E54" s="938"/>
      <c r="F54" s="937"/>
      <c r="G54" s="938"/>
      <c r="H54" s="937"/>
      <c r="I54" s="938"/>
      <c r="J54" s="937"/>
      <c r="K54" s="937"/>
      <c r="L54" s="937"/>
      <c r="M54" s="938"/>
      <c r="N54" s="937"/>
      <c r="O54" s="938"/>
      <c r="P54" s="937"/>
      <c r="Q54" s="938"/>
      <c r="R54" s="937"/>
      <c r="S54" s="938"/>
      <c r="T54" s="937"/>
      <c r="U54" s="938"/>
      <c r="V54" s="937"/>
      <c r="W54" s="938"/>
      <c r="X54" s="937"/>
      <c r="Y54" s="938"/>
      <c r="Z54" s="769"/>
    </row>
    <row r="55" spans="1:26">
      <c r="A55" s="935"/>
      <c r="B55" s="937"/>
      <c r="C55" s="937"/>
      <c r="D55" s="937"/>
      <c r="E55" s="938"/>
      <c r="F55" s="937"/>
      <c r="G55" s="938"/>
      <c r="H55" s="937"/>
      <c r="I55" s="938"/>
      <c r="J55" s="937"/>
      <c r="K55" s="937"/>
      <c r="L55" s="937"/>
      <c r="M55" s="938"/>
      <c r="N55" s="937"/>
      <c r="O55" s="938"/>
      <c r="P55" s="937"/>
      <c r="Q55" s="938"/>
      <c r="R55" s="937"/>
      <c r="S55" s="938"/>
      <c r="T55" s="937"/>
      <c r="U55" s="938"/>
      <c r="V55" s="937"/>
      <c r="W55" s="938"/>
      <c r="X55" s="937"/>
      <c r="Y55" s="938"/>
      <c r="Z55" s="769"/>
    </row>
    <row r="56" spans="1:26">
      <c r="A56" s="935"/>
      <c r="B56" s="937"/>
      <c r="C56" s="937"/>
      <c r="D56" s="937"/>
      <c r="E56" s="938"/>
      <c r="F56" s="937"/>
      <c r="G56" s="938"/>
      <c r="H56" s="937"/>
      <c r="I56" s="938"/>
      <c r="J56" s="937"/>
      <c r="K56" s="937"/>
      <c r="L56" s="937"/>
      <c r="M56" s="938"/>
      <c r="N56" s="937"/>
      <c r="O56" s="938"/>
      <c r="P56" s="937"/>
      <c r="Q56" s="938"/>
      <c r="R56" s="937"/>
      <c r="S56" s="938"/>
      <c r="T56" s="937"/>
      <c r="U56" s="938"/>
      <c r="V56" s="937"/>
      <c r="W56" s="938"/>
      <c r="X56" s="937"/>
      <c r="Y56" s="938"/>
      <c r="Z56" s="769"/>
    </row>
    <row r="57" spans="1:26">
      <c r="A57" s="935"/>
      <c r="B57" s="937"/>
      <c r="C57" s="937"/>
      <c r="D57" s="937"/>
      <c r="E57" s="938"/>
      <c r="F57" s="937"/>
      <c r="G57" s="938"/>
      <c r="H57" s="937"/>
      <c r="I57" s="938"/>
      <c r="J57" s="937"/>
      <c r="K57" s="937"/>
      <c r="L57" s="937"/>
      <c r="M57" s="938"/>
      <c r="N57" s="937"/>
      <c r="O57" s="938"/>
      <c r="P57" s="937"/>
      <c r="Q57" s="938"/>
      <c r="R57" s="937"/>
      <c r="S57" s="938"/>
      <c r="T57" s="937"/>
      <c r="U57" s="938"/>
      <c r="V57" s="937"/>
      <c r="W57" s="938"/>
      <c r="X57" s="937"/>
      <c r="Y57" s="938"/>
      <c r="Z57" s="769"/>
    </row>
    <row r="58" spans="1:26">
      <c r="A58" s="935"/>
      <c r="B58" s="937"/>
      <c r="C58" s="937"/>
      <c r="D58" s="937"/>
      <c r="E58" s="938"/>
      <c r="F58" s="937"/>
      <c r="G58" s="938"/>
      <c r="H58" s="937"/>
      <c r="I58" s="938"/>
      <c r="J58" s="937"/>
      <c r="K58" s="937"/>
      <c r="L58" s="937"/>
      <c r="M58" s="938"/>
      <c r="N58" s="937"/>
      <c r="O58" s="938"/>
      <c r="P58" s="937"/>
      <c r="Q58" s="938"/>
      <c r="R58" s="937"/>
      <c r="S58" s="938"/>
      <c r="T58" s="937"/>
      <c r="U58" s="938"/>
      <c r="V58" s="937"/>
      <c r="W58" s="938"/>
      <c r="X58" s="937"/>
      <c r="Y58" s="938"/>
      <c r="Z58" s="769"/>
    </row>
    <row r="59" spans="1:26">
      <c r="A59" s="935"/>
      <c r="B59" s="937"/>
      <c r="C59" s="937"/>
      <c r="D59" s="937"/>
      <c r="E59" s="938"/>
      <c r="F59" s="937"/>
      <c r="G59" s="938"/>
      <c r="H59" s="937"/>
      <c r="I59" s="938"/>
      <c r="J59" s="937"/>
      <c r="K59" s="937"/>
      <c r="L59" s="937"/>
      <c r="M59" s="938"/>
      <c r="N59" s="937"/>
      <c r="O59" s="938"/>
      <c r="P59" s="937"/>
      <c r="Q59" s="938"/>
      <c r="R59" s="937"/>
      <c r="S59" s="938"/>
      <c r="T59" s="937"/>
      <c r="U59" s="938"/>
      <c r="V59" s="937"/>
      <c r="W59" s="938"/>
      <c r="X59" s="937"/>
      <c r="Y59" s="938"/>
      <c r="Z59" s="769"/>
    </row>
    <row r="60" spans="1:26">
      <c r="A60" s="935"/>
      <c r="B60" s="937"/>
      <c r="C60" s="937"/>
      <c r="D60" s="937"/>
      <c r="E60" s="938"/>
      <c r="F60" s="937"/>
      <c r="G60" s="938"/>
      <c r="H60" s="937"/>
      <c r="I60" s="938"/>
      <c r="J60" s="937"/>
      <c r="K60" s="937"/>
      <c r="L60" s="937"/>
      <c r="M60" s="938"/>
      <c r="N60" s="937"/>
      <c r="O60" s="938"/>
      <c r="P60" s="937"/>
      <c r="Q60" s="938"/>
      <c r="R60" s="937"/>
      <c r="S60" s="938"/>
      <c r="T60" s="937"/>
      <c r="U60" s="938"/>
      <c r="V60" s="937"/>
      <c r="W60" s="938"/>
      <c r="X60" s="937"/>
      <c r="Y60" s="938"/>
      <c r="Z60" s="769"/>
    </row>
    <row r="61" spans="1:26">
      <c r="A61" s="935"/>
      <c r="B61" s="937"/>
      <c r="C61" s="937"/>
      <c r="D61" s="937"/>
      <c r="E61" s="938"/>
      <c r="F61" s="937"/>
      <c r="G61" s="938"/>
      <c r="H61" s="937"/>
      <c r="I61" s="938"/>
      <c r="J61" s="937"/>
      <c r="K61" s="937"/>
      <c r="L61" s="937"/>
      <c r="M61" s="938"/>
      <c r="N61" s="937"/>
      <c r="O61" s="938"/>
      <c r="P61" s="937"/>
      <c r="Q61" s="938"/>
      <c r="R61" s="937"/>
      <c r="S61" s="938"/>
      <c r="T61" s="937"/>
      <c r="U61" s="938"/>
      <c r="V61" s="937"/>
      <c r="W61" s="938"/>
      <c r="X61" s="937"/>
      <c r="Y61" s="938"/>
      <c r="Z61" s="769"/>
    </row>
    <row r="62" spans="1:26">
      <c r="A62" s="935"/>
      <c r="B62" s="937"/>
      <c r="C62" s="937"/>
      <c r="D62" s="937"/>
      <c r="E62" s="938"/>
      <c r="F62" s="937"/>
      <c r="G62" s="938"/>
      <c r="H62" s="937"/>
      <c r="I62" s="938"/>
      <c r="J62" s="937"/>
      <c r="K62" s="937"/>
      <c r="L62" s="937"/>
      <c r="M62" s="938"/>
      <c r="N62" s="937"/>
      <c r="O62" s="938"/>
      <c r="P62" s="937"/>
      <c r="Q62" s="938"/>
      <c r="R62" s="937"/>
      <c r="S62" s="938"/>
      <c r="T62" s="937"/>
      <c r="U62" s="938"/>
      <c r="V62" s="937"/>
      <c r="W62" s="938"/>
      <c r="X62" s="937"/>
      <c r="Y62" s="938"/>
      <c r="Z62" s="769"/>
    </row>
    <row r="63" spans="1:26">
      <c r="A63" s="935"/>
      <c r="B63" s="937"/>
      <c r="C63" s="937"/>
      <c r="D63" s="937"/>
      <c r="E63" s="938"/>
      <c r="F63" s="937"/>
      <c r="G63" s="938"/>
      <c r="H63" s="937"/>
      <c r="I63" s="938"/>
      <c r="J63" s="937"/>
      <c r="K63" s="937"/>
      <c r="L63" s="937"/>
      <c r="M63" s="938"/>
      <c r="N63" s="937"/>
      <c r="O63" s="938"/>
      <c r="P63" s="937"/>
      <c r="Q63" s="938"/>
      <c r="R63" s="937"/>
      <c r="S63" s="938"/>
      <c r="T63" s="937"/>
      <c r="U63" s="938"/>
      <c r="V63" s="937"/>
      <c r="W63" s="938"/>
      <c r="X63" s="937"/>
      <c r="Y63" s="938"/>
      <c r="Z63" s="769"/>
    </row>
    <row r="64" spans="1:26">
      <c r="A64" s="935"/>
      <c r="B64" s="937"/>
      <c r="C64" s="937"/>
      <c r="D64" s="937"/>
      <c r="E64" s="938"/>
      <c r="F64" s="937"/>
      <c r="G64" s="938"/>
      <c r="H64" s="937"/>
      <c r="I64" s="938"/>
      <c r="J64" s="937"/>
      <c r="K64" s="937"/>
      <c r="L64" s="937"/>
      <c r="M64" s="938"/>
      <c r="N64" s="937"/>
      <c r="O64" s="938"/>
      <c r="P64" s="937"/>
      <c r="Q64" s="938"/>
      <c r="R64" s="937"/>
      <c r="S64" s="938"/>
      <c r="T64" s="937"/>
      <c r="U64" s="938"/>
      <c r="V64" s="937"/>
      <c r="W64" s="938"/>
      <c r="X64" s="937"/>
      <c r="Y64" s="938"/>
      <c r="Z64" s="769"/>
    </row>
    <row r="65" spans="1:26">
      <c r="A65" s="935"/>
      <c r="B65" s="937"/>
      <c r="C65" s="937"/>
      <c r="D65" s="937"/>
      <c r="E65" s="938"/>
      <c r="F65" s="937"/>
      <c r="G65" s="938"/>
      <c r="H65" s="937"/>
      <c r="I65" s="938"/>
      <c r="J65" s="937"/>
      <c r="K65" s="937"/>
      <c r="L65" s="937"/>
      <c r="M65" s="938"/>
      <c r="N65" s="937"/>
      <c r="O65" s="938"/>
      <c r="P65" s="937"/>
      <c r="Q65" s="938"/>
      <c r="R65" s="937"/>
      <c r="S65" s="938"/>
      <c r="T65" s="937"/>
      <c r="U65" s="938"/>
      <c r="V65" s="937"/>
      <c r="W65" s="938"/>
      <c r="X65" s="937"/>
      <c r="Y65" s="938"/>
      <c r="Z65" s="769"/>
    </row>
    <row r="66" spans="1:26">
      <c r="A66" s="935"/>
      <c r="B66" s="937"/>
      <c r="C66" s="937"/>
      <c r="D66" s="937"/>
      <c r="E66" s="938"/>
      <c r="F66" s="937"/>
      <c r="G66" s="938"/>
      <c r="H66" s="937"/>
      <c r="I66" s="938"/>
      <c r="J66" s="937"/>
      <c r="K66" s="937"/>
      <c r="L66" s="937"/>
      <c r="M66" s="938"/>
      <c r="N66" s="937"/>
      <c r="O66" s="938"/>
      <c r="P66" s="937"/>
      <c r="Q66" s="938"/>
      <c r="R66" s="937"/>
      <c r="S66" s="938"/>
      <c r="T66" s="937"/>
      <c r="U66" s="938"/>
      <c r="V66" s="937"/>
      <c r="W66" s="938"/>
      <c r="X66" s="937"/>
      <c r="Y66" s="938"/>
      <c r="Z66" s="769"/>
    </row>
    <row r="67" spans="1:26">
      <c r="A67" s="935"/>
      <c r="B67" s="937"/>
      <c r="C67" s="937"/>
      <c r="D67" s="937"/>
      <c r="E67" s="938"/>
      <c r="F67" s="937"/>
      <c r="G67" s="938"/>
      <c r="H67" s="937"/>
      <c r="I67" s="938"/>
      <c r="J67" s="937"/>
      <c r="K67" s="937"/>
      <c r="L67" s="937"/>
      <c r="M67" s="938"/>
      <c r="N67" s="937"/>
      <c r="O67" s="938"/>
      <c r="P67" s="937"/>
      <c r="Q67" s="938"/>
      <c r="R67" s="937"/>
      <c r="S67" s="938"/>
      <c r="T67" s="937"/>
      <c r="U67" s="938"/>
      <c r="V67" s="937"/>
      <c r="W67" s="938"/>
      <c r="X67" s="937"/>
      <c r="Y67" s="938"/>
      <c r="Z67" s="769"/>
    </row>
    <row r="68" spans="1:26">
      <c r="A68" s="935"/>
      <c r="B68" s="937"/>
      <c r="C68" s="937"/>
      <c r="D68" s="937"/>
      <c r="E68" s="938"/>
      <c r="F68" s="937"/>
      <c r="G68" s="938"/>
      <c r="H68" s="937"/>
      <c r="I68" s="938"/>
      <c r="J68" s="937"/>
      <c r="K68" s="937"/>
      <c r="L68" s="937"/>
      <c r="M68" s="938"/>
      <c r="N68" s="937"/>
      <c r="O68" s="938"/>
      <c r="P68" s="937"/>
      <c r="Q68" s="938"/>
      <c r="R68" s="937"/>
      <c r="S68" s="938"/>
      <c r="T68" s="937"/>
      <c r="U68" s="938"/>
      <c r="V68" s="937"/>
      <c r="W68" s="938"/>
      <c r="X68" s="937"/>
      <c r="Y68" s="938"/>
      <c r="Z68" s="769"/>
    </row>
    <row r="69" spans="1:26">
      <c r="A69" s="935"/>
      <c r="B69" s="937"/>
      <c r="C69" s="937"/>
      <c r="D69" s="937"/>
      <c r="E69" s="938"/>
      <c r="F69" s="937"/>
      <c r="G69" s="938"/>
      <c r="H69" s="937"/>
      <c r="I69" s="938"/>
      <c r="J69" s="937"/>
      <c r="K69" s="937"/>
      <c r="L69" s="937"/>
      <c r="M69" s="938"/>
      <c r="N69" s="937"/>
      <c r="O69" s="938"/>
      <c r="P69" s="937"/>
      <c r="Q69" s="938"/>
      <c r="R69" s="937"/>
      <c r="S69" s="938"/>
      <c r="T69" s="937"/>
      <c r="U69" s="938"/>
      <c r="V69" s="937"/>
      <c r="W69" s="938"/>
      <c r="X69" s="937"/>
      <c r="Y69" s="938"/>
      <c r="Z69" s="769"/>
    </row>
    <row r="70" spans="1:26">
      <c r="A70" s="935"/>
      <c r="B70" s="937"/>
      <c r="C70" s="937"/>
      <c r="D70" s="937"/>
      <c r="E70" s="938"/>
      <c r="F70" s="937"/>
      <c r="G70" s="938"/>
      <c r="H70" s="937"/>
      <c r="I70" s="938"/>
      <c r="J70" s="937"/>
      <c r="K70" s="937"/>
      <c r="L70" s="937"/>
      <c r="M70" s="938"/>
      <c r="N70" s="937"/>
      <c r="O70" s="938"/>
      <c r="P70" s="937"/>
      <c r="Q70" s="938"/>
      <c r="R70" s="937"/>
      <c r="S70" s="938"/>
      <c r="T70" s="937"/>
      <c r="U70" s="938"/>
      <c r="V70" s="937"/>
      <c r="W70" s="938"/>
      <c r="X70" s="937"/>
      <c r="Y70" s="938"/>
      <c r="Z70" s="769"/>
    </row>
    <row r="71" spans="1:26">
      <c r="A71" s="935"/>
      <c r="B71" s="937"/>
      <c r="C71" s="937"/>
      <c r="D71" s="937"/>
      <c r="E71" s="938"/>
      <c r="F71" s="937"/>
      <c r="G71" s="938"/>
      <c r="H71" s="937"/>
      <c r="I71" s="938"/>
      <c r="J71" s="937"/>
      <c r="K71" s="937"/>
      <c r="L71" s="937"/>
      <c r="M71" s="938"/>
      <c r="N71" s="937"/>
      <c r="O71" s="938"/>
      <c r="P71" s="937"/>
      <c r="Q71" s="938"/>
      <c r="R71" s="937"/>
      <c r="S71" s="938"/>
      <c r="T71" s="937"/>
      <c r="U71" s="938"/>
      <c r="V71" s="937"/>
      <c r="W71" s="938"/>
      <c r="X71" s="937"/>
      <c r="Y71" s="938"/>
      <c r="Z71" s="769"/>
    </row>
    <row r="72" spans="1:26">
      <c r="A72" s="935"/>
      <c r="B72" s="937"/>
      <c r="C72" s="937"/>
      <c r="D72" s="937"/>
      <c r="E72" s="938"/>
      <c r="F72" s="937"/>
      <c r="G72" s="938"/>
      <c r="H72" s="937"/>
      <c r="I72" s="938"/>
      <c r="J72" s="937"/>
      <c r="K72" s="937"/>
      <c r="L72" s="937"/>
      <c r="M72" s="938"/>
      <c r="N72" s="937"/>
      <c r="O72" s="938"/>
      <c r="P72" s="937"/>
      <c r="Q72" s="938"/>
      <c r="R72" s="937"/>
      <c r="S72" s="938"/>
      <c r="T72" s="937"/>
      <c r="U72" s="938"/>
      <c r="V72" s="937"/>
      <c r="W72" s="938"/>
      <c r="X72" s="937"/>
      <c r="Y72" s="938"/>
      <c r="Z72" s="769"/>
    </row>
    <row r="73" spans="1:26">
      <c r="A73" s="935"/>
      <c r="B73" s="937"/>
      <c r="C73" s="937"/>
      <c r="D73" s="937"/>
      <c r="E73" s="938"/>
      <c r="F73" s="937"/>
      <c r="G73" s="938"/>
      <c r="H73" s="937"/>
      <c r="I73" s="938"/>
      <c r="J73" s="937"/>
      <c r="K73" s="937"/>
      <c r="L73" s="937"/>
      <c r="M73" s="938"/>
      <c r="N73" s="937"/>
      <c r="O73" s="938"/>
      <c r="P73" s="937"/>
      <c r="Q73" s="938"/>
      <c r="R73" s="937"/>
      <c r="S73" s="938"/>
      <c r="T73" s="937"/>
      <c r="U73" s="938"/>
      <c r="V73" s="937"/>
      <c r="W73" s="938"/>
      <c r="X73" s="937"/>
      <c r="Y73" s="938"/>
      <c r="Z73" s="769"/>
    </row>
    <row r="74" spans="1:26">
      <c r="A74" s="935"/>
      <c r="B74" s="937"/>
      <c r="C74" s="937"/>
      <c r="D74" s="937"/>
      <c r="E74" s="938"/>
      <c r="F74" s="937"/>
      <c r="G74" s="938"/>
      <c r="H74" s="937"/>
      <c r="I74" s="938"/>
      <c r="J74" s="937"/>
      <c r="K74" s="937"/>
      <c r="L74" s="937"/>
      <c r="M74" s="938"/>
      <c r="N74" s="937"/>
      <c r="O74" s="938"/>
      <c r="P74" s="937"/>
      <c r="Q74" s="938"/>
      <c r="R74" s="937"/>
      <c r="S74" s="938"/>
      <c r="T74" s="937"/>
      <c r="U74" s="938"/>
      <c r="V74" s="937"/>
      <c r="W74" s="938"/>
      <c r="X74" s="937"/>
      <c r="Y74" s="938"/>
      <c r="Z74" s="769"/>
    </row>
    <row r="75" spans="1:26">
      <c r="A75" s="935"/>
      <c r="B75" s="937"/>
      <c r="C75" s="937"/>
      <c r="D75" s="937"/>
      <c r="E75" s="938"/>
      <c r="F75" s="937"/>
      <c r="G75" s="938"/>
      <c r="H75" s="937"/>
      <c r="I75" s="938"/>
      <c r="J75" s="937"/>
      <c r="K75" s="937"/>
      <c r="L75" s="937"/>
      <c r="M75" s="938"/>
      <c r="N75" s="937"/>
      <c r="O75" s="938"/>
      <c r="P75" s="937"/>
      <c r="Q75" s="938"/>
      <c r="R75" s="937"/>
      <c r="S75" s="938"/>
      <c r="T75" s="937"/>
      <c r="U75" s="938"/>
      <c r="V75" s="937"/>
      <c r="W75" s="938"/>
      <c r="X75" s="937"/>
      <c r="Y75" s="938"/>
      <c r="Z75" s="769"/>
    </row>
    <row r="76" spans="1:26">
      <c r="A76" s="935"/>
      <c r="B76" s="937"/>
      <c r="C76" s="937"/>
      <c r="D76" s="937"/>
      <c r="E76" s="938"/>
      <c r="F76" s="937"/>
      <c r="G76" s="938"/>
      <c r="H76" s="937"/>
      <c r="I76" s="938"/>
      <c r="J76" s="937"/>
      <c r="K76" s="937"/>
      <c r="L76" s="937"/>
      <c r="M76" s="938"/>
      <c r="N76" s="937"/>
      <c r="O76" s="938"/>
      <c r="P76" s="937"/>
      <c r="Q76" s="938"/>
      <c r="R76" s="937"/>
      <c r="S76" s="938"/>
      <c r="T76" s="937"/>
      <c r="U76" s="938"/>
      <c r="V76" s="937"/>
      <c r="W76" s="938"/>
      <c r="X76" s="937"/>
      <c r="Y76" s="938"/>
      <c r="Z76" s="769"/>
    </row>
    <row r="77" spans="1:26">
      <c r="A77" s="935"/>
      <c r="B77" s="937"/>
      <c r="C77" s="937"/>
      <c r="D77" s="937"/>
      <c r="E77" s="938"/>
      <c r="F77" s="937"/>
      <c r="G77" s="938"/>
      <c r="H77" s="937"/>
      <c r="I77" s="938"/>
      <c r="J77" s="937"/>
      <c r="K77" s="937"/>
      <c r="L77" s="937"/>
      <c r="M77" s="938"/>
      <c r="N77" s="937"/>
      <c r="O77" s="938"/>
      <c r="P77" s="937"/>
      <c r="Q77" s="938"/>
      <c r="R77" s="937"/>
      <c r="S77" s="938"/>
      <c r="T77" s="937"/>
      <c r="U77" s="938"/>
      <c r="V77" s="937"/>
      <c r="W77" s="938"/>
      <c r="X77" s="937"/>
      <c r="Y77" s="938"/>
      <c r="Z77" s="769"/>
    </row>
    <row r="78" spans="1:26">
      <c r="A78" s="935"/>
      <c r="B78" s="937"/>
      <c r="C78" s="937"/>
      <c r="D78" s="937"/>
      <c r="E78" s="938"/>
      <c r="F78" s="937"/>
      <c r="G78" s="938"/>
      <c r="H78" s="937"/>
      <c r="I78" s="938"/>
      <c r="J78" s="937"/>
      <c r="K78" s="937"/>
      <c r="L78" s="937"/>
      <c r="M78" s="938"/>
      <c r="N78" s="937"/>
      <c r="O78" s="938"/>
      <c r="P78" s="937"/>
      <c r="Q78" s="938"/>
      <c r="R78" s="937"/>
      <c r="S78" s="938"/>
      <c r="T78" s="937"/>
      <c r="U78" s="938"/>
      <c r="V78" s="937"/>
      <c r="W78" s="938"/>
      <c r="X78" s="937"/>
      <c r="Y78" s="938"/>
      <c r="Z78" s="769"/>
    </row>
    <row r="79" spans="1:26">
      <c r="A79" s="935"/>
      <c r="B79" s="937"/>
      <c r="C79" s="937"/>
      <c r="D79" s="937"/>
      <c r="E79" s="938"/>
      <c r="F79" s="937"/>
      <c r="G79" s="938"/>
      <c r="H79" s="937"/>
      <c r="I79" s="938"/>
      <c r="J79" s="937"/>
      <c r="K79" s="937"/>
      <c r="L79" s="937"/>
      <c r="M79" s="938"/>
      <c r="N79" s="937"/>
      <c r="O79" s="938"/>
      <c r="P79" s="937"/>
      <c r="Q79" s="938"/>
      <c r="R79" s="937"/>
      <c r="S79" s="938"/>
      <c r="T79" s="937"/>
      <c r="U79" s="938"/>
      <c r="V79" s="937"/>
      <c r="W79" s="938"/>
      <c r="X79" s="937"/>
      <c r="Y79" s="938"/>
      <c r="Z79" s="769"/>
    </row>
    <row r="80" spans="1:26">
      <c r="A80" s="935"/>
      <c r="B80" s="937"/>
      <c r="C80" s="937"/>
      <c r="D80" s="937"/>
      <c r="E80" s="938"/>
      <c r="F80" s="937"/>
      <c r="G80" s="938"/>
      <c r="H80" s="937"/>
      <c r="I80" s="938"/>
      <c r="J80" s="937"/>
      <c r="K80" s="937"/>
      <c r="L80" s="937"/>
      <c r="M80" s="938"/>
      <c r="N80" s="937"/>
      <c r="O80" s="938"/>
      <c r="P80" s="937"/>
      <c r="Q80" s="938"/>
      <c r="R80" s="937"/>
      <c r="S80" s="938"/>
      <c r="T80" s="937"/>
      <c r="U80" s="938"/>
      <c r="V80" s="937"/>
      <c r="W80" s="938"/>
      <c r="X80" s="937"/>
      <c r="Y80" s="938"/>
      <c r="Z80" s="769"/>
    </row>
    <row r="81" spans="1:26">
      <c r="A81" s="935"/>
      <c r="B81" s="937"/>
      <c r="C81" s="937"/>
      <c r="D81" s="937"/>
      <c r="E81" s="938"/>
      <c r="F81" s="937"/>
      <c r="G81" s="938"/>
      <c r="H81" s="937"/>
      <c r="I81" s="938"/>
      <c r="J81" s="937"/>
      <c r="K81" s="937"/>
      <c r="L81" s="937"/>
      <c r="M81" s="938"/>
      <c r="N81" s="937"/>
      <c r="O81" s="938"/>
      <c r="P81" s="937"/>
      <c r="Q81" s="938"/>
      <c r="R81" s="937"/>
      <c r="S81" s="938"/>
      <c r="T81" s="937"/>
      <c r="U81" s="938"/>
      <c r="V81" s="937"/>
      <c r="W81" s="938"/>
      <c r="X81" s="937"/>
      <c r="Y81" s="938"/>
      <c r="Z81" s="769"/>
    </row>
    <row r="82" spans="1:26">
      <c r="A82" s="935"/>
      <c r="B82" s="937"/>
      <c r="C82" s="937"/>
      <c r="D82" s="937"/>
      <c r="E82" s="938"/>
      <c r="F82" s="937"/>
      <c r="G82" s="938"/>
      <c r="H82" s="937"/>
      <c r="I82" s="938"/>
      <c r="J82" s="937"/>
      <c r="K82" s="937"/>
      <c r="L82" s="937"/>
      <c r="M82" s="938"/>
      <c r="N82" s="937"/>
      <c r="O82" s="938"/>
      <c r="P82" s="937"/>
      <c r="Q82" s="938"/>
      <c r="R82" s="937"/>
      <c r="S82" s="938"/>
      <c r="T82" s="937"/>
      <c r="U82" s="938"/>
      <c r="V82" s="937"/>
      <c r="W82" s="938"/>
      <c r="X82" s="937"/>
      <c r="Y82" s="938"/>
      <c r="Z82" s="769"/>
    </row>
    <row r="83" spans="1:26">
      <c r="A83" s="935"/>
      <c r="B83" s="937"/>
      <c r="C83" s="937"/>
      <c r="D83" s="937"/>
      <c r="E83" s="938"/>
      <c r="F83" s="937"/>
      <c r="G83" s="938"/>
      <c r="H83" s="937"/>
      <c r="I83" s="938"/>
      <c r="J83" s="937"/>
      <c r="K83" s="937"/>
      <c r="L83" s="937"/>
      <c r="M83" s="938"/>
      <c r="N83" s="937"/>
      <c r="O83" s="938"/>
      <c r="P83" s="937"/>
      <c r="Q83" s="938"/>
      <c r="R83" s="937"/>
      <c r="S83" s="938"/>
      <c r="T83" s="937"/>
      <c r="U83" s="938"/>
      <c r="V83" s="937"/>
      <c r="W83" s="938"/>
      <c r="X83" s="937"/>
      <c r="Y83" s="938"/>
      <c r="Z83" s="769"/>
    </row>
    <row r="84" spans="1:26">
      <c r="A84" s="935"/>
      <c r="B84" s="937"/>
      <c r="C84" s="937"/>
      <c r="D84" s="937"/>
      <c r="E84" s="938"/>
      <c r="F84" s="937"/>
      <c r="G84" s="938"/>
      <c r="H84" s="937"/>
      <c r="I84" s="938"/>
      <c r="J84" s="937"/>
      <c r="K84" s="937"/>
      <c r="L84" s="937"/>
      <c r="M84" s="938"/>
      <c r="N84" s="937"/>
      <c r="O84" s="938"/>
      <c r="P84" s="937"/>
      <c r="Q84" s="938"/>
      <c r="R84" s="937"/>
      <c r="S84" s="938"/>
      <c r="T84" s="937"/>
      <c r="U84" s="938"/>
      <c r="V84" s="937"/>
      <c r="W84" s="938"/>
      <c r="X84" s="937"/>
      <c r="Y84" s="938"/>
      <c r="Z84" s="769"/>
    </row>
    <row r="85" spans="1:26">
      <c r="A85" s="935"/>
      <c r="B85" s="937"/>
      <c r="C85" s="937"/>
      <c r="D85" s="937"/>
      <c r="E85" s="938"/>
      <c r="F85" s="937"/>
      <c r="G85" s="938"/>
      <c r="H85" s="937"/>
      <c r="I85" s="938"/>
      <c r="J85" s="937"/>
      <c r="K85" s="937"/>
      <c r="L85" s="937"/>
      <c r="M85" s="938"/>
      <c r="N85" s="937"/>
      <c r="O85" s="938"/>
      <c r="P85" s="937"/>
      <c r="Q85" s="938"/>
      <c r="R85" s="937"/>
      <c r="S85" s="938"/>
      <c r="T85" s="937"/>
      <c r="U85" s="938"/>
      <c r="V85" s="937"/>
      <c r="W85" s="938"/>
      <c r="X85" s="937"/>
      <c r="Y85" s="938"/>
      <c r="Z85" s="769"/>
    </row>
    <row r="86" spans="1:26">
      <c r="A86" s="935"/>
      <c r="B86" s="937"/>
      <c r="C86" s="937"/>
      <c r="D86" s="937"/>
      <c r="E86" s="938"/>
      <c r="F86" s="937"/>
      <c r="G86" s="938"/>
      <c r="H86" s="937"/>
      <c r="I86" s="938"/>
      <c r="J86" s="937"/>
      <c r="K86" s="937"/>
      <c r="L86" s="937"/>
      <c r="M86" s="938"/>
      <c r="N86" s="937"/>
      <c r="O86" s="938"/>
      <c r="P86" s="937"/>
      <c r="Q86" s="938"/>
      <c r="R86" s="937"/>
      <c r="S86" s="938"/>
      <c r="T86" s="937"/>
      <c r="U86" s="938"/>
      <c r="V86" s="937"/>
      <c r="W86" s="938"/>
      <c r="X86" s="937"/>
      <c r="Y86" s="938"/>
      <c r="Z86" s="769"/>
    </row>
  </sheetData>
  <sortState ref="A19:AN28">
    <sortCondition ref="A19:A28"/>
  </sortState>
  <pageMargins left="0.1" right="0.1" top="0.75" bottom="0.25" header="0" footer="0.25"/>
  <pageSetup scale="44" firstPageNumber="57"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T57"/>
  <sheetViews>
    <sheetView zoomScale="70" zoomScaleNormal="70" workbookViewId="0"/>
  </sheetViews>
  <sheetFormatPr defaultColWidth="8.90625" defaultRowHeight="15"/>
  <cols>
    <col min="1" max="1" width="36.81640625" style="233" customWidth="1"/>
    <col min="2" max="2" width="13.81640625" style="233" customWidth="1"/>
    <col min="3" max="3" width="1.6328125" style="233" customWidth="1"/>
    <col min="4" max="4" width="13.81640625" style="233" customWidth="1"/>
    <col min="5" max="5" width="1.54296875" style="233" customWidth="1"/>
    <col min="6" max="6" width="13.81640625" style="233" customWidth="1"/>
    <col min="7" max="7" width="1.6328125" style="233" customWidth="1"/>
    <col min="8" max="8" width="13.81640625" style="233" customWidth="1"/>
    <col min="9" max="9" width="0.81640625" style="233" customWidth="1"/>
    <col min="10" max="10" width="12.81640625" style="233" customWidth="1"/>
    <col min="11" max="11" width="1.54296875" style="233" customWidth="1"/>
    <col min="12" max="12" width="13.81640625" style="233" customWidth="1"/>
    <col min="13" max="13" width="1" style="233" customWidth="1"/>
    <col min="14" max="14" width="13.453125" style="233" customWidth="1"/>
    <col min="15" max="15" width="1.36328125" style="233" customWidth="1"/>
    <col min="16" max="16" width="13.36328125" style="233" customWidth="1"/>
    <col min="17" max="17" width="1.54296875" style="233" customWidth="1"/>
    <col min="18" max="18" width="1" style="304" customWidth="1"/>
    <col min="19" max="19" width="11.90625" style="233" customWidth="1"/>
    <col min="20" max="20" width="0.81640625" style="304" customWidth="1"/>
    <col min="21" max="21" width="10.90625" style="233" customWidth="1"/>
    <col min="22" max="22" width="0.453125" style="304" customWidth="1"/>
    <col min="23" max="16384" width="8.90625" style="233"/>
  </cols>
  <sheetData>
    <row r="1" spans="1:254">
      <c r="A1" s="1172" t="s">
        <v>1103</v>
      </c>
    </row>
    <row r="2" spans="1:254">
      <c r="A2" s="1685"/>
    </row>
    <row r="3" spans="1:254" s="226" customFormat="1" ht="18" customHeight="1">
      <c r="A3" s="221" t="s">
        <v>0</v>
      </c>
      <c r="B3" s="221"/>
      <c r="C3" s="221"/>
      <c r="D3" s="221"/>
      <c r="E3" s="221"/>
      <c r="F3" s="222"/>
      <c r="G3" s="222"/>
      <c r="H3" s="221"/>
      <c r="I3" s="221"/>
      <c r="J3" s="221"/>
      <c r="K3" s="221"/>
      <c r="L3" s="221"/>
      <c r="M3" s="221"/>
      <c r="N3" s="794"/>
      <c r="O3" s="3393"/>
      <c r="P3" s="3393"/>
      <c r="Q3" s="2561"/>
      <c r="R3" s="2561"/>
      <c r="S3" s="223"/>
      <c r="T3" s="225"/>
      <c r="U3" s="3394" t="s">
        <v>64</v>
      </c>
      <c r="V3" s="3394"/>
      <c r="W3" s="224"/>
      <c r="X3" s="224"/>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2"/>
      <c r="EY3" s="222"/>
      <c r="EZ3" s="222"/>
      <c r="FA3" s="222"/>
      <c r="FB3" s="222"/>
      <c r="FC3" s="222"/>
      <c r="FD3" s="222"/>
      <c r="FE3" s="222"/>
      <c r="FF3" s="222"/>
      <c r="FG3" s="222"/>
      <c r="FH3" s="222"/>
      <c r="FI3" s="222"/>
      <c r="FJ3" s="222"/>
      <c r="FK3" s="222"/>
      <c r="FL3" s="222"/>
      <c r="FM3" s="222"/>
      <c r="FN3" s="222"/>
      <c r="FO3" s="222"/>
      <c r="FP3" s="222"/>
      <c r="FQ3" s="222"/>
      <c r="FR3" s="222"/>
      <c r="FS3" s="222"/>
      <c r="FT3" s="222"/>
      <c r="FU3" s="222"/>
      <c r="FV3" s="222"/>
      <c r="FW3" s="222"/>
      <c r="FX3" s="222"/>
      <c r="FY3" s="222"/>
      <c r="FZ3" s="222"/>
      <c r="GA3" s="222"/>
      <c r="GB3" s="222"/>
      <c r="GC3" s="222"/>
      <c r="GD3" s="222"/>
      <c r="GE3" s="222"/>
      <c r="GF3" s="222"/>
      <c r="GG3" s="222"/>
      <c r="GH3" s="222"/>
      <c r="GI3" s="222"/>
      <c r="GJ3" s="222"/>
      <c r="GK3" s="222"/>
      <c r="GL3" s="222"/>
      <c r="GM3" s="222"/>
      <c r="GN3" s="222"/>
      <c r="GO3" s="222"/>
      <c r="GP3" s="222"/>
      <c r="GQ3" s="222"/>
      <c r="GR3" s="222"/>
      <c r="GS3" s="222"/>
      <c r="GT3" s="222"/>
      <c r="GU3" s="222"/>
      <c r="GV3" s="222"/>
      <c r="GW3" s="222"/>
      <c r="GX3" s="222"/>
      <c r="GY3" s="222"/>
      <c r="GZ3" s="222"/>
      <c r="HA3" s="222"/>
      <c r="HB3" s="222"/>
      <c r="HC3" s="222"/>
      <c r="HD3" s="222"/>
      <c r="HE3" s="222"/>
      <c r="HF3" s="222"/>
      <c r="HG3" s="222"/>
      <c r="HH3" s="222"/>
      <c r="HI3" s="222"/>
      <c r="HJ3" s="222"/>
      <c r="HK3" s="222"/>
      <c r="HL3" s="222"/>
      <c r="HM3" s="222"/>
      <c r="HN3" s="222"/>
      <c r="HO3" s="222"/>
      <c r="HP3" s="222"/>
      <c r="HQ3" s="222"/>
      <c r="HR3" s="222"/>
      <c r="HS3" s="222"/>
      <c r="HT3" s="222"/>
      <c r="HU3" s="222"/>
      <c r="HV3" s="222"/>
      <c r="HW3" s="222"/>
      <c r="HX3" s="222"/>
      <c r="HY3" s="222"/>
      <c r="HZ3" s="222"/>
      <c r="IA3" s="222"/>
      <c r="IB3" s="222"/>
      <c r="IC3" s="222"/>
      <c r="ID3" s="222"/>
      <c r="IE3" s="222"/>
      <c r="IF3" s="222"/>
      <c r="IG3" s="222"/>
      <c r="IH3" s="222"/>
      <c r="II3" s="222"/>
      <c r="IJ3" s="222"/>
      <c r="IK3" s="222"/>
      <c r="IL3" s="222"/>
      <c r="IM3" s="222"/>
      <c r="IN3" s="222"/>
      <c r="IO3" s="222"/>
      <c r="IP3" s="222"/>
      <c r="IQ3" s="222"/>
      <c r="IR3" s="222"/>
      <c r="IS3" s="222"/>
      <c r="IT3" s="222"/>
    </row>
    <row r="4" spans="1:254" s="226" customFormat="1" ht="15.6">
      <c r="A4" s="221" t="s">
        <v>363</v>
      </c>
      <c r="B4" s="221"/>
      <c r="C4" s="221"/>
      <c r="D4" s="221"/>
      <c r="E4" s="221"/>
      <c r="F4" s="222"/>
      <c r="G4" s="222"/>
      <c r="H4" s="221"/>
      <c r="I4" s="221"/>
      <c r="J4" s="221"/>
      <c r="K4" s="221"/>
      <c r="L4" s="221"/>
      <c r="M4" s="221"/>
      <c r="N4" s="221"/>
      <c r="O4" s="221"/>
      <c r="P4" s="221"/>
      <c r="Q4" s="221"/>
      <c r="R4" s="477"/>
      <c r="S4" s="223"/>
      <c r="T4" s="225"/>
      <c r="U4" s="224"/>
      <c r="V4" s="225"/>
      <c r="W4" s="224"/>
      <c r="X4" s="224"/>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222"/>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222"/>
      <c r="EQ4" s="222"/>
      <c r="ER4" s="222"/>
      <c r="ES4" s="222"/>
      <c r="ET4" s="222"/>
      <c r="EU4" s="222"/>
      <c r="EV4" s="222"/>
      <c r="EW4" s="222"/>
      <c r="EX4" s="222"/>
      <c r="EY4" s="222"/>
      <c r="EZ4" s="222"/>
      <c r="FA4" s="222"/>
      <c r="FB4" s="222"/>
      <c r="FC4" s="222"/>
      <c r="FD4" s="222"/>
      <c r="FE4" s="222"/>
      <c r="FF4" s="222"/>
      <c r="FG4" s="222"/>
      <c r="FH4" s="222"/>
      <c r="FI4" s="222"/>
      <c r="FJ4" s="222"/>
      <c r="FK4" s="222"/>
      <c r="FL4" s="222"/>
      <c r="FM4" s="222"/>
      <c r="FN4" s="222"/>
      <c r="FO4" s="222"/>
      <c r="FP4" s="222"/>
      <c r="FQ4" s="222"/>
      <c r="FR4" s="222"/>
      <c r="FS4" s="222"/>
      <c r="FT4" s="222"/>
      <c r="FU4" s="222"/>
      <c r="FV4" s="222"/>
      <c r="FW4" s="222"/>
      <c r="FX4" s="222"/>
      <c r="FY4" s="222"/>
      <c r="FZ4" s="222"/>
      <c r="GA4" s="222"/>
      <c r="GB4" s="222"/>
      <c r="GC4" s="222"/>
      <c r="GD4" s="222"/>
      <c r="GE4" s="222"/>
      <c r="GF4" s="222"/>
      <c r="GG4" s="222"/>
      <c r="GH4" s="222"/>
      <c r="GI4" s="222"/>
      <c r="GJ4" s="222"/>
      <c r="GK4" s="222"/>
      <c r="GL4" s="222"/>
      <c r="GM4" s="222"/>
      <c r="GN4" s="222"/>
      <c r="GO4" s="222"/>
      <c r="GP4" s="222"/>
      <c r="GQ4" s="222"/>
      <c r="GR4" s="222"/>
      <c r="GS4" s="222"/>
      <c r="GT4" s="222"/>
      <c r="GU4" s="222"/>
      <c r="GV4" s="222"/>
      <c r="GW4" s="222"/>
      <c r="GX4" s="222"/>
      <c r="GY4" s="222"/>
      <c r="GZ4" s="222"/>
      <c r="HA4" s="222"/>
      <c r="HB4" s="222"/>
      <c r="HC4" s="222"/>
      <c r="HD4" s="222"/>
      <c r="HE4" s="222"/>
      <c r="HF4" s="222"/>
      <c r="HG4" s="222"/>
      <c r="HH4" s="222"/>
      <c r="HI4" s="222"/>
      <c r="HJ4" s="222"/>
      <c r="HK4" s="222"/>
      <c r="HL4" s="222"/>
      <c r="HM4" s="222"/>
      <c r="HN4" s="222"/>
      <c r="HO4" s="222"/>
      <c r="HP4" s="222"/>
      <c r="HQ4" s="222"/>
      <c r="HR4" s="222"/>
      <c r="HS4" s="222"/>
      <c r="HT4" s="222"/>
      <c r="HU4" s="222"/>
      <c r="HV4" s="222"/>
      <c r="HW4" s="222"/>
      <c r="HX4" s="222"/>
      <c r="HY4" s="222"/>
      <c r="HZ4" s="222"/>
      <c r="IA4" s="222"/>
      <c r="IB4" s="222"/>
      <c r="IC4" s="222"/>
      <c r="ID4" s="222"/>
      <c r="IE4" s="222"/>
      <c r="IF4" s="222"/>
      <c r="IG4" s="222"/>
      <c r="IH4" s="222"/>
      <c r="II4" s="222"/>
      <c r="IJ4" s="222"/>
      <c r="IK4" s="222"/>
      <c r="IL4" s="222"/>
      <c r="IM4" s="222"/>
      <c r="IN4" s="222"/>
      <c r="IO4" s="222"/>
      <c r="IP4" s="222"/>
      <c r="IQ4" s="222"/>
      <c r="IR4" s="222"/>
      <c r="IS4" s="222"/>
      <c r="IT4" s="222"/>
    </row>
    <row r="5" spans="1:254" s="226" customFormat="1" ht="15.6">
      <c r="A5" s="2562" t="s">
        <v>996</v>
      </c>
      <c r="B5" s="221"/>
      <c r="C5" s="221"/>
      <c r="D5" s="221"/>
      <c r="E5" s="221"/>
      <c r="F5" s="222"/>
      <c r="G5" s="222"/>
      <c r="H5" s="221"/>
      <c r="I5" s="221"/>
      <c r="J5" s="221"/>
      <c r="K5" s="221"/>
      <c r="L5" s="221"/>
      <c r="M5" s="221"/>
      <c r="N5" s="221"/>
      <c r="O5" s="221"/>
      <c r="P5" s="221" t="s">
        <v>16</v>
      </c>
      <c r="Q5" s="221"/>
      <c r="R5" s="477"/>
      <c r="S5" s="223"/>
      <c r="T5" s="225"/>
      <c r="U5" s="224"/>
      <c r="V5" s="225"/>
      <c r="W5" s="224"/>
      <c r="X5" s="224"/>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c r="FP5" s="222"/>
      <c r="FQ5" s="222"/>
      <c r="FR5" s="222"/>
      <c r="FS5" s="222"/>
      <c r="FT5" s="222"/>
      <c r="FU5" s="222"/>
      <c r="FV5" s="222"/>
      <c r="FW5" s="222"/>
      <c r="FX5" s="222"/>
      <c r="FY5" s="222"/>
      <c r="FZ5" s="222"/>
      <c r="GA5" s="222"/>
      <c r="GB5" s="222"/>
      <c r="GC5" s="222"/>
      <c r="GD5" s="222"/>
      <c r="GE5" s="222"/>
      <c r="GF5" s="222"/>
      <c r="GG5" s="222"/>
      <c r="GH5" s="222"/>
      <c r="GI5" s="222"/>
      <c r="GJ5" s="222"/>
      <c r="GK5" s="222"/>
      <c r="GL5" s="222"/>
      <c r="GM5" s="222"/>
      <c r="GN5" s="222"/>
      <c r="GO5" s="222"/>
      <c r="GP5" s="222"/>
      <c r="GQ5" s="222"/>
      <c r="GR5" s="222"/>
      <c r="GS5" s="222"/>
      <c r="GT5" s="222"/>
      <c r="GU5" s="222"/>
      <c r="GV5" s="222"/>
      <c r="GW5" s="222"/>
      <c r="GX5" s="222"/>
      <c r="GY5" s="222"/>
      <c r="GZ5" s="222"/>
      <c r="HA5" s="222"/>
      <c r="HB5" s="222"/>
      <c r="HC5" s="222"/>
      <c r="HD5" s="222"/>
      <c r="HE5" s="222"/>
      <c r="HF5" s="222"/>
      <c r="HG5" s="222"/>
      <c r="HH5" s="222"/>
      <c r="HI5" s="222"/>
      <c r="HJ5" s="222"/>
      <c r="HK5" s="222"/>
      <c r="HL5" s="222"/>
      <c r="HM5" s="222"/>
      <c r="HN5" s="222"/>
      <c r="HO5" s="222"/>
      <c r="HP5" s="222"/>
      <c r="HQ5" s="222"/>
      <c r="HR5" s="222"/>
      <c r="HS5" s="222"/>
      <c r="HT5" s="222"/>
      <c r="HU5" s="222"/>
      <c r="HV5" s="222"/>
      <c r="HW5" s="222"/>
      <c r="HX5" s="222"/>
      <c r="HY5" s="222"/>
      <c r="HZ5" s="222"/>
      <c r="IA5" s="222"/>
      <c r="IB5" s="222"/>
      <c r="IC5" s="222"/>
      <c r="ID5" s="222"/>
      <c r="IE5" s="222"/>
      <c r="IF5" s="222"/>
      <c r="IG5" s="222"/>
      <c r="IH5" s="222"/>
      <c r="II5" s="222"/>
      <c r="IJ5" s="222"/>
      <c r="IK5" s="222"/>
      <c r="IL5" s="222"/>
      <c r="IM5" s="222"/>
      <c r="IN5" s="222"/>
      <c r="IO5" s="222"/>
      <c r="IP5" s="222"/>
      <c r="IQ5" s="222"/>
      <c r="IR5" s="222"/>
      <c r="IS5" s="222"/>
      <c r="IT5" s="222"/>
    </row>
    <row r="6" spans="1:254" s="226" customFormat="1" ht="15.6">
      <c r="A6" s="221" t="s">
        <v>991</v>
      </c>
      <c r="B6" s="221"/>
      <c r="C6" s="221"/>
      <c r="D6" s="221"/>
      <c r="E6" s="221"/>
      <c r="F6" s="222"/>
      <c r="G6" s="222"/>
      <c r="H6" s="221"/>
      <c r="I6" s="221"/>
      <c r="J6" s="221"/>
      <c r="K6" s="221"/>
      <c r="L6" s="221"/>
      <c r="M6" s="221"/>
      <c r="N6" s="221"/>
      <c r="O6" s="221"/>
      <c r="P6" s="221"/>
      <c r="Q6" s="221"/>
      <c r="R6" s="477"/>
      <c r="S6" s="223"/>
      <c r="T6" s="225"/>
      <c r="U6" s="224"/>
      <c r="V6" s="225"/>
      <c r="W6" s="224"/>
      <c r="X6" s="224"/>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2"/>
      <c r="DF6" s="222"/>
      <c r="DG6" s="222"/>
      <c r="DH6" s="222"/>
      <c r="DI6" s="222"/>
      <c r="DJ6" s="222"/>
      <c r="DK6" s="222"/>
      <c r="DL6" s="222"/>
      <c r="DM6" s="222"/>
      <c r="DN6" s="222"/>
      <c r="DO6" s="222"/>
      <c r="DP6" s="222"/>
      <c r="DQ6" s="222"/>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c r="FJ6" s="222"/>
      <c r="FK6" s="222"/>
      <c r="FL6" s="222"/>
      <c r="FM6" s="222"/>
      <c r="FN6" s="222"/>
      <c r="FO6" s="222"/>
      <c r="FP6" s="222"/>
      <c r="FQ6" s="222"/>
      <c r="FR6" s="222"/>
      <c r="FS6" s="222"/>
      <c r="FT6" s="222"/>
      <c r="FU6" s="222"/>
      <c r="FV6" s="222"/>
      <c r="FW6" s="222"/>
      <c r="FX6" s="222"/>
      <c r="FY6" s="222"/>
      <c r="FZ6" s="222"/>
      <c r="GA6" s="222"/>
      <c r="GB6" s="222"/>
      <c r="GC6" s="222"/>
      <c r="GD6" s="222"/>
      <c r="GE6" s="222"/>
      <c r="GF6" s="222"/>
      <c r="GG6" s="222"/>
      <c r="GH6" s="222"/>
      <c r="GI6" s="222"/>
      <c r="GJ6" s="222"/>
      <c r="GK6" s="222"/>
      <c r="GL6" s="222"/>
      <c r="GM6" s="222"/>
      <c r="GN6" s="222"/>
      <c r="GO6" s="222"/>
      <c r="GP6" s="222"/>
      <c r="GQ6" s="222"/>
      <c r="GR6" s="222"/>
      <c r="GS6" s="222"/>
      <c r="GT6" s="222"/>
      <c r="GU6" s="222"/>
      <c r="GV6" s="222"/>
      <c r="GW6" s="222"/>
      <c r="GX6" s="222"/>
      <c r="GY6" s="222"/>
      <c r="GZ6" s="222"/>
      <c r="HA6" s="222"/>
      <c r="HB6" s="222"/>
      <c r="HC6" s="222"/>
      <c r="HD6" s="222"/>
      <c r="HE6" s="222"/>
      <c r="HF6" s="222"/>
      <c r="HG6" s="222"/>
      <c r="HH6" s="222"/>
      <c r="HI6" s="222"/>
      <c r="HJ6" s="222"/>
      <c r="HK6" s="222"/>
      <c r="HL6" s="222"/>
      <c r="HM6" s="222"/>
      <c r="HN6" s="222"/>
      <c r="HO6" s="222"/>
      <c r="HP6" s="222"/>
      <c r="HQ6" s="222"/>
      <c r="HR6" s="222"/>
      <c r="HS6" s="222"/>
      <c r="HT6" s="222"/>
      <c r="HU6" s="222"/>
      <c r="HV6" s="222"/>
      <c r="HW6" s="222"/>
      <c r="HX6" s="222"/>
      <c r="HY6" s="222"/>
      <c r="HZ6" s="222"/>
      <c r="IA6" s="222"/>
      <c r="IB6" s="222"/>
      <c r="IC6" s="222"/>
      <c r="ID6" s="222"/>
      <c r="IE6" s="222"/>
      <c r="IF6" s="222"/>
      <c r="IG6" s="222"/>
      <c r="IH6" s="222"/>
      <c r="II6" s="222"/>
      <c r="IJ6" s="222"/>
      <c r="IK6" s="222"/>
      <c r="IL6" s="222"/>
      <c r="IM6" s="222"/>
      <c r="IN6" s="222"/>
      <c r="IO6" s="222"/>
      <c r="IP6" s="222"/>
      <c r="IQ6" s="222"/>
      <c r="IR6" s="222"/>
      <c r="IS6" s="222"/>
      <c r="IT6" s="222"/>
    </row>
    <row r="7" spans="1:254" s="226" customFormat="1" ht="15.6">
      <c r="A7" s="227"/>
      <c r="B7" s="221"/>
      <c r="C7" s="221"/>
      <c r="D7" s="221"/>
      <c r="E7" s="221"/>
      <c r="F7" s="222"/>
      <c r="G7" s="222"/>
      <c r="H7" s="221"/>
      <c r="I7" s="221"/>
      <c r="J7" s="221"/>
      <c r="K7" s="221"/>
      <c r="L7" s="221"/>
      <c r="M7" s="221"/>
      <c r="N7" s="221"/>
      <c r="O7" s="221"/>
      <c r="P7" s="221"/>
      <c r="Q7" s="221"/>
      <c r="R7" s="477"/>
      <c r="S7" s="223"/>
      <c r="T7" s="225"/>
      <c r="U7" s="224"/>
      <c r="V7" s="225"/>
      <c r="W7" s="224"/>
      <c r="X7" s="224"/>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c r="FV7" s="222"/>
      <c r="FW7" s="222"/>
      <c r="FX7" s="222"/>
      <c r="FY7" s="222"/>
      <c r="FZ7" s="222"/>
      <c r="GA7" s="222"/>
      <c r="GB7" s="222"/>
      <c r="GC7" s="222"/>
      <c r="GD7" s="222"/>
      <c r="GE7" s="222"/>
      <c r="GF7" s="222"/>
      <c r="GG7" s="222"/>
      <c r="GH7" s="222"/>
      <c r="GI7" s="222"/>
      <c r="GJ7" s="222"/>
      <c r="GK7" s="222"/>
      <c r="GL7" s="222"/>
      <c r="GM7" s="222"/>
      <c r="GN7" s="222"/>
      <c r="GO7" s="222"/>
      <c r="GP7" s="222"/>
      <c r="GQ7" s="222"/>
      <c r="GR7" s="222"/>
      <c r="GS7" s="222"/>
      <c r="GT7" s="222"/>
      <c r="GU7" s="222"/>
      <c r="GV7" s="222"/>
      <c r="GW7" s="222"/>
      <c r="GX7" s="222"/>
      <c r="GY7" s="222"/>
      <c r="GZ7" s="222"/>
      <c r="HA7" s="222"/>
      <c r="HB7" s="222"/>
      <c r="HC7" s="222"/>
      <c r="HD7" s="222"/>
      <c r="HE7" s="222"/>
      <c r="HF7" s="222"/>
      <c r="HG7" s="222"/>
      <c r="HH7" s="222"/>
      <c r="HI7" s="222"/>
      <c r="HJ7" s="222"/>
      <c r="HK7" s="222"/>
      <c r="HL7" s="222"/>
      <c r="HM7" s="222"/>
      <c r="HN7" s="222"/>
      <c r="HO7" s="222"/>
      <c r="HP7" s="222"/>
      <c r="HQ7" s="222"/>
      <c r="HR7" s="222"/>
      <c r="HS7" s="222"/>
      <c r="HT7" s="222"/>
      <c r="HU7" s="222"/>
      <c r="HV7" s="222"/>
      <c r="HW7" s="222"/>
      <c r="HX7" s="222"/>
      <c r="HY7" s="222"/>
      <c r="HZ7" s="222"/>
      <c r="IA7" s="222"/>
      <c r="IB7" s="222"/>
      <c r="IC7" s="222"/>
      <c r="ID7" s="222"/>
      <c r="IE7" s="222"/>
      <c r="IF7" s="222"/>
      <c r="IG7" s="222"/>
      <c r="IH7" s="222"/>
      <c r="II7" s="222"/>
      <c r="IJ7" s="222"/>
      <c r="IK7" s="222"/>
      <c r="IL7" s="222"/>
      <c r="IM7" s="222"/>
      <c r="IN7" s="222"/>
      <c r="IO7" s="222"/>
      <c r="IP7" s="222"/>
      <c r="IQ7" s="222"/>
      <c r="IR7" s="222"/>
      <c r="IS7" s="222"/>
      <c r="IT7" s="222"/>
    </row>
    <row r="8" spans="1:254" s="226" customFormat="1" ht="15.6">
      <c r="B8" s="221"/>
      <c r="C8" s="221"/>
      <c r="D8" s="221"/>
      <c r="E8" s="221"/>
      <c r="F8" s="222"/>
      <c r="G8" s="222"/>
      <c r="H8" s="221"/>
      <c r="I8" s="221"/>
      <c r="J8" s="221"/>
      <c r="K8" s="221"/>
      <c r="L8" s="221"/>
      <c r="M8" s="221"/>
      <c r="N8" s="221"/>
      <c r="O8" s="221"/>
      <c r="P8" s="221"/>
      <c r="Q8" s="221"/>
      <c r="R8" s="477"/>
      <c r="S8" s="223"/>
      <c r="T8" s="225"/>
      <c r="U8" s="224"/>
      <c r="V8" s="225"/>
      <c r="W8" s="224"/>
      <c r="X8" s="224"/>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c r="IT8" s="222"/>
    </row>
    <row r="9" spans="1:254" s="226" customFormat="1" ht="8.1" customHeight="1">
      <c r="A9" s="223"/>
      <c r="B9" s="221"/>
      <c r="C9" s="221"/>
      <c r="D9" s="221"/>
      <c r="E9" s="221"/>
      <c r="F9" s="221"/>
      <c r="G9" s="222"/>
      <c r="H9" s="221"/>
      <c r="I9" s="221"/>
      <c r="J9" s="221"/>
      <c r="K9" s="221"/>
      <c r="L9" s="221"/>
      <c r="M9" s="221"/>
      <c r="N9" s="221"/>
      <c r="O9" s="221"/>
      <c r="P9" s="221"/>
      <c r="Q9" s="221"/>
      <c r="R9" s="477"/>
      <c r="S9" s="223"/>
      <c r="T9" s="228"/>
      <c r="U9" s="223"/>
      <c r="V9" s="229"/>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2"/>
      <c r="DD9" s="222"/>
      <c r="DE9" s="222"/>
      <c r="DF9" s="222"/>
      <c r="DG9" s="222"/>
      <c r="DH9" s="222"/>
      <c r="DI9" s="222"/>
      <c r="DJ9" s="222"/>
      <c r="DK9" s="222"/>
      <c r="DL9" s="222"/>
      <c r="DM9" s="222"/>
      <c r="DN9" s="222"/>
      <c r="DO9" s="222"/>
      <c r="DP9" s="222"/>
      <c r="DQ9" s="222"/>
      <c r="DR9" s="222"/>
      <c r="DS9" s="222"/>
      <c r="DT9" s="222"/>
      <c r="DU9" s="222"/>
      <c r="DV9" s="222"/>
      <c r="DW9" s="222"/>
      <c r="DX9" s="222"/>
      <c r="DY9" s="222"/>
      <c r="DZ9" s="222"/>
      <c r="EA9" s="222"/>
      <c r="EB9" s="222"/>
      <c r="EC9" s="222"/>
      <c r="ED9" s="222"/>
      <c r="EE9" s="222"/>
      <c r="EF9" s="222"/>
      <c r="EG9" s="222"/>
      <c r="EH9" s="222"/>
      <c r="EI9" s="222"/>
      <c r="EJ9" s="222"/>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c r="FS9" s="222"/>
      <c r="FT9" s="222"/>
      <c r="FU9" s="222"/>
      <c r="FV9" s="222"/>
      <c r="FW9" s="222"/>
      <c r="FX9" s="222"/>
      <c r="FY9" s="222"/>
      <c r="FZ9" s="222"/>
      <c r="GA9" s="222"/>
      <c r="GB9" s="222"/>
      <c r="GC9" s="222"/>
      <c r="GD9" s="222"/>
      <c r="GE9" s="222"/>
      <c r="GF9" s="222"/>
      <c r="GG9" s="222"/>
      <c r="GH9" s="222"/>
      <c r="GI9" s="222"/>
      <c r="GJ9" s="222"/>
      <c r="GK9" s="222"/>
      <c r="GL9" s="222"/>
      <c r="GM9" s="222"/>
      <c r="GN9" s="222"/>
      <c r="GO9" s="222"/>
      <c r="GP9" s="222"/>
      <c r="GQ9" s="222"/>
      <c r="GR9" s="222"/>
      <c r="GS9" s="222"/>
      <c r="GT9" s="222"/>
      <c r="GU9" s="222"/>
      <c r="GV9" s="222"/>
      <c r="GW9" s="222"/>
      <c r="GX9" s="222"/>
      <c r="GY9" s="222"/>
      <c r="GZ9" s="222"/>
      <c r="HA9" s="222"/>
      <c r="HB9" s="222"/>
      <c r="HC9" s="222"/>
      <c r="HD9" s="222"/>
      <c r="HE9" s="222"/>
      <c r="HF9" s="222"/>
      <c r="HG9" s="222"/>
      <c r="HH9" s="222"/>
      <c r="HI9" s="222"/>
      <c r="HJ9" s="222"/>
      <c r="HK9" s="222"/>
      <c r="HL9" s="222"/>
      <c r="HM9" s="222"/>
      <c r="HN9" s="222"/>
      <c r="HO9" s="222"/>
      <c r="HP9" s="222"/>
      <c r="HQ9" s="222"/>
      <c r="HR9" s="222"/>
      <c r="HS9" s="222"/>
      <c r="HT9" s="222"/>
      <c r="HU9" s="222"/>
      <c r="HV9" s="222"/>
      <c r="HW9" s="222"/>
      <c r="HX9" s="222"/>
      <c r="HY9" s="222"/>
      <c r="HZ9" s="222"/>
      <c r="IA9" s="222"/>
      <c r="IB9" s="222"/>
      <c r="IC9" s="222"/>
      <c r="ID9" s="222"/>
      <c r="IE9" s="222"/>
      <c r="IF9" s="222"/>
      <c r="IG9" s="222"/>
      <c r="IH9" s="222"/>
      <c r="II9" s="222"/>
      <c r="IJ9" s="222"/>
      <c r="IK9" s="222"/>
      <c r="IL9" s="222"/>
      <c r="IM9" s="222"/>
      <c r="IN9" s="222"/>
      <c r="IO9" s="222"/>
      <c r="IP9" s="222"/>
      <c r="IQ9" s="222"/>
      <c r="IR9" s="222"/>
      <c r="IS9" s="222"/>
      <c r="IT9" s="222"/>
    </row>
    <row r="10" spans="1:254" s="226" customFormat="1" ht="15.6">
      <c r="A10" s="223"/>
      <c r="B10" s="221"/>
      <c r="C10" s="221"/>
      <c r="D10" s="221"/>
      <c r="E10" s="221"/>
      <c r="F10" s="221"/>
      <c r="G10" s="222"/>
      <c r="H10" s="221"/>
      <c r="I10" s="221"/>
      <c r="J10" s="221"/>
      <c r="K10" s="221"/>
      <c r="L10" s="221"/>
      <c r="M10" s="221"/>
      <c r="N10" s="221"/>
      <c r="O10" s="221"/>
      <c r="P10" s="221"/>
      <c r="Q10" s="221"/>
      <c r="R10" s="477"/>
      <c r="S10" s="223"/>
      <c r="T10" s="225"/>
      <c r="U10" s="224"/>
      <c r="V10" s="225"/>
      <c r="W10" s="224"/>
      <c r="X10" s="224"/>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2"/>
      <c r="DA10" s="222"/>
      <c r="DB10" s="222"/>
      <c r="DC10" s="222"/>
      <c r="DD10" s="222"/>
      <c r="DE10" s="222"/>
      <c r="DF10" s="222"/>
      <c r="DG10" s="222"/>
      <c r="DH10" s="222"/>
      <c r="DI10" s="222"/>
      <c r="DJ10" s="222"/>
      <c r="DK10" s="222"/>
      <c r="DL10" s="222"/>
      <c r="DM10" s="222"/>
      <c r="DN10" s="222"/>
      <c r="DO10" s="222"/>
      <c r="DP10" s="222"/>
      <c r="DQ10" s="222"/>
      <c r="DR10" s="222"/>
      <c r="DS10" s="222"/>
      <c r="DT10" s="222"/>
      <c r="DU10" s="222"/>
      <c r="DV10" s="222"/>
      <c r="DW10" s="222"/>
      <c r="DX10" s="222"/>
      <c r="DY10" s="222"/>
      <c r="DZ10" s="222"/>
      <c r="EA10" s="222"/>
      <c r="EB10" s="222"/>
      <c r="EC10" s="222"/>
      <c r="ED10" s="222"/>
      <c r="EE10" s="222"/>
      <c r="EF10" s="222"/>
      <c r="EG10" s="222"/>
      <c r="EH10" s="222"/>
      <c r="EI10" s="222"/>
      <c r="EJ10" s="222"/>
      <c r="EK10" s="222"/>
      <c r="EL10" s="222"/>
      <c r="EM10" s="222"/>
      <c r="EN10" s="222"/>
      <c r="EO10" s="222"/>
      <c r="EP10" s="222"/>
      <c r="EQ10" s="222"/>
      <c r="ER10" s="222"/>
      <c r="ES10" s="222"/>
      <c r="ET10" s="222"/>
      <c r="EU10" s="222"/>
      <c r="EV10" s="222"/>
      <c r="EW10" s="222"/>
      <c r="EX10" s="222"/>
      <c r="EY10" s="222"/>
      <c r="EZ10" s="222"/>
      <c r="FA10" s="222"/>
      <c r="FB10" s="222"/>
      <c r="FC10" s="222"/>
      <c r="FD10" s="222"/>
      <c r="FE10" s="222"/>
      <c r="FF10" s="222"/>
      <c r="FG10" s="222"/>
      <c r="FH10" s="222"/>
      <c r="FI10" s="222"/>
      <c r="FJ10" s="222"/>
      <c r="FK10" s="222"/>
      <c r="FL10" s="222"/>
      <c r="FM10" s="222"/>
      <c r="FN10" s="222"/>
      <c r="FO10" s="222"/>
      <c r="FP10" s="222"/>
      <c r="FQ10" s="222"/>
      <c r="FR10" s="222"/>
      <c r="FS10" s="222"/>
      <c r="FT10" s="222"/>
      <c r="FU10" s="222"/>
      <c r="FV10" s="222"/>
      <c r="FW10" s="222"/>
      <c r="FX10" s="222"/>
      <c r="FY10" s="222"/>
      <c r="FZ10" s="222"/>
      <c r="GA10" s="222"/>
      <c r="GB10" s="222"/>
      <c r="GC10" s="222"/>
      <c r="GD10" s="222"/>
      <c r="GE10" s="222"/>
      <c r="GF10" s="222"/>
      <c r="GG10" s="222"/>
      <c r="GH10" s="222"/>
      <c r="GI10" s="222"/>
      <c r="GJ10" s="222"/>
      <c r="GK10" s="222"/>
      <c r="GL10" s="222"/>
      <c r="GM10" s="222"/>
      <c r="GN10" s="222"/>
      <c r="GO10" s="222"/>
      <c r="GP10" s="222"/>
      <c r="GQ10" s="222"/>
      <c r="GR10" s="222"/>
      <c r="GS10" s="222"/>
      <c r="GT10" s="222"/>
      <c r="GU10" s="222"/>
      <c r="GV10" s="222"/>
      <c r="GW10" s="222"/>
      <c r="GX10" s="222"/>
      <c r="GY10" s="222"/>
      <c r="GZ10" s="222"/>
      <c r="HA10" s="222"/>
      <c r="HB10" s="222"/>
      <c r="HC10" s="222"/>
      <c r="HD10" s="222"/>
      <c r="HE10" s="222"/>
      <c r="HF10" s="222"/>
      <c r="HG10" s="222"/>
      <c r="HH10" s="222"/>
      <c r="HI10" s="222"/>
      <c r="HJ10" s="222"/>
      <c r="HK10" s="222"/>
      <c r="HL10" s="222"/>
      <c r="HM10" s="222"/>
      <c r="HN10" s="222"/>
      <c r="HO10" s="222"/>
      <c r="HP10" s="222"/>
      <c r="HQ10" s="222"/>
      <c r="HR10" s="222"/>
      <c r="HS10" s="222"/>
      <c r="HT10" s="222"/>
      <c r="HU10" s="222"/>
      <c r="HV10" s="222"/>
      <c r="HW10" s="222"/>
      <c r="HX10" s="222"/>
      <c r="HY10" s="222"/>
      <c r="HZ10" s="222"/>
      <c r="IA10" s="222"/>
      <c r="IB10" s="222"/>
      <c r="IC10" s="222"/>
      <c r="ID10" s="222"/>
      <c r="IE10" s="222"/>
      <c r="IF10" s="222"/>
      <c r="IG10" s="222"/>
      <c r="IH10" s="222"/>
      <c r="II10" s="222"/>
      <c r="IJ10" s="222"/>
      <c r="IK10" s="222"/>
      <c r="IL10" s="222"/>
      <c r="IM10" s="222"/>
      <c r="IN10" s="222"/>
      <c r="IO10" s="222"/>
      <c r="IP10" s="222"/>
      <c r="IQ10" s="222"/>
      <c r="IR10" s="222"/>
      <c r="IS10" s="222"/>
      <c r="IT10" s="222"/>
    </row>
    <row r="11" spans="1:254" s="226" customFormat="1" ht="15.6">
      <c r="A11" s="223"/>
      <c r="B11" s="221"/>
      <c r="C11" s="221"/>
      <c r="D11" s="221"/>
      <c r="E11" s="221"/>
      <c r="F11" s="221"/>
      <c r="G11" s="222"/>
      <c r="H11" s="221"/>
      <c r="I11" s="221"/>
      <c r="K11" s="1462"/>
      <c r="L11" s="2578"/>
      <c r="M11" s="414"/>
      <c r="N11" s="1462"/>
      <c r="O11" s="1462"/>
      <c r="P11" s="1462"/>
      <c r="Q11" s="1462"/>
      <c r="R11" s="1490"/>
      <c r="S11" s="223"/>
      <c r="T11" s="225"/>
      <c r="U11" s="224"/>
      <c r="V11" s="225"/>
      <c r="W11" s="224"/>
      <c r="X11" s="224"/>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2"/>
      <c r="DT11" s="222"/>
      <c r="DU11" s="222"/>
      <c r="DV11" s="222"/>
      <c r="DW11" s="222"/>
      <c r="DX11" s="222"/>
      <c r="DY11" s="222"/>
      <c r="DZ11" s="222"/>
      <c r="EA11" s="222"/>
      <c r="EB11" s="222"/>
      <c r="EC11" s="222"/>
      <c r="ED11" s="222"/>
      <c r="EE11" s="222"/>
      <c r="EF11" s="222"/>
      <c r="EG11" s="222"/>
      <c r="EH11" s="222"/>
      <c r="EI11" s="222"/>
      <c r="EJ11" s="222"/>
      <c r="EK11" s="222"/>
      <c r="EL11" s="222"/>
      <c r="EM11" s="222"/>
      <c r="EN11" s="222"/>
      <c r="EO11" s="222"/>
      <c r="EP11" s="222"/>
      <c r="EQ11" s="222"/>
      <c r="ER11" s="222"/>
      <c r="ES11" s="222"/>
      <c r="ET11" s="222"/>
      <c r="EU11" s="222"/>
      <c r="EV11" s="222"/>
      <c r="EW11" s="222"/>
      <c r="EX11" s="222"/>
      <c r="EY11" s="222"/>
      <c r="EZ11" s="222"/>
      <c r="FA11" s="222"/>
      <c r="FB11" s="222"/>
      <c r="FC11" s="222"/>
      <c r="FD11" s="222"/>
      <c r="FE11" s="222"/>
      <c r="FF11" s="222"/>
      <c r="FG11" s="222"/>
      <c r="FH11" s="222"/>
      <c r="FI11" s="222"/>
      <c r="FJ11" s="222"/>
      <c r="FK11" s="222"/>
      <c r="FL11" s="222"/>
      <c r="FM11" s="222"/>
      <c r="FN11" s="222"/>
      <c r="FO11" s="222"/>
      <c r="FP11" s="222"/>
      <c r="FQ11" s="222"/>
      <c r="FR11" s="222"/>
      <c r="FS11" s="222"/>
      <c r="FT11" s="222"/>
      <c r="FU11" s="222"/>
      <c r="FV11" s="222"/>
      <c r="FW11" s="222"/>
      <c r="FX11" s="222"/>
      <c r="FY11" s="222"/>
      <c r="FZ11" s="222"/>
      <c r="GA11" s="222"/>
      <c r="GB11" s="222"/>
      <c r="GC11" s="222"/>
      <c r="GD11" s="222"/>
      <c r="GE11" s="222"/>
      <c r="GF11" s="222"/>
      <c r="GG11" s="222"/>
      <c r="GH11" s="222"/>
      <c r="GI11" s="222"/>
      <c r="GJ11" s="222"/>
      <c r="GK11" s="222"/>
      <c r="GL11" s="222"/>
      <c r="GM11" s="222"/>
      <c r="GN11" s="222"/>
      <c r="GO11" s="222"/>
      <c r="GP11" s="222"/>
      <c r="GQ11" s="222"/>
      <c r="GR11" s="222"/>
      <c r="GS11" s="222"/>
      <c r="GT11" s="222"/>
      <c r="GU11" s="222"/>
      <c r="GV11" s="222"/>
      <c r="GW11" s="222"/>
      <c r="GX11" s="222"/>
      <c r="GY11" s="222"/>
      <c r="GZ11" s="222"/>
      <c r="HA11" s="222"/>
      <c r="HB11" s="222"/>
      <c r="HC11" s="222"/>
      <c r="HD11" s="222"/>
      <c r="HE11" s="222"/>
      <c r="HF11" s="222"/>
      <c r="HG11" s="222"/>
      <c r="HH11" s="222"/>
      <c r="HI11" s="222"/>
      <c r="HJ11" s="222"/>
      <c r="HK11" s="222"/>
      <c r="HL11" s="222"/>
      <c r="HM11" s="222"/>
      <c r="HN11" s="222"/>
      <c r="HO11" s="222"/>
      <c r="HP11" s="222"/>
      <c r="HQ11" s="222"/>
      <c r="HR11" s="222"/>
      <c r="HS11" s="222"/>
      <c r="HT11" s="222"/>
      <c r="HU11" s="222"/>
      <c r="HV11" s="222"/>
      <c r="HW11" s="222"/>
      <c r="HX11" s="222"/>
      <c r="HY11" s="222"/>
      <c r="HZ11" s="222"/>
      <c r="IA11" s="222"/>
      <c r="IB11" s="222"/>
      <c r="IC11" s="222"/>
      <c r="ID11" s="222"/>
      <c r="IE11" s="222"/>
      <c r="IF11" s="222"/>
      <c r="IG11" s="222"/>
      <c r="IH11" s="222"/>
      <c r="II11" s="222"/>
      <c r="IJ11" s="222"/>
      <c r="IK11" s="222"/>
      <c r="IL11" s="222"/>
      <c r="IM11" s="222"/>
      <c r="IN11" s="222"/>
      <c r="IO11" s="222"/>
      <c r="IP11" s="222"/>
      <c r="IQ11" s="222"/>
      <c r="IR11" s="222"/>
      <c r="IS11" s="222"/>
      <c r="IT11" s="222"/>
    </row>
    <row r="12" spans="1:254" ht="15.9" customHeight="1">
      <c r="A12" s="223"/>
      <c r="B12" s="1462"/>
      <c r="C12" s="1462" t="s">
        <v>65</v>
      </c>
      <c r="D12" s="1462"/>
      <c r="E12" s="221"/>
      <c r="F12" s="1462"/>
      <c r="G12" s="1462" t="s">
        <v>66</v>
      </c>
      <c r="H12" s="1462"/>
      <c r="I12" s="221"/>
      <c r="J12" s="1462"/>
      <c r="K12" s="1462"/>
      <c r="L12" s="2578"/>
      <c r="M12" s="1462" t="s">
        <v>67</v>
      </c>
      <c r="N12" s="1462"/>
      <c r="O12" s="1462"/>
      <c r="P12" s="1462"/>
      <c r="Q12" s="1462"/>
      <c r="R12" s="1490"/>
      <c r="S12" s="1917" t="s">
        <v>1234</v>
      </c>
      <c r="T12" s="1915"/>
      <c r="U12" s="1916"/>
      <c r="V12" s="231"/>
      <c r="W12" s="232"/>
      <c r="X12" s="232"/>
    </row>
    <row r="13" spans="1:254" ht="12.9" customHeight="1">
      <c r="A13" s="223"/>
      <c r="B13" s="234"/>
      <c r="C13" s="234"/>
      <c r="D13" s="234"/>
      <c r="E13" s="223"/>
      <c r="F13" s="234"/>
      <c r="G13" s="235"/>
      <c r="H13" s="234"/>
      <c r="I13" s="223"/>
      <c r="J13" s="234"/>
      <c r="K13" s="234"/>
      <c r="L13" s="234"/>
      <c r="M13" s="234"/>
      <c r="N13" s="234"/>
      <c r="O13" s="234"/>
      <c r="P13" s="234"/>
      <c r="Q13" s="228"/>
      <c r="R13" s="1943"/>
      <c r="S13" s="230"/>
      <c r="T13" s="236"/>
      <c r="U13" s="232"/>
      <c r="V13" s="236"/>
      <c r="W13" s="232"/>
      <c r="X13" s="232"/>
    </row>
    <row r="14" spans="1:254" ht="15.9" customHeight="1">
      <c r="A14" s="223"/>
      <c r="B14" s="1462" t="s">
        <v>7</v>
      </c>
      <c r="C14" s="221"/>
      <c r="D14" s="1462" t="s">
        <v>1467</v>
      </c>
      <c r="E14" s="221"/>
      <c r="F14" s="1462" t="s">
        <v>7</v>
      </c>
      <c r="G14" s="412"/>
      <c r="H14" s="1462" t="str">
        <f>D14</f>
        <v>1 MO. ENDED</v>
      </c>
      <c r="I14" s="221"/>
      <c r="J14" s="1462" t="s">
        <v>7</v>
      </c>
      <c r="K14" s="221"/>
      <c r="L14" s="1462" t="str">
        <f>D14</f>
        <v>1 MO. ENDED</v>
      </c>
      <c r="M14" s="221"/>
      <c r="N14" s="1462" t="s">
        <v>7</v>
      </c>
      <c r="O14" s="221"/>
      <c r="P14" s="1462" t="str">
        <f>H14</f>
        <v>1 MO. ENDED</v>
      </c>
      <c r="Q14" s="1462"/>
      <c r="R14" s="1946"/>
      <c r="S14" s="1480" t="s">
        <v>8</v>
      </c>
      <c r="T14" s="413"/>
      <c r="U14" s="1481" t="s">
        <v>9</v>
      </c>
      <c r="V14" s="236"/>
      <c r="W14" s="232"/>
      <c r="X14" s="232"/>
    </row>
    <row r="15" spans="1:254" ht="15.9" customHeight="1">
      <c r="A15" s="223"/>
      <c r="B15" s="1463" t="s">
        <v>1466</v>
      </c>
      <c r="C15" s="221"/>
      <c r="D15" s="1464" t="s">
        <v>1468</v>
      </c>
      <c r="E15" s="221"/>
      <c r="F15" s="1462" t="str">
        <f>B15</f>
        <v>APR. 2016</v>
      </c>
      <c r="G15" s="221"/>
      <c r="H15" s="1462" t="str">
        <f>D15</f>
        <v>APR. 30, 2016</v>
      </c>
      <c r="I15" s="221"/>
      <c r="J15" s="1462" t="str">
        <f>B15</f>
        <v>APR. 2016</v>
      </c>
      <c r="K15" s="221"/>
      <c r="L15" s="1462" t="str">
        <f>D15</f>
        <v>APR. 30, 2016</v>
      </c>
      <c r="M15" s="221"/>
      <c r="N15" s="3301" t="s">
        <v>1480</v>
      </c>
      <c r="O15" s="221"/>
      <c r="P15" s="3301" t="s">
        <v>1481</v>
      </c>
      <c r="Q15" s="1461"/>
      <c r="R15" s="1947"/>
      <c r="S15" s="1486" t="s">
        <v>13</v>
      </c>
      <c r="T15" s="412"/>
      <c r="U15" s="1487" t="s">
        <v>14</v>
      </c>
      <c r="V15" s="236"/>
      <c r="W15" s="232"/>
      <c r="X15" s="232"/>
    </row>
    <row r="16" spans="1:254" ht="12.9" customHeight="1">
      <c r="A16" s="223"/>
      <c r="B16" s="234"/>
      <c r="C16" s="223"/>
      <c r="D16" s="234" t="s">
        <v>16</v>
      </c>
      <c r="E16" s="223"/>
      <c r="F16" s="234"/>
      <c r="G16" s="223"/>
      <c r="H16" s="235" t="s">
        <v>16</v>
      </c>
      <c r="I16" s="237"/>
      <c r="J16" s="238"/>
      <c r="K16" s="223"/>
      <c r="L16" s="234"/>
      <c r="M16" s="237"/>
      <c r="N16" s="228"/>
      <c r="O16" s="223"/>
      <c r="P16" s="228"/>
      <c r="Q16" s="228"/>
      <c r="R16" s="1943"/>
      <c r="S16" s="230"/>
      <c r="T16" s="228"/>
      <c r="U16" s="232"/>
      <c r="V16" s="228"/>
      <c r="W16" s="232"/>
      <c r="X16" s="232"/>
    </row>
    <row r="17" spans="1:247" ht="15.9" customHeight="1">
      <c r="A17" s="221" t="s">
        <v>15</v>
      </c>
      <c r="B17" s="239"/>
      <c r="C17" s="239"/>
      <c r="D17" s="239"/>
      <c r="E17" s="239"/>
      <c r="F17" s="239"/>
      <c r="G17" s="239"/>
      <c r="H17" s="239"/>
      <c r="I17" s="240"/>
      <c r="J17" s="240"/>
      <c r="K17" s="239"/>
      <c r="L17" s="239"/>
      <c r="M17" s="240"/>
      <c r="N17" s="241"/>
      <c r="O17" s="239"/>
      <c r="P17" s="241"/>
      <c r="Q17" s="241"/>
      <c r="R17" s="1948"/>
      <c r="S17" s="230"/>
      <c r="T17" s="241"/>
      <c r="U17" s="232"/>
      <c r="V17" s="241"/>
      <c r="W17" s="232"/>
      <c r="X17" s="232"/>
    </row>
    <row r="18" spans="1:247" ht="15.9" customHeight="1">
      <c r="A18" s="223" t="s">
        <v>21</v>
      </c>
      <c r="B18" s="1238">
        <f>'Exhibit J'!C19</f>
        <v>4.0999999999999996</v>
      </c>
      <c r="C18" s="1238"/>
      <c r="D18" s="1926">
        <f>+'Exhibit J'!AB19</f>
        <v>4.0999999999999996</v>
      </c>
      <c r="E18" s="1238"/>
      <c r="F18" s="1926">
        <f>'Exhibit K'!B17</f>
        <v>17.5</v>
      </c>
      <c r="G18" s="1238"/>
      <c r="H18" s="1926">
        <f>+'Exhibit K'!AA17</f>
        <v>17.5</v>
      </c>
      <c r="I18" s="2353"/>
      <c r="J18" s="2353">
        <f>ROUND(SUM(B18)+SUM(F18),1)</f>
        <v>21.6</v>
      </c>
      <c r="K18" s="1238"/>
      <c r="L18" s="2652">
        <f>ROUND(SUM(D18)+SUM(H18),1)</f>
        <v>21.6</v>
      </c>
      <c r="M18" s="2353"/>
      <c r="N18" s="1986">
        <v>20.6</v>
      </c>
      <c r="O18" s="1986"/>
      <c r="P18" s="1986">
        <v>20.6</v>
      </c>
      <c r="Q18" s="1926"/>
      <c r="R18" s="2653"/>
      <c r="S18" s="1238">
        <f>ROUND(SUM(L18-P18),1)</f>
        <v>1</v>
      </c>
      <c r="T18" s="2327"/>
      <c r="U18" s="2732">
        <f>ROUND(+S18/P18,3)</f>
        <v>4.9000000000000002E-2</v>
      </c>
      <c r="V18" s="245"/>
      <c r="W18" s="246"/>
      <c r="X18" s="246"/>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4"/>
      <c r="GK18" s="244"/>
      <c r="GL18" s="244"/>
      <c r="GM18" s="244"/>
      <c r="GN18" s="244"/>
      <c r="GO18" s="244"/>
      <c r="GP18" s="244"/>
      <c r="GQ18" s="244"/>
      <c r="GR18" s="244"/>
      <c r="GS18" s="244"/>
      <c r="GT18" s="244"/>
      <c r="GU18" s="244"/>
      <c r="GV18" s="244"/>
      <c r="GW18" s="244"/>
      <c r="GX18" s="244"/>
      <c r="GY18" s="244"/>
      <c r="GZ18" s="244"/>
      <c r="HA18" s="244"/>
      <c r="HB18" s="244"/>
      <c r="HC18" s="244"/>
      <c r="HD18" s="244"/>
      <c r="HE18" s="244"/>
      <c r="HF18" s="244"/>
      <c r="HG18" s="244"/>
      <c r="HH18" s="244"/>
      <c r="HI18" s="244"/>
      <c r="HJ18" s="244"/>
      <c r="HK18" s="244"/>
      <c r="HL18" s="244"/>
      <c r="HM18" s="244"/>
      <c r="HN18" s="244"/>
      <c r="HO18" s="244"/>
      <c r="HP18" s="244"/>
      <c r="HQ18" s="244"/>
      <c r="HR18" s="244"/>
      <c r="HS18" s="244"/>
      <c r="HT18" s="244"/>
      <c r="HU18" s="244"/>
      <c r="HV18" s="244"/>
      <c r="HW18" s="244"/>
      <c r="HX18" s="244"/>
      <c r="HY18" s="244"/>
      <c r="HZ18" s="244"/>
      <c r="IA18" s="244"/>
      <c r="IB18" s="244"/>
      <c r="IC18" s="244"/>
      <c r="ID18" s="244"/>
      <c r="IE18" s="244"/>
      <c r="IF18" s="244"/>
      <c r="IG18" s="244"/>
      <c r="IH18" s="244"/>
      <c r="II18" s="244"/>
      <c r="IJ18" s="244"/>
      <c r="IK18" s="244"/>
      <c r="IL18" s="244"/>
      <c r="IM18" s="244"/>
    </row>
    <row r="19" spans="1:247" ht="15.9" customHeight="1">
      <c r="A19" s="1674" t="s">
        <v>68</v>
      </c>
      <c r="B19" s="1159">
        <f>'Exhibit J'!C20</f>
        <v>1.4</v>
      </c>
      <c r="C19" s="1159"/>
      <c r="D19" s="1860">
        <f>+'Exhibit J'!AB20</f>
        <v>1.4</v>
      </c>
      <c r="E19" s="1159"/>
      <c r="F19" s="1239">
        <v>0</v>
      </c>
      <c r="G19" s="1159"/>
      <c r="H19" s="1239">
        <v>0</v>
      </c>
      <c r="I19" s="2655"/>
      <c r="J19" s="2656">
        <f>ROUND(SUM(B19)+SUM(F19),1)</f>
        <v>1.4</v>
      </c>
      <c r="K19" s="1255"/>
      <c r="L19" s="1860">
        <f>ROUND(SUM(D19)+SUM(H19),1)</f>
        <v>1.4</v>
      </c>
      <c r="M19" s="2657"/>
      <c r="N19" s="1996">
        <v>2.5</v>
      </c>
      <c r="O19" s="1996"/>
      <c r="P19" s="1996">
        <v>2.5</v>
      </c>
      <c r="Q19" s="1860"/>
      <c r="R19" s="2658"/>
      <c r="S19" s="1159">
        <f>ROUND(SUM(L19-P19),1)</f>
        <v>-1.1000000000000001</v>
      </c>
      <c r="T19" s="2659"/>
      <c r="U19" s="2974">
        <f>ROUND(+S19/P19,3)</f>
        <v>-0.44</v>
      </c>
      <c r="V19" s="253"/>
      <c r="W19" s="246"/>
      <c r="X19" s="246"/>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row>
    <row r="20" spans="1:247" ht="15.9" customHeight="1">
      <c r="A20" s="223" t="s">
        <v>69</v>
      </c>
      <c r="B20" s="1159">
        <f>'Exhibit J'!C21</f>
        <v>132</v>
      </c>
      <c r="C20" s="1159"/>
      <c r="D20" s="1860">
        <f>+'Exhibit J'!AB21</f>
        <v>132</v>
      </c>
      <c r="E20" s="1159"/>
      <c r="F20" s="1239">
        <v>0</v>
      </c>
      <c r="G20" s="1159"/>
      <c r="H20" s="1239">
        <v>0</v>
      </c>
      <c r="I20" s="2655"/>
      <c r="J20" s="2660">
        <f>ROUND(SUM(B20+F20),1)</f>
        <v>132</v>
      </c>
      <c r="K20" s="1255"/>
      <c r="L20" s="1860">
        <f>ROUND(SUM(D20)+SUM(H20),1)</f>
        <v>132</v>
      </c>
      <c r="M20" s="2657"/>
      <c r="N20" s="1996">
        <v>222.9</v>
      </c>
      <c r="O20" s="2007"/>
      <c r="P20" s="1996">
        <v>222.9</v>
      </c>
      <c r="Q20" s="1860"/>
      <c r="R20" s="2658"/>
      <c r="S20" s="1159">
        <f>ROUND(SUM(L20-P20),1)</f>
        <v>-90.9</v>
      </c>
      <c r="T20" s="2659"/>
      <c r="U20" s="2732">
        <f>ROUND(+S20/P20,3)</f>
        <v>-0.40799999999999997</v>
      </c>
      <c r="V20" s="253"/>
      <c r="W20" s="246"/>
      <c r="X20" s="246"/>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c r="IK20" s="244"/>
      <c r="IL20" s="244"/>
      <c r="IM20" s="244"/>
    </row>
    <row r="21" spans="1:247" ht="15.6">
      <c r="A21" s="221" t="s">
        <v>23</v>
      </c>
      <c r="B21" s="256">
        <f>ROUND(SUM(B18:B20),1)</f>
        <v>137.5</v>
      </c>
      <c r="C21" s="1838"/>
      <c r="D21" s="256">
        <f>ROUND(SUM(D18:D20),1)</f>
        <v>137.5</v>
      </c>
      <c r="E21" s="1838"/>
      <c r="F21" s="256">
        <f>ROUND(SUM(F18:F20),1)</f>
        <v>17.5</v>
      </c>
      <c r="G21" s="1838"/>
      <c r="H21" s="256">
        <f>ROUND(SUM(H18:H20),1)</f>
        <v>17.5</v>
      </c>
      <c r="I21" s="258"/>
      <c r="J21" s="256">
        <f>SUM(J18:J20)</f>
        <v>155</v>
      </c>
      <c r="K21" s="1838"/>
      <c r="L21" s="256">
        <f>SUM(L18:L20)</f>
        <v>155</v>
      </c>
      <c r="M21" s="259"/>
      <c r="N21" s="526">
        <f>ROUND(SUM(N18:N20),1)</f>
        <v>246</v>
      </c>
      <c r="O21" s="312"/>
      <c r="P21" s="526">
        <f>ROUND(SUM(P18:P20),1)</f>
        <v>246</v>
      </c>
      <c r="Q21" s="273"/>
      <c r="R21" s="656"/>
      <c r="S21" s="256">
        <f>ROUND(SUM(S18:S20),1)</f>
        <v>-91</v>
      </c>
      <c r="T21" s="1253"/>
      <c r="U21" s="2733">
        <f>ROUND(+S21/P21,3)</f>
        <v>-0.37</v>
      </c>
      <c r="V21" s="253"/>
      <c r="W21" s="232"/>
      <c r="X21" s="232"/>
    </row>
    <row r="22" spans="1:247" ht="15.6">
      <c r="A22" s="221"/>
      <c r="B22" s="1159"/>
      <c r="C22" s="1159"/>
      <c r="D22" s="1159"/>
      <c r="E22" s="1159"/>
      <c r="F22" s="1159"/>
      <c r="G22" s="1159"/>
      <c r="H22" s="1159"/>
      <c r="I22" s="2656"/>
      <c r="J22" s="2656"/>
      <c r="K22" s="1159"/>
      <c r="L22" s="1159"/>
      <c r="M22" s="2656"/>
      <c r="N22" s="1996"/>
      <c r="O22" s="1787"/>
      <c r="P22" s="1996"/>
      <c r="Q22" s="1860"/>
      <c r="R22" s="2658"/>
      <c r="S22" s="1834"/>
      <c r="T22" s="2661"/>
      <c r="U22" s="2734"/>
      <c r="V22" s="241"/>
      <c r="W22" s="232"/>
      <c r="X22" s="232"/>
    </row>
    <row r="23" spans="1:247" ht="15.9" customHeight="1">
      <c r="A23" s="221" t="s">
        <v>24</v>
      </c>
      <c r="B23" s="1159"/>
      <c r="C23" s="1159"/>
      <c r="D23" s="1159"/>
      <c r="E23" s="1159"/>
      <c r="F23" s="1159"/>
      <c r="G23" s="1159"/>
      <c r="H23" s="1159"/>
      <c r="I23" s="2656"/>
      <c r="J23" s="2656"/>
      <c r="K23" s="1159"/>
      <c r="L23" s="1159"/>
      <c r="M23" s="2656"/>
      <c r="N23" s="1996"/>
      <c r="O23" s="1787"/>
      <c r="P23" s="1996"/>
      <c r="Q23" s="1860"/>
      <c r="R23" s="2658"/>
      <c r="S23" s="1834"/>
      <c r="T23" s="2661"/>
      <c r="U23" s="2734"/>
      <c r="V23" s="241"/>
      <c r="W23" s="232"/>
      <c r="X23" s="232"/>
    </row>
    <row r="24" spans="1:247" ht="15.9" customHeight="1">
      <c r="A24" s="223" t="s">
        <v>37</v>
      </c>
      <c r="B24" s="1159"/>
      <c r="C24" s="1159"/>
      <c r="D24" s="1159"/>
      <c r="E24" s="1159"/>
      <c r="F24" s="1159"/>
      <c r="G24" s="1159"/>
      <c r="H24" s="1159"/>
      <c r="I24" s="2656"/>
      <c r="J24" s="2656"/>
      <c r="K24" s="1159"/>
      <c r="L24" s="1159"/>
      <c r="M24" s="2656"/>
      <c r="N24" s="1996"/>
      <c r="O24" s="1787"/>
      <c r="P24" s="1996"/>
      <c r="Q24" s="1860"/>
      <c r="R24" s="2658"/>
      <c r="S24" s="1834"/>
      <c r="T24" s="2661"/>
      <c r="U24" s="2734"/>
      <c r="V24" s="241"/>
      <c r="W24" s="232"/>
      <c r="X24" s="232"/>
    </row>
    <row r="25" spans="1:247" ht="15.9" customHeight="1">
      <c r="A25" s="223" t="s">
        <v>70</v>
      </c>
      <c r="B25" s="1159">
        <f>'Exhibit J'!C29</f>
        <v>0.4</v>
      </c>
      <c r="C25" s="1159"/>
      <c r="D25" s="1860">
        <f>+'Exhibit J'!AB29</f>
        <v>0.4</v>
      </c>
      <c r="E25" s="1159"/>
      <c r="F25" s="1159">
        <f>'Exhibit K'!B25</f>
        <v>7.4</v>
      </c>
      <c r="G25" s="1159"/>
      <c r="H25" s="1159">
        <f>+'Exhibit K'!AA25</f>
        <v>7.4</v>
      </c>
      <c r="I25" s="2656"/>
      <c r="J25" s="2656">
        <f>ROUND(SUM(B25)+SUM(F25),1)</f>
        <v>7.8</v>
      </c>
      <c r="K25" s="1159"/>
      <c r="L25" s="1860">
        <f>ROUND(SUM(D25)+SUM(H25),1)</f>
        <v>7.8</v>
      </c>
      <c r="M25" s="2656"/>
      <c r="N25" s="1996">
        <v>7.8</v>
      </c>
      <c r="O25" s="1996"/>
      <c r="P25" s="1996">
        <v>7.8</v>
      </c>
      <c r="Q25" s="1860"/>
      <c r="R25" s="2658"/>
      <c r="S25" s="1159">
        <f>ROUND(SUM(L25-P25),1)</f>
        <v>0</v>
      </c>
      <c r="T25" s="1253"/>
      <c r="U25" s="2732">
        <f>ROUND(+S25/P25,3)</f>
        <v>0</v>
      </c>
      <c r="V25" s="241"/>
      <c r="W25" s="232"/>
      <c r="X25" s="232"/>
    </row>
    <row r="26" spans="1:247" ht="15.9" customHeight="1">
      <c r="A26" s="223" t="s">
        <v>71</v>
      </c>
      <c r="B26" s="1159">
        <f>'Exhibit J'!C30</f>
        <v>2.4</v>
      </c>
      <c r="C26" s="1159"/>
      <c r="D26" s="1860">
        <f>+'Exhibit J'!AB30</f>
        <v>2.4</v>
      </c>
      <c r="E26" s="1159"/>
      <c r="F26" s="1159">
        <f>'Exhibit K'!B26</f>
        <v>79.5</v>
      </c>
      <c r="G26" s="1159"/>
      <c r="H26" s="1159">
        <f>+'Exhibit K'!AA26</f>
        <v>79.5</v>
      </c>
      <c r="I26" s="2656"/>
      <c r="J26" s="2656">
        <f>ROUND(SUM(B26)+SUM(F26),1)</f>
        <v>81.900000000000006</v>
      </c>
      <c r="K26" s="1159"/>
      <c r="L26" s="1860">
        <f>ROUND(SUM(D26)+SUM(H26),1)</f>
        <v>81.900000000000006</v>
      </c>
      <c r="M26" s="2656"/>
      <c r="N26" s="1996">
        <v>42.3</v>
      </c>
      <c r="O26" s="1996"/>
      <c r="P26" s="1996">
        <v>42.3</v>
      </c>
      <c r="Q26" s="1860"/>
      <c r="R26" s="2658"/>
      <c r="S26" s="1159">
        <f>ROUND(SUM(L26-P26),1)</f>
        <v>39.6</v>
      </c>
      <c r="T26" s="1253"/>
      <c r="U26" s="2732">
        <f>ROUND(+S26/P26,3)</f>
        <v>0.93600000000000005</v>
      </c>
      <c r="V26" s="241"/>
      <c r="W26" s="232"/>
      <c r="X26" s="232"/>
    </row>
    <row r="27" spans="1:247" ht="15.9" customHeight="1">
      <c r="A27" s="223" t="s">
        <v>72</v>
      </c>
      <c r="B27" s="1159">
        <f>'Exhibit J'!C31</f>
        <v>0.2</v>
      </c>
      <c r="C27" s="1159"/>
      <c r="D27" s="1860">
        <f>+'Exhibit J'!AB31</f>
        <v>0.2</v>
      </c>
      <c r="E27" s="1860"/>
      <c r="F27" s="1159">
        <f>'Exhibit K'!B27</f>
        <v>0</v>
      </c>
      <c r="G27" s="1159"/>
      <c r="H27" s="2662">
        <f>+'Exhibit K'!AA27</f>
        <v>0</v>
      </c>
      <c r="I27" s="1860"/>
      <c r="J27" s="2656">
        <f>ROUND(SUM(B27)+SUM(F27),1)</f>
        <v>0.2</v>
      </c>
      <c r="K27" s="1159"/>
      <c r="L27" s="1860">
        <f>ROUND(SUM(D27)+SUM(H27),1)</f>
        <v>0.2</v>
      </c>
      <c r="M27" s="2656"/>
      <c r="N27" s="3289">
        <v>1</v>
      </c>
      <c r="O27" s="2007"/>
      <c r="P27" s="1996">
        <v>1</v>
      </c>
      <c r="Q27" s="1860"/>
      <c r="R27" s="2658"/>
      <c r="S27" s="1159">
        <f>ROUND(SUM(L27-P27),1)</f>
        <v>-0.8</v>
      </c>
      <c r="T27" s="1253"/>
      <c r="U27" s="2732">
        <f>ROUND(+S27/P27,3)</f>
        <v>-0.8</v>
      </c>
      <c r="V27" s="241"/>
      <c r="W27" s="232"/>
      <c r="X27" s="232"/>
    </row>
    <row r="28" spans="1:247" ht="15.75" customHeight="1">
      <c r="A28" s="1674" t="s">
        <v>73</v>
      </c>
      <c r="B28" s="1159">
        <f>'Exhibit J'!C32</f>
        <v>177.6</v>
      </c>
      <c r="C28" s="1159"/>
      <c r="D28" s="1860">
        <f>+'Exhibit J'!AB32</f>
        <v>177.6</v>
      </c>
      <c r="E28" s="1159"/>
      <c r="F28" s="1864">
        <v>0</v>
      </c>
      <c r="G28" s="1159"/>
      <c r="H28" s="2664">
        <v>0</v>
      </c>
      <c r="I28" s="1860"/>
      <c r="J28" s="2656">
        <f>ROUND(SUM(B28)+SUM(F28),1)</f>
        <v>177.6</v>
      </c>
      <c r="K28" s="2315"/>
      <c r="L28" s="1860">
        <f>ROUND(SUM(D28)+SUM(H28),1)</f>
        <v>177.6</v>
      </c>
      <c r="M28" s="2665"/>
      <c r="N28" s="2013">
        <v>200.6</v>
      </c>
      <c r="O28" s="2003"/>
      <c r="P28" s="2013">
        <v>200.6</v>
      </c>
      <c r="Q28" s="1929"/>
      <c r="R28" s="2666"/>
      <c r="S28" s="1159">
        <f>ROUND(SUM(L28-P28),1)</f>
        <v>-23</v>
      </c>
      <c r="T28" s="1253"/>
      <c r="U28" s="2732">
        <f>ROUND(+S28/P28,3)</f>
        <v>-0.115</v>
      </c>
      <c r="V28" s="253"/>
      <c r="W28" s="232"/>
      <c r="X28" s="232"/>
    </row>
    <row r="29" spans="1:247" ht="15.6">
      <c r="A29" s="221" t="s">
        <v>60</v>
      </c>
      <c r="B29" s="256">
        <f>ROUND(SUM(B25:B28),1)</f>
        <v>180.6</v>
      </c>
      <c r="C29" s="1838"/>
      <c r="D29" s="256">
        <f>ROUND(SUM(D25:D28),1)</f>
        <v>180.6</v>
      </c>
      <c r="E29" s="1838"/>
      <c r="F29" s="256">
        <f>ROUND(SUM(F24:F28),1)</f>
        <v>86.9</v>
      </c>
      <c r="G29" s="1838"/>
      <c r="H29" s="256">
        <f>ROUND(SUM(H25:H28),1)</f>
        <v>86.9</v>
      </c>
      <c r="I29" s="258"/>
      <c r="J29" s="268">
        <f>ROUND(SUM(J25:J28),1)</f>
        <v>267.5</v>
      </c>
      <c r="K29" s="1838"/>
      <c r="L29" s="269">
        <f>ROUND(SUM(L25:L28),1)</f>
        <v>267.5</v>
      </c>
      <c r="M29" s="259"/>
      <c r="N29" s="526">
        <f>ROUND(SUM(N25:N28),1)</f>
        <v>251.7</v>
      </c>
      <c r="O29" s="312"/>
      <c r="P29" s="526">
        <f>ROUND(SUM(P25:P28),1)</f>
        <v>251.7</v>
      </c>
      <c r="Q29" s="273"/>
      <c r="R29" s="656"/>
      <c r="S29" s="256">
        <f>ROUND(SUM(S25:S28),1)</f>
        <v>15.8</v>
      </c>
      <c r="T29" s="1253"/>
      <c r="U29" s="2735">
        <f>ROUND(+S29/P29,3)</f>
        <v>6.3E-2</v>
      </c>
      <c r="V29" s="253"/>
      <c r="W29" s="232"/>
      <c r="X29" s="232"/>
    </row>
    <row r="30" spans="1:247" ht="15.6">
      <c r="A30" s="221"/>
      <c r="B30" s="1159"/>
      <c r="C30" s="1159"/>
      <c r="D30" s="1159"/>
      <c r="E30" s="1159"/>
      <c r="F30" s="1159"/>
      <c r="G30" s="1159"/>
      <c r="H30" s="1159"/>
      <c r="I30" s="2656"/>
      <c r="J30" s="2656"/>
      <c r="K30" s="1159"/>
      <c r="L30" s="1159"/>
      <c r="M30" s="2656"/>
      <c r="N30" s="1996"/>
      <c r="O30" s="1787"/>
      <c r="P30" s="1996"/>
      <c r="Q30" s="1860"/>
      <c r="R30" s="2658"/>
      <c r="S30" s="1834"/>
      <c r="T30" s="2661"/>
      <c r="U30" s="2734"/>
      <c r="V30" s="241"/>
      <c r="W30" s="232"/>
      <c r="X30" s="232"/>
    </row>
    <row r="31" spans="1:247" ht="15.9" customHeight="1">
      <c r="A31" s="221" t="s">
        <v>45</v>
      </c>
      <c r="B31" s="1159"/>
      <c r="C31" s="1159"/>
      <c r="D31" s="1159"/>
      <c r="E31" s="1159"/>
      <c r="F31" s="1159"/>
      <c r="G31" s="1159"/>
      <c r="H31" s="1159"/>
      <c r="I31" s="2656"/>
      <c r="J31" s="2656"/>
      <c r="K31" s="1159"/>
      <c r="L31" s="1159"/>
      <c r="M31" s="2656"/>
      <c r="N31" s="1996"/>
      <c r="O31" s="1787"/>
      <c r="P31" s="1996"/>
      <c r="Q31" s="1860"/>
      <c r="R31" s="2658"/>
      <c r="S31" s="1834"/>
      <c r="T31" s="2661"/>
      <c r="U31" s="2734"/>
      <c r="V31" s="241"/>
      <c r="W31" s="232"/>
      <c r="X31" s="232"/>
    </row>
    <row r="32" spans="1:247" ht="15.6">
      <c r="A32" s="221" t="s">
        <v>74</v>
      </c>
      <c r="B32" s="270">
        <f>ROUND(SUM(B21-B29),1)</f>
        <v>-43.1</v>
      </c>
      <c r="C32" s="1838"/>
      <c r="D32" s="271">
        <f>ROUND(SUM(D21-D29),1)</f>
        <v>-43.1</v>
      </c>
      <c r="E32" s="1838"/>
      <c r="F32" s="271">
        <f>ROUND(SUM(F21-F29),1)</f>
        <v>-69.400000000000006</v>
      </c>
      <c r="G32" s="1838"/>
      <c r="H32" s="271">
        <f>ROUND(SUM(H21-H29),1)</f>
        <v>-69.400000000000006</v>
      </c>
      <c r="I32" s="259"/>
      <c r="J32" s="272">
        <f>ROUND(SUM(J21-J29),1)</f>
        <v>-112.5</v>
      </c>
      <c r="K32" s="1838"/>
      <c r="L32" s="271">
        <f>ROUND(SUM(L21-L29),1)</f>
        <v>-112.5</v>
      </c>
      <c r="M32" s="259"/>
      <c r="N32" s="313">
        <f>ROUND(SUM(N21-N29),1)</f>
        <v>-5.7</v>
      </c>
      <c r="O32" s="315"/>
      <c r="P32" s="313">
        <f>ROUND(SUM(P21-P29),1)</f>
        <v>-5.7</v>
      </c>
      <c r="Q32" s="273"/>
      <c r="R32" s="656"/>
      <c r="S32" s="271">
        <f>ROUND(SUM(S21-S29),1)</f>
        <v>-106.8</v>
      </c>
      <c r="T32" s="2661"/>
      <c r="U32" s="3309">
        <f>-ROUND(+S32/P32,3)</f>
        <v>-18.736999999999998</v>
      </c>
      <c r="V32" s="241"/>
      <c r="W32" s="232"/>
      <c r="X32" s="232"/>
    </row>
    <row r="33" spans="1:247">
      <c r="A33" s="223"/>
      <c r="B33" s="1159"/>
      <c r="C33" s="1159"/>
      <c r="D33" s="1159"/>
      <c r="E33" s="1159"/>
      <c r="F33" s="1159"/>
      <c r="G33" s="1159"/>
      <c r="H33" s="1159"/>
      <c r="I33" s="2656"/>
      <c r="J33" s="2656"/>
      <c r="K33" s="1159"/>
      <c r="L33" s="1159"/>
      <c r="M33" s="2656"/>
      <c r="N33" s="1996"/>
      <c r="O33" s="1787"/>
      <c r="P33" s="1996"/>
      <c r="Q33" s="1860"/>
      <c r="R33" s="2658"/>
      <c r="S33" s="1834"/>
      <c r="T33" s="2661"/>
      <c r="U33" s="2734"/>
      <c r="V33" s="241"/>
      <c r="W33" s="232"/>
      <c r="X33" s="232"/>
    </row>
    <row r="34" spans="1:247" ht="15.9" customHeight="1">
      <c r="A34" s="221" t="s">
        <v>47</v>
      </c>
      <c r="B34" s="1159"/>
      <c r="C34" s="1159"/>
      <c r="D34" s="1159"/>
      <c r="E34" s="1159"/>
      <c r="F34" s="1159"/>
      <c r="G34" s="1159"/>
      <c r="H34" s="1159"/>
      <c r="I34" s="2656"/>
      <c r="J34" s="2656"/>
      <c r="K34" s="1159"/>
      <c r="L34" s="1159"/>
      <c r="M34" s="2656"/>
      <c r="N34" s="1996"/>
      <c r="O34" s="1787"/>
      <c r="P34" s="1996"/>
      <c r="Q34" s="1860"/>
      <c r="R34" s="2658"/>
      <c r="S34" s="1834"/>
      <c r="T34" s="2661"/>
      <c r="U34" s="2734"/>
      <c r="V34" s="241"/>
      <c r="W34" s="232"/>
      <c r="X34" s="232"/>
    </row>
    <row r="35" spans="1:247" ht="15.9" customHeight="1">
      <c r="A35" s="223" t="s">
        <v>49</v>
      </c>
      <c r="B35" s="1864">
        <f>+'Exhibit J'!U44</f>
        <v>0</v>
      </c>
      <c r="C35" s="1159"/>
      <c r="D35" s="1864">
        <f>+'Exhibit J'!AB44</f>
        <v>0</v>
      </c>
      <c r="E35" s="1159"/>
      <c r="F35" s="1159">
        <f>'Exhibit K'!B39</f>
        <v>5.3</v>
      </c>
      <c r="G35" s="1313"/>
      <c r="H35" s="2667">
        <f>+'Exhibit K'!AA39</f>
        <v>5.3</v>
      </c>
      <c r="I35" s="2656"/>
      <c r="J35" s="2656">
        <f>ROUND(SUM(B35)+SUM(F35),1)</f>
        <v>5.3</v>
      </c>
      <c r="K35" s="1313"/>
      <c r="L35" s="2662">
        <f>ROUND(SUM(D35)+SUM(H35),1)</f>
        <v>5.3</v>
      </c>
      <c r="M35" s="1860"/>
      <c r="N35" s="3289">
        <v>3</v>
      </c>
      <c r="O35" s="1996"/>
      <c r="P35" s="3289">
        <v>3</v>
      </c>
      <c r="Q35" s="2663"/>
      <c r="R35" s="2668"/>
      <c r="S35" s="1159">
        <f>ROUND(SUM(L35-P35),1)</f>
        <v>2.2999999999999998</v>
      </c>
      <c r="T35" s="1253"/>
      <c r="U35" s="2650">
        <f>ROUND(IF(S35=0,0,S35/(P35)),3)</f>
        <v>0.76700000000000002</v>
      </c>
      <c r="V35" s="278"/>
      <c r="W35" s="232"/>
      <c r="X35" s="232"/>
    </row>
    <row r="36" spans="1:247" ht="15.9" customHeight="1">
      <c r="A36" s="223" t="s">
        <v>75</v>
      </c>
      <c r="B36" s="2669">
        <f>+'Exhibit J'!U45</f>
        <v>0</v>
      </c>
      <c r="C36" s="1789"/>
      <c r="D36" s="2670">
        <f>+'Exhibit J'!AB45</f>
        <v>0</v>
      </c>
      <c r="E36" s="1159"/>
      <c r="F36" s="1159">
        <f>'Exhibit K'!B40</f>
        <v>0</v>
      </c>
      <c r="G36" s="1159"/>
      <c r="H36" s="2667">
        <f>+'Exhibit K'!AA40</f>
        <v>0</v>
      </c>
      <c r="I36" s="2671"/>
      <c r="J36" s="2656">
        <f>ROUND(SUM(B36)+SUM(F36),1)</f>
        <v>0</v>
      </c>
      <c r="K36" s="1159"/>
      <c r="L36" s="1860">
        <f>ROUND(SUM(D36)+SUM(H36),1)</f>
        <v>0</v>
      </c>
      <c r="M36" s="2656"/>
      <c r="N36" s="3290">
        <v>0</v>
      </c>
      <c r="O36" s="2007"/>
      <c r="P36" s="3291">
        <v>0</v>
      </c>
      <c r="Q36" s="2663"/>
      <c r="R36" s="2668"/>
      <c r="S36" s="2737">
        <f>ROUND(SUM(L36-P36),1)*-1</f>
        <v>0</v>
      </c>
      <c r="T36" s="1253"/>
      <c r="U36" s="2650">
        <f>ROUND(IF(S36=0,0,S36/ABS(P36)),3)</f>
        <v>0</v>
      </c>
      <c r="V36" s="277"/>
      <c r="W36" s="232"/>
      <c r="X36" s="232"/>
    </row>
    <row r="37" spans="1:247" ht="15.6">
      <c r="A37" s="221" t="s">
        <v>51</v>
      </c>
      <c r="B37" s="281">
        <f>ROUND(SUM(B35:B36),1)</f>
        <v>0</v>
      </c>
      <c r="C37" s="282"/>
      <c r="D37" s="281">
        <f>ROUND(SUM(D35:D36),1)</f>
        <v>0</v>
      </c>
      <c r="E37" s="1838"/>
      <c r="F37" s="283">
        <f>ROUND(SUM(F35:F36),1)</f>
        <v>5.3</v>
      </c>
      <c r="G37" s="284"/>
      <c r="H37" s="285">
        <f>ROUND(SUM(H35:H36),1)</f>
        <v>5.3</v>
      </c>
      <c r="I37" s="273"/>
      <c r="J37" s="286">
        <f>ROUND(SUM(J35:J36),1)</f>
        <v>5.3</v>
      </c>
      <c r="K37" s="284"/>
      <c r="L37" s="285">
        <f>ROUND(SUM(L35:L36),1)</f>
        <v>5.3</v>
      </c>
      <c r="M37" s="259"/>
      <c r="N37" s="3292">
        <f>ROUND(SUM(N35:N36),1)</f>
        <v>3</v>
      </c>
      <c r="O37" s="312"/>
      <c r="P37" s="3292">
        <f>ROUND(SUM(P35:P36),1)</f>
        <v>3</v>
      </c>
      <c r="Q37" s="1939"/>
      <c r="R37" s="1949"/>
      <c r="S37" s="283">
        <f>ROUND(SUM(S35-S36),1)</f>
        <v>2.2999999999999998</v>
      </c>
      <c r="T37" s="2672"/>
      <c r="U37" s="527">
        <f>ROUND(SUM(S37/P37),3)</f>
        <v>0.76700000000000002</v>
      </c>
      <c r="V37" s="287"/>
      <c r="W37" s="232"/>
      <c r="X37" s="232"/>
    </row>
    <row r="38" spans="1:247" ht="15.6">
      <c r="A38" s="221"/>
      <c r="B38" s="1341"/>
      <c r="C38" s="1159"/>
      <c r="D38" s="1341"/>
      <c r="E38" s="1159"/>
      <c r="F38" s="1860"/>
      <c r="G38" s="1159"/>
      <c r="H38" s="1860"/>
      <c r="I38" s="2656"/>
      <c r="J38" s="2656"/>
      <c r="K38" s="1159"/>
      <c r="L38" s="1341"/>
      <c r="M38" s="2656"/>
      <c r="N38" s="1996"/>
      <c r="O38" s="1787"/>
      <c r="P38" s="1996"/>
      <c r="Q38" s="1860"/>
      <c r="R38" s="2658"/>
      <c r="S38" s="1834"/>
      <c r="T38" s="2661"/>
      <c r="U38" s="1685"/>
      <c r="V38" s="241"/>
      <c r="W38" s="232"/>
      <c r="X38" s="232"/>
    </row>
    <row r="39" spans="1:247" ht="15.75" customHeight="1">
      <c r="A39" s="221" t="s">
        <v>45</v>
      </c>
      <c r="B39" s="1159"/>
      <c r="C39" s="1159"/>
      <c r="D39" s="1159"/>
      <c r="E39" s="1159"/>
      <c r="F39" s="1159"/>
      <c r="G39" s="1159"/>
      <c r="H39" s="1159"/>
      <c r="I39" s="2656"/>
      <c r="J39" s="2656"/>
      <c r="K39" s="1159"/>
      <c r="L39" s="1159"/>
      <c r="M39" s="2656"/>
      <c r="N39" s="1996"/>
      <c r="O39" s="1787"/>
      <c r="P39" s="1996"/>
      <c r="Q39" s="1860"/>
      <c r="R39" s="2658"/>
      <c r="S39" s="1834"/>
      <c r="T39" s="2661"/>
      <c r="U39" s="1685"/>
      <c r="V39" s="241"/>
      <c r="W39" s="232"/>
      <c r="X39" s="232"/>
    </row>
    <row r="40" spans="1:247" ht="15.75" customHeight="1">
      <c r="A40" s="221" t="s">
        <v>76</v>
      </c>
      <c r="B40" s="1159"/>
      <c r="C40" s="1159"/>
      <c r="D40" s="1159"/>
      <c r="E40" s="1159"/>
      <c r="F40" s="1159"/>
      <c r="G40" s="1159"/>
      <c r="H40" s="1159"/>
      <c r="I40" s="2656"/>
      <c r="J40" s="2656"/>
      <c r="K40" s="1159"/>
      <c r="L40" s="1159"/>
      <c r="M40" s="2656"/>
      <c r="N40" s="1996"/>
      <c r="O40" s="1787"/>
      <c r="P40" s="1996"/>
      <c r="Q40" s="1860"/>
      <c r="R40" s="2658"/>
      <c r="S40" s="1834"/>
      <c r="T40" s="2661"/>
      <c r="U40" s="1685"/>
      <c r="V40" s="241"/>
      <c r="W40" s="232"/>
      <c r="X40" s="232"/>
    </row>
    <row r="41" spans="1:247" ht="15.75" customHeight="1">
      <c r="A41" s="221" t="s">
        <v>77</v>
      </c>
      <c r="B41" s="1159"/>
      <c r="C41" s="1159"/>
      <c r="D41" s="1159"/>
      <c r="E41" s="1159"/>
      <c r="F41" s="1159"/>
      <c r="G41" s="1159"/>
      <c r="H41" s="1159"/>
      <c r="I41" s="2656"/>
      <c r="J41" s="2656"/>
      <c r="K41" s="1159"/>
      <c r="L41" s="1159"/>
      <c r="M41" s="2656"/>
      <c r="N41" s="1996"/>
      <c r="O41" s="1787"/>
      <c r="P41" s="1996"/>
      <c r="Q41" s="1860"/>
      <c r="R41" s="2658"/>
      <c r="S41" s="1834"/>
      <c r="T41" s="2661"/>
      <c r="U41" s="1685"/>
      <c r="V41" s="241"/>
      <c r="W41" s="232"/>
      <c r="X41" s="232"/>
    </row>
    <row r="42" spans="1:247" ht="15.75" customHeight="1">
      <c r="A42" s="221" t="s">
        <v>78</v>
      </c>
      <c r="B42" s="289">
        <f>ROUND(SUM(B32,B37),1)</f>
        <v>-43.1</v>
      </c>
      <c r="C42" s="1838"/>
      <c r="D42" s="289">
        <f>ROUND(SUM(D32,D37),1)</f>
        <v>-43.1</v>
      </c>
      <c r="E42" s="1838"/>
      <c r="F42" s="289">
        <f>ROUND(SUM(F32,F37),1)</f>
        <v>-64.099999999999994</v>
      </c>
      <c r="G42" s="1838"/>
      <c r="H42" s="289">
        <f>ROUND(SUM(H32,H37),1)</f>
        <v>-64.099999999999994</v>
      </c>
      <c r="I42" s="290"/>
      <c r="J42" s="289">
        <f>ROUND(SUM(J32,J37),1)</f>
        <v>-107.2</v>
      </c>
      <c r="K42" s="1838"/>
      <c r="L42" s="289">
        <f>ROUND(SUM(L32,L37),1)</f>
        <v>-107.2</v>
      </c>
      <c r="M42" s="259"/>
      <c r="N42" s="3293">
        <f>ROUND(SUM(N32,N37),1)</f>
        <v>-2.7</v>
      </c>
      <c r="O42" s="312"/>
      <c r="P42" s="3293">
        <f>ROUND(SUM(P32,P37),1)</f>
        <v>-2.7</v>
      </c>
      <c r="Q42" s="289"/>
      <c r="R42" s="1950"/>
      <c r="S42" s="289">
        <f>ROUND(SUM(S32,S37),1)</f>
        <v>-104.5</v>
      </c>
      <c r="T42" s="291"/>
      <c r="U42" s="2857">
        <f>-ROUND(S42/P42,3)</f>
        <v>-38.704000000000001</v>
      </c>
      <c r="V42" s="241"/>
      <c r="W42" s="232"/>
      <c r="X42" s="232"/>
    </row>
    <row r="43" spans="1:247" ht="15.6">
      <c r="A43" s="221"/>
      <c r="B43" s="1159"/>
      <c r="C43" s="1159"/>
      <c r="D43" s="1159"/>
      <c r="E43" s="1159"/>
      <c r="F43" s="1159"/>
      <c r="G43" s="1159"/>
      <c r="H43" s="1159"/>
      <c r="I43" s="2656"/>
      <c r="J43" s="2656"/>
      <c r="K43" s="1159"/>
      <c r="L43" s="1159"/>
      <c r="M43" s="2656"/>
      <c r="N43" s="1996"/>
      <c r="O43" s="1787"/>
      <c r="P43" s="1996"/>
      <c r="Q43" s="1860"/>
      <c r="R43" s="2658"/>
      <c r="S43" s="1834"/>
      <c r="T43" s="2661"/>
      <c r="U43" s="1834"/>
      <c r="V43" s="241"/>
      <c r="W43" s="232"/>
      <c r="X43" s="232"/>
    </row>
    <row r="44" spans="1:247" s="260" customFormat="1" ht="15.6">
      <c r="A44" s="221" t="s">
        <v>79</v>
      </c>
      <c r="B44" s="1838">
        <f>+'Exhibit J'!C16</f>
        <v>66.099999999999994</v>
      </c>
      <c r="C44" s="1838"/>
      <c r="D44" s="1838">
        <f>+'Exhibit J'!AB16</f>
        <v>66.099999999999994</v>
      </c>
      <c r="E44" s="1838"/>
      <c r="F44" s="1838">
        <f>+'Exhibit K'!B14</f>
        <v>-127.2</v>
      </c>
      <c r="G44" s="1838"/>
      <c r="H44" s="1838">
        <f>+'Exhibit K'!AA14</f>
        <v>-127.2</v>
      </c>
      <c r="I44" s="259"/>
      <c r="J44" s="259">
        <f>ROUND(SUM(B44)+SUM(F44),1)</f>
        <v>-61.1</v>
      </c>
      <c r="K44" s="1838"/>
      <c r="L44" s="1838">
        <f>ROUND(SUM(D44)+SUM(H44),1)</f>
        <v>-61.1</v>
      </c>
      <c r="M44" s="259"/>
      <c r="N44" s="313">
        <v>-146.1</v>
      </c>
      <c r="O44" s="312"/>
      <c r="P44" s="313">
        <v>-146.1</v>
      </c>
      <c r="Q44" s="273"/>
      <c r="R44" s="656"/>
      <c r="S44" s="1838">
        <f>ROUND(SUM(L44-P44),1)</f>
        <v>85</v>
      </c>
      <c r="T44" s="291"/>
      <c r="U44" s="2857">
        <f>-ROUND(SUM(S44/P44),3)</f>
        <v>0.58199999999999996</v>
      </c>
      <c r="V44" s="291"/>
      <c r="W44" s="292"/>
      <c r="X44" s="292"/>
    </row>
    <row r="45" spans="1:247" ht="16.2" thickBot="1">
      <c r="A45" s="221" t="s">
        <v>80</v>
      </c>
      <c r="B45" s="293">
        <f>ROUND(SUM(B42+B44),1)</f>
        <v>23</v>
      </c>
      <c r="C45" s="294"/>
      <c r="D45" s="293">
        <f>ROUND(SUM(D42+D44),1)</f>
        <v>23</v>
      </c>
      <c r="E45" s="294"/>
      <c r="F45" s="293">
        <f>ROUND(SUM(F42+F44),1)</f>
        <v>-191.3</v>
      </c>
      <c r="G45" s="294"/>
      <c r="H45" s="293">
        <f>ROUND(SUM(H42+H44),1)</f>
        <v>-191.3</v>
      </c>
      <c r="I45" s="295"/>
      <c r="J45" s="296">
        <f>ROUND(SUM(J42+J44),1)</f>
        <v>-168.3</v>
      </c>
      <c r="K45" s="294"/>
      <c r="L45" s="297">
        <f>ROUND(SUM(L42+L44),1)</f>
        <v>-168.3</v>
      </c>
      <c r="M45" s="295"/>
      <c r="N45" s="2814">
        <f>ROUND(SUM(N42+N44),1)</f>
        <v>-148.80000000000001</v>
      </c>
      <c r="O45" s="336"/>
      <c r="P45" s="2814">
        <f>ROUND(SUM(P42+P44),1)</f>
        <v>-148.80000000000001</v>
      </c>
      <c r="Q45" s="423"/>
      <c r="R45" s="647"/>
      <c r="S45" s="298">
        <f>ROUND(SUM(S42+S44),1)</f>
        <v>-19.5</v>
      </c>
      <c r="T45" s="2327"/>
      <c r="U45" s="2792">
        <f>ROUND(SUM(S45/ABS(P45)),3)</f>
        <v>-0.13100000000000001</v>
      </c>
      <c r="V45" s="245"/>
      <c r="W45" s="232"/>
      <c r="X45" s="232"/>
    </row>
    <row r="46" spans="1:247" ht="3.9" customHeight="1" thickTop="1">
      <c r="A46" s="223"/>
      <c r="B46" s="2673"/>
      <c r="C46" s="1843"/>
      <c r="D46" s="2673"/>
      <c r="E46" s="1843"/>
      <c r="F46" s="2673"/>
      <c r="G46" s="1843"/>
      <c r="H46" s="2673"/>
      <c r="I46" s="1843"/>
      <c r="J46" s="2673"/>
      <c r="K46" s="1843"/>
      <c r="L46" s="2673"/>
      <c r="M46" s="1843"/>
      <c r="N46" s="2327"/>
      <c r="O46" s="1843"/>
      <c r="P46" s="2327"/>
      <c r="Q46" s="2327"/>
      <c r="R46" s="2327"/>
      <c r="S46" s="1843"/>
      <c r="T46" s="2674"/>
      <c r="U46" s="2675"/>
      <c r="V46" s="300"/>
      <c r="W46" s="246"/>
      <c r="X46" s="246"/>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44"/>
      <c r="DD46" s="244"/>
      <c r="DE46" s="244"/>
      <c r="DF46" s="244"/>
      <c r="DG46" s="244"/>
      <c r="DH46" s="244"/>
      <c r="DI46" s="244"/>
      <c r="DJ46" s="244"/>
      <c r="DK46" s="244"/>
      <c r="DL46" s="244"/>
      <c r="DM46" s="244"/>
      <c r="DN46" s="244"/>
      <c r="DO46" s="244"/>
      <c r="DP46" s="244"/>
      <c r="DQ46" s="244"/>
      <c r="DR46" s="244"/>
      <c r="DS46" s="244"/>
      <c r="DT46" s="244"/>
      <c r="DU46" s="244"/>
      <c r="DV46" s="244"/>
      <c r="DW46" s="244"/>
      <c r="DX46" s="244"/>
      <c r="DY46" s="244"/>
      <c r="DZ46" s="244"/>
      <c r="EA46" s="244"/>
      <c r="EB46" s="244"/>
      <c r="EC46" s="244"/>
      <c r="ED46" s="244"/>
      <c r="EE46" s="244"/>
      <c r="EF46" s="244"/>
      <c r="EG46" s="244"/>
      <c r="EH46" s="244"/>
      <c r="EI46" s="244"/>
      <c r="EJ46" s="244"/>
      <c r="EK46" s="244"/>
      <c r="EL46" s="244"/>
      <c r="EM46" s="244"/>
      <c r="EN46" s="244"/>
      <c r="EO46" s="244"/>
      <c r="EP46" s="244"/>
      <c r="EQ46" s="244"/>
      <c r="ER46" s="244"/>
      <c r="ES46" s="244"/>
      <c r="ET46" s="244"/>
      <c r="EU46" s="244"/>
      <c r="EV46" s="244"/>
      <c r="EW46" s="244"/>
      <c r="EX46" s="244"/>
      <c r="EY46" s="244"/>
      <c r="EZ46" s="244"/>
      <c r="FA46" s="244"/>
      <c r="FB46" s="244"/>
      <c r="FC46" s="244"/>
      <c r="FD46" s="244"/>
      <c r="FE46" s="244"/>
      <c r="FF46" s="244"/>
      <c r="FG46" s="244"/>
      <c r="FH46" s="244"/>
      <c r="FI46" s="244"/>
      <c r="FJ46" s="244"/>
      <c r="FK46" s="244"/>
      <c r="FL46" s="244"/>
      <c r="FM46" s="244"/>
      <c r="FN46" s="244"/>
      <c r="FO46" s="244"/>
      <c r="FP46" s="244"/>
      <c r="FQ46" s="244"/>
      <c r="FR46" s="244"/>
      <c r="FS46" s="244"/>
      <c r="FT46" s="244"/>
      <c r="FU46" s="244"/>
      <c r="FV46" s="244"/>
      <c r="FW46" s="244"/>
      <c r="FX46" s="244"/>
      <c r="FY46" s="244"/>
      <c r="FZ46" s="244"/>
      <c r="GA46" s="244"/>
      <c r="GB46" s="244"/>
      <c r="GC46" s="244"/>
      <c r="GD46" s="244"/>
      <c r="GE46" s="244"/>
      <c r="GF46" s="244"/>
      <c r="GG46" s="244"/>
      <c r="GH46" s="244"/>
      <c r="GI46" s="244"/>
      <c r="GJ46" s="244"/>
      <c r="GK46" s="244"/>
      <c r="GL46" s="244"/>
      <c r="GM46" s="244"/>
      <c r="GN46" s="244"/>
      <c r="GO46" s="244"/>
      <c r="GP46" s="244"/>
      <c r="GQ46" s="244"/>
      <c r="GR46" s="244"/>
      <c r="GS46" s="244"/>
      <c r="GT46" s="244"/>
      <c r="GU46" s="244"/>
      <c r="GV46" s="244"/>
      <c r="GW46" s="244"/>
      <c r="GX46" s="244"/>
      <c r="GY46" s="244"/>
      <c r="GZ46" s="244"/>
      <c r="HA46" s="244"/>
      <c r="HB46" s="244"/>
      <c r="HC46" s="244"/>
      <c r="HD46" s="244"/>
      <c r="HE46" s="244"/>
      <c r="HF46" s="244"/>
      <c r="HG46" s="244"/>
      <c r="HH46" s="244"/>
      <c r="HI46" s="244"/>
      <c r="HJ46" s="244"/>
      <c r="HK46" s="244"/>
      <c r="HL46" s="244"/>
      <c r="HM46" s="244"/>
      <c r="HN46" s="244"/>
      <c r="HO46" s="244"/>
      <c r="HP46" s="244"/>
      <c r="HQ46" s="244"/>
      <c r="HR46" s="244"/>
      <c r="HS46" s="244"/>
      <c r="HT46" s="244"/>
      <c r="HU46" s="244"/>
      <c r="HV46" s="244"/>
      <c r="HW46" s="244"/>
      <c r="HX46" s="244"/>
      <c r="HY46" s="244"/>
      <c r="HZ46" s="244"/>
      <c r="IA46" s="244"/>
      <c r="IB46" s="244"/>
      <c r="IC46" s="244"/>
      <c r="ID46" s="244"/>
      <c r="IE46" s="244"/>
      <c r="IF46" s="244"/>
      <c r="IG46" s="244"/>
      <c r="IH46" s="244"/>
      <c r="II46" s="244"/>
      <c r="IJ46" s="244"/>
      <c r="IK46" s="244"/>
      <c r="IL46" s="244"/>
      <c r="IM46" s="244"/>
    </row>
    <row r="47" spans="1:247">
      <c r="A47" s="1343"/>
      <c r="B47" s="230"/>
      <c r="C47" s="230"/>
      <c r="D47" s="230"/>
      <c r="E47" s="230"/>
      <c r="F47" s="301"/>
      <c r="G47" s="230"/>
      <c r="H47" s="230"/>
      <c r="I47" s="230"/>
      <c r="J47" s="230"/>
      <c r="K47" s="230"/>
      <c r="L47" s="230"/>
      <c r="M47" s="230"/>
      <c r="N47" s="230"/>
      <c r="O47" s="230"/>
      <c r="P47" s="230"/>
      <c r="Q47" s="230"/>
      <c r="R47" s="303"/>
      <c r="S47" s="230"/>
      <c r="T47" s="236"/>
      <c r="U47" s="232"/>
      <c r="V47" s="236"/>
      <c r="W47" s="232"/>
      <c r="X47" s="232"/>
    </row>
    <row r="48" spans="1:247" s="302" customFormat="1" ht="16.5" customHeight="1">
      <c r="A48" s="2027"/>
      <c r="R48" s="1940"/>
    </row>
    <row r="49" spans="1:21">
      <c r="A49" s="1343"/>
      <c r="B49" s="230"/>
      <c r="C49" s="230"/>
      <c r="D49" s="230"/>
      <c r="E49" s="230"/>
      <c r="F49" s="230"/>
      <c r="G49" s="230"/>
      <c r="H49" s="230"/>
      <c r="I49" s="230"/>
      <c r="J49" s="230"/>
      <c r="K49" s="230"/>
      <c r="L49" s="230"/>
      <c r="M49" s="230"/>
      <c r="N49" s="230"/>
      <c r="O49" s="230"/>
      <c r="P49" s="230"/>
      <c r="Q49" s="230"/>
      <c r="R49" s="303"/>
      <c r="S49" s="230"/>
      <c r="T49" s="303"/>
      <c r="U49" s="230"/>
    </row>
    <row r="50" spans="1:21">
      <c r="A50" s="1343"/>
      <c r="B50" s="230"/>
      <c r="C50" s="230"/>
      <c r="D50" s="230"/>
      <c r="E50" s="230"/>
      <c r="F50" s="230"/>
      <c r="G50" s="230"/>
      <c r="H50" s="230"/>
      <c r="I50" s="230"/>
      <c r="J50" s="230"/>
      <c r="K50" s="230"/>
      <c r="L50" s="230"/>
      <c r="M50" s="230"/>
      <c r="N50" s="230"/>
      <c r="O50" s="230"/>
      <c r="P50" s="230"/>
      <c r="Q50" s="230"/>
      <c r="R50" s="303"/>
      <c r="S50" s="230"/>
      <c r="T50" s="303"/>
      <c r="U50" s="230"/>
    </row>
    <row r="51" spans="1:21">
      <c r="A51" s="1343"/>
      <c r="B51" s="230"/>
      <c r="C51" s="230"/>
      <c r="D51" s="230"/>
      <c r="E51" s="230"/>
      <c r="F51" s="230"/>
      <c r="G51" s="230"/>
      <c r="H51" s="230"/>
      <c r="I51" s="230"/>
      <c r="J51" s="230"/>
      <c r="K51" s="230"/>
      <c r="L51" s="230"/>
      <c r="M51" s="230"/>
      <c r="N51" s="230"/>
      <c r="O51" s="230"/>
      <c r="P51" s="230"/>
      <c r="Q51" s="230"/>
      <c r="R51" s="303"/>
      <c r="S51" s="230"/>
      <c r="T51" s="303"/>
      <c r="U51" s="230"/>
    </row>
    <row r="52" spans="1:21">
      <c r="A52" s="1343"/>
      <c r="B52" s="230"/>
      <c r="C52" s="230"/>
      <c r="D52" s="230"/>
      <c r="E52" s="230"/>
      <c r="F52" s="230"/>
      <c r="G52" s="230"/>
      <c r="H52" s="230"/>
      <c r="I52" s="230"/>
      <c r="J52" s="230"/>
      <c r="K52" s="230"/>
      <c r="L52" s="230"/>
      <c r="M52" s="230"/>
      <c r="N52" s="230"/>
      <c r="O52" s="230"/>
      <c r="P52" s="230"/>
      <c r="Q52" s="230"/>
      <c r="R52" s="303"/>
      <c r="S52" s="230"/>
      <c r="T52" s="303"/>
      <c r="U52" s="230"/>
    </row>
    <row r="53" spans="1:21">
      <c r="A53" s="1834"/>
    </row>
    <row r="54" spans="1:21">
      <c r="A54" s="1834"/>
    </row>
    <row r="55" spans="1:21">
      <c r="A55" s="1834"/>
    </row>
    <row r="56" spans="1:21">
      <c r="A56" s="1834"/>
    </row>
    <row r="57" spans="1:21">
      <c r="A57" s="1834"/>
    </row>
  </sheetData>
  <customSheetViews>
    <customSheetView guid="{8EE6466D-211E-4E05-9F84-CC0A1C6F79F4}" scale="75" showGridLines="0" outlineSymbols="0" topLeftCell="A4">
      <selection activeCell="U36" sqref="U36"/>
      <pageMargins left="0.28000000000000003" right="0" top="0.55000000000000004" bottom="0.36" header="0" footer="0.25"/>
      <pageSetup scale="57" orientation="landscape" r:id="rId1"/>
      <headerFooter scaleWithDoc="0" alignWithMargins="0">
        <oddFooter>&amp;C&amp;8 5</oddFooter>
      </headerFooter>
    </customSheetView>
  </customSheetViews>
  <mergeCells count="2">
    <mergeCell ref="O3:P3"/>
    <mergeCell ref="U3:V3"/>
  </mergeCells>
  <pageMargins left="0.28000000000000003" right="0" top="0.55000000000000004" bottom="0.36" header="0" footer="0.25"/>
  <pageSetup scale="57" firstPageNumber="5" orientation="landscape" useFirstPageNumber="1" r:id="rId2"/>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R61"/>
  <sheetViews>
    <sheetView zoomScale="70" zoomScaleNormal="70" workbookViewId="0"/>
  </sheetViews>
  <sheetFormatPr defaultColWidth="8.90625" defaultRowHeight="15"/>
  <cols>
    <col min="1" max="1" width="44.81640625" style="1780" customWidth="1"/>
    <col min="2" max="2" width="13.81640625" style="1780" customWidth="1"/>
    <col min="3" max="3" width="1.81640625" style="1780" customWidth="1"/>
    <col min="4" max="4" width="13.81640625" style="1780" customWidth="1"/>
    <col min="5" max="5" width="2.453125" style="1780" customWidth="1"/>
    <col min="6" max="6" width="13.81640625" style="1780" customWidth="1"/>
    <col min="7" max="7" width="1.6328125" style="1780" customWidth="1"/>
    <col min="8" max="8" width="13.81640625" style="1780" customWidth="1"/>
    <col min="9" max="9" width="1.81640625" style="1780" customWidth="1"/>
    <col min="10" max="10" width="13.81640625" style="1780" customWidth="1"/>
    <col min="11" max="11" width="1.6328125" style="1780" customWidth="1"/>
    <col min="12" max="12" width="13.81640625" style="1780" customWidth="1"/>
    <col min="13" max="13" width="0.54296875" style="1780" customWidth="1"/>
    <col min="14" max="14" width="13.81640625" style="1780" customWidth="1"/>
    <col min="15" max="15" width="2.54296875" style="1780" customWidth="1"/>
    <col min="16" max="16" width="13.81640625" style="1780" customWidth="1"/>
    <col min="17" max="17" width="1.54296875" style="1780" customWidth="1"/>
    <col min="18" max="18" width="2.08984375" style="1962" customWidth="1"/>
    <col min="19" max="19" width="9.6328125" style="1780" customWidth="1"/>
    <col min="20" max="20" width="2.453125" style="1962" customWidth="1"/>
    <col min="21" max="16384" width="8.90625" style="1780"/>
  </cols>
  <sheetData>
    <row r="1" spans="1:252">
      <c r="A1" s="1172" t="s">
        <v>1103</v>
      </c>
    </row>
    <row r="2" spans="1:252">
      <c r="A2" s="1686"/>
    </row>
    <row r="3" spans="1:252" s="1963" customFormat="1" ht="15.6">
      <c r="A3" s="305" t="s">
        <v>0</v>
      </c>
      <c r="B3" s="305"/>
      <c r="C3" s="305"/>
      <c r="D3" s="305"/>
      <c r="E3" s="305"/>
      <c r="F3" s="1780"/>
      <c r="G3" s="1780"/>
      <c r="H3" s="305"/>
      <c r="I3" s="305"/>
      <c r="J3" s="305"/>
      <c r="K3" s="305"/>
      <c r="L3" s="305"/>
      <c r="M3" s="305"/>
      <c r="N3" s="792"/>
      <c r="P3" s="1964"/>
      <c r="Q3" s="1965"/>
      <c r="R3" s="1966"/>
      <c r="S3" s="1686"/>
      <c r="T3" s="1966"/>
      <c r="U3" s="1936" t="s">
        <v>81</v>
      </c>
      <c r="V3" s="1686"/>
      <c r="W3" s="1780"/>
      <c r="X3" s="1780"/>
      <c r="Y3" s="1780"/>
      <c r="Z3" s="1780"/>
      <c r="AA3" s="1780"/>
      <c r="AB3" s="1780"/>
      <c r="AC3" s="1780"/>
      <c r="AD3" s="1780"/>
      <c r="AE3" s="1780"/>
      <c r="AF3" s="1780"/>
      <c r="AG3" s="1780"/>
      <c r="AH3" s="1780"/>
      <c r="AI3" s="1780"/>
      <c r="AJ3" s="1780"/>
      <c r="AK3" s="1780"/>
      <c r="AL3" s="1780"/>
      <c r="AM3" s="1780"/>
      <c r="AN3" s="1780"/>
      <c r="AO3" s="1780"/>
      <c r="AP3" s="1780"/>
      <c r="AQ3" s="1780"/>
      <c r="AR3" s="1780"/>
      <c r="AS3" s="1780"/>
      <c r="AT3" s="1780"/>
      <c r="AU3" s="1780"/>
      <c r="AV3" s="1780"/>
      <c r="AW3" s="1780"/>
      <c r="AX3" s="1780"/>
      <c r="AY3" s="1780"/>
      <c r="AZ3" s="1780"/>
      <c r="BA3" s="1780"/>
      <c r="BB3" s="1780"/>
      <c r="BC3" s="1780"/>
      <c r="BD3" s="1780"/>
      <c r="BE3" s="1780"/>
      <c r="BF3" s="1780"/>
      <c r="BG3" s="1780"/>
      <c r="BH3" s="1780"/>
      <c r="BI3" s="1780"/>
      <c r="BJ3" s="1780"/>
      <c r="BK3" s="1780"/>
      <c r="BL3" s="1780"/>
      <c r="BM3" s="1780"/>
      <c r="BN3" s="1780"/>
      <c r="BO3" s="1780"/>
      <c r="BP3" s="1780"/>
      <c r="BQ3" s="1780"/>
      <c r="BR3" s="1780"/>
      <c r="BS3" s="1780"/>
      <c r="BT3" s="1780"/>
      <c r="BU3" s="1780"/>
      <c r="BV3" s="1780"/>
      <c r="BW3" s="1780"/>
      <c r="BX3" s="1780"/>
      <c r="BY3" s="1780"/>
      <c r="BZ3" s="1780"/>
      <c r="CA3" s="1780"/>
      <c r="CB3" s="1780"/>
      <c r="CC3" s="1780"/>
      <c r="CD3" s="1780"/>
      <c r="CE3" s="1780"/>
      <c r="CF3" s="1780"/>
      <c r="CG3" s="1780"/>
      <c r="CH3" s="1780"/>
      <c r="CI3" s="1780"/>
      <c r="CJ3" s="1780"/>
      <c r="CK3" s="1780"/>
      <c r="CL3" s="1780"/>
      <c r="CM3" s="1780"/>
      <c r="CN3" s="1780"/>
      <c r="CO3" s="1780"/>
      <c r="CP3" s="1780"/>
      <c r="CQ3" s="1780"/>
      <c r="CR3" s="1780"/>
      <c r="CS3" s="1780"/>
      <c r="CT3" s="1780"/>
      <c r="CU3" s="1780"/>
      <c r="CV3" s="1780"/>
      <c r="CW3" s="1780"/>
      <c r="CX3" s="1780"/>
      <c r="CY3" s="1780"/>
      <c r="CZ3" s="1780"/>
      <c r="DA3" s="1780"/>
      <c r="DB3" s="1780"/>
      <c r="DC3" s="1780"/>
      <c r="DD3" s="1780"/>
      <c r="DE3" s="1780"/>
      <c r="DF3" s="1780"/>
      <c r="DG3" s="1780"/>
      <c r="DH3" s="1780"/>
      <c r="DI3" s="1780"/>
      <c r="DJ3" s="1780"/>
      <c r="DK3" s="1780"/>
      <c r="DL3" s="1780"/>
      <c r="DM3" s="1780"/>
      <c r="DN3" s="1780"/>
      <c r="DO3" s="1780"/>
      <c r="DP3" s="1780"/>
      <c r="DQ3" s="1780"/>
      <c r="DR3" s="1780"/>
      <c r="DS3" s="1780"/>
      <c r="DT3" s="1780"/>
      <c r="DU3" s="1780"/>
      <c r="DV3" s="1780"/>
      <c r="DW3" s="1780"/>
      <c r="DX3" s="1780"/>
      <c r="DY3" s="1780"/>
      <c r="DZ3" s="1780"/>
      <c r="EA3" s="1780"/>
      <c r="EB3" s="1780"/>
      <c r="EC3" s="1780"/>
      <c r="ED3" s="1780"/>
      <c r="EE3" s="1780"/>
      <c r="EF3" s="1780"/>
      <c r="EG3" s="1780"/>
      <c r="EH3" s="1780"/>
      <c r="EI3" s="1780"/>
      <c r="EJ3" s="1780"/>
      <c r="EK3" s="1780"/>
      <c r="EL3" s="1780"/>
      <c r="EM3" s="1780"/>
      <c r="EN3" s="1780"/>
      <c r="EO3" s="1780"/>
      <c r="EP3" s="1780"/>
      <c r="EQ3" s="1780"/>
      <c r="ER3" s="1780"/>
      <c r="ES3" s="1780"/>
      <c r="ET3" s="1780"/>
      <c r="EU3" s="1780"/>
      <c r="EV3" s="1780"/>
      <c r="EW3" s="1780"/>
      <c r="EX3" s="1780"/>
      <c r="EY3" s="1780"/>
      <c r="EZ3" s="1780"/>
      <c r="FA3" s="1780"/>
      <c r="FB3" s="1780"/>
      <c r="FC3" s="1780"/>
      <c r="FD3" s="1780"/>
      <c r="FE3" s="1780"/>
      <c r="FF3" s="1780"/>
      <c r="FG3" s="1780"/>
      <c r="FH3" s="1780"/>
      <c r="FI3" s="1780"/>
      <c r="FJ3" s="1780"/>
      <c r="FK3" s="1780"/>
      <c r="FL3" s="1780"/>
      <c r="FM3" s="1780"/>
      <c r="FN3" s="1780"/>
      <c r="FO3" s="1780"/>
      <c r="FP3" s="1780"/>
      <c r="FQ3" s="1780"/>
      <c r="FR3" s="1780"/>
      <c r="FS3" s="1780"/>
      <c r="FT3" s="1780"/>
      <c r="FU3" s="1780"/>
      <c r="FV3" s="1780"/>
      <c r="FW3" s="1780"/>
      <c r="FX3" s="1780"/>
      <c r="FY3" s="1780"/>
      <c r="FZ3" s="1780"/>
      <c r="GA3" s="1780"/>
      <c r="GB3" s="1780"/>
      <c r="GC3" s="1780"/>
      <c r="GD3" s="1780"/>
      <c r="GE3" s="1780"/>
      <c r="GF3" s="1780"/>
      <c r="GG3" s="1780"/>
      <c r="GH3" s="1780"/>
      <c r="GI3" s="1780"/>
      <c r="GJ3" s="1780"/>
      <c r="GK3" s="1780"/>
      <c r="GL3" s="1780"/>
      <c r="GM3" s="1780"/>
      <c r="GN3" s="1780"/>
      <c r="GO3" s="1780"/>
      <c r="GP3" s="1780"/>
      <c r="GQ3" s="1780"/>
      <c r="GR3" s="1780"/>
      <c r="GS3" s="1780"/>
      <c r="GT3" s="1780"/>
      <c r="GU3" s="1780"/>
      <c r="GV3" s="1780"/>
      <c r="GW3" s="1780"/>
      <c r="GX3" s="1780"/>
      <c r="GY3" s="1780"/>
      <c r="GZ3" s="1780"/>
      <c r="HA3" s="1780"/>
      <c r="HB3" s="1780"/>
      <c r="HC3" s="1780"/>
      <c r="HD3" s="1780"/>
      <c r="HE3" s="1780"/>
      <c r="HF3" s="1780"/>
      <c r="HG3" s="1780"/>
      <c r="HH3" s="1780"/>
      <c r="HI3" s="1780"/>
      <c r="HJ3" s="1780"/>
      <c r="HK3" s="1780"/>
      <c r="HL3" s="1780"/>
      <c r="HM3" s="1780"/>
      <c r="HN3" s="1780"/>
      <c r="HO3" s="1780"/>
      <c r="HP3" s="1780"/>
      <c r="HQ3" s="1780"/>
      <c r="HR3" s="1780"/>
      <c r="HS3" s="1780"/>
      <c r="HT3" s="1780"/>
      <c r="HU3" s="1780"/>
      <c r="HV3" s="1780"/>
      <c r="HW3" s="1780"/>
      <c r="HX3" s="1780"/>
      <c r="HY3" s="1780"/>
      <c r="HZ3" s="1780"/>
      <c r="IA3" s="1780"/>
      <c r="IB3" s="1780"/>
      <c r="IC3" s="1780"/>
      <c r="ID3" s="1780"/>
      <c r="IE3" s="1780"/>
      <c r="IF3" s="1780"/>
      <c r="IG3" s="1780"/>
      <c r="IH3" s="1780"/>
      <c r="II3" s="1780"/>
      <c r="IJ3" s="1780"/>
      <c r="IK3" s="1780"/>
      <c r="IL3" s="1780"/>
      <c r="IM3" s="1780"/>
      <c r="IN3" s="1780"/>
      <c r="IO3" s="1780"/>
      <c r="IP3" s="1780"/>
      <c r="IQ3" s="1780"/>
      <c r="IR3" s="1780"/>
    </row>
    <row r="4" spans="1:252" s="1963" customFormat="1" ht="15.6">
      <c r="A4" s="305" t="s">
        <v>997</v>
      </c>
      <c r="B4" s="305"/>
      <c r="C4" s="305"/>
      <c r="D4" s="305"/>
      <c r="E4" s="305"/>
      <c r="F4" s="1780"/>
      <c r="G4" s="1780"/>
      <c r="H4" s="305"/>
      <c r="I4" s="305"/>
      <c r="J4" s="305"/>
      <c r="K4" s="305"/>
      <c r="L4" s="305"/>
      <c r="M4" s="305"/>
      <c r="N4" s="305"/>
      <c r="O4" s="305"/>
      <c r="P4" s="305"/>
      <c r="Q4" s="1965"/>
      <c r="R4" s="1966"/>
      <c r="S4" s="1686"/>
      <c r="T4" s="1966"/>
      <c r="U4" s="1686"/>
      <c r="V4" s="1686"/>
      <c r="W4" s="1780"/>
      <c r="X4" s="1780"/>
      <c r="Y4" s="1780"/>
      <c r="Z4" s="1780"/>
      <c r="AA4" s="1780"/>
      <c r="AB4" s="1780"/>
      <c r="AC4" s="1780"/>
      <c r="AD4" s="1780"/>
      <c r="AE4" s="1780"/>
      <c r="AF4" s="1780"/>
      <c r="AG4" s="1780"/>
      <c r="AH4" s="1780"/>
      <c r="AI4" s="1780"/>
      <c r="AJ4" s="1780"/>
      <c r="AK4" s="1780"/>
      <c r="AL4" s="1780"/>
      <c r="AM4" s="1780"/>
      <c r="AN4" s="1780"/>
      <c r="AO4" s="1780"/>
      <c r="AP4" s="1780"/>
      <c r="AQ4" s="1780"/>
      <c r="AR4" s="1780"/>
      <c r="AS4" s="1780"/>
      <c r="AT4" s="1780"/>
      <c r="AU4" s="1780"/>
      <c r="AV4" s="1780"/>
      <c r="AW4" s="1780"/>
      <c r="AX4" s="1780"/>
      <c r="AY4" s="1780"/>
      <c r="AZ4" s="1780"/>
      <c r="BA4" s="1780"/>
      <c r="BB4" s="1780"/>
      <c r="BC4" s="1780"/>
      <c r="BD4" s="1780"/>
      <c r="BE4" s="1780"/>
      <c r="BF4" s="1780"/>
      <c r="BG4" s="1780"/>
      <c r="BH4" s="1780"/>
      <c r="BI4" s="1780"/>
      <c r="BJ4" s="1780"/>
      <c r="BK4" s="1780"/>
      <c r="BL4" s="1780"/>
      <c r="BM4" s="1780"/>
      <c r="BN4" s="1780"/>
      <c r="BO4" s="1780"/>
      <c r="BP4" s="1780"/>
      <c r="BQ4" s="1780"/>
      <c r="BR4" s="1780"/>
      <c r="BS4" s="1780"/>
      <c r="BT4" s="1780"/>
      <c r="BU4" s="1780"/>
      <c r="BV4" s="1780"/>
      <c r="BW4" s="1780"/>
      <c r="BX4" s="1780"/>
      <c r="BY4" s="1780"/>
      <c r="BZ4" s="1780"/>
      <c r="CA4" s="1780"/>
      <c r="CB4" s="1780"/>
      <c r="CC4" s="1780"/>
      <c r="CD4" s="1780"/>
      <c r="CE4" s="1780"/>
      <c r="CF4" s="1780"/>
      <c r="CG4" s="1780"/>
      <c r="CH4" s="1780"/>
      <c r="CI4" s="1780"/>
      <c r="CJ4" s="1780"/>
      <c r="CK4" s="1780"/>
      <c r="CL4" s="1780"/>
      <c r="CM4" s="1780"/>
      <c r="CN4" s="1780"/>
      <c r="CO4" s="1780"/>
      <c r="CP4" s="1780"/>
      <c r="CQ4" s="1780"/>
      <c r="CR4" s="1780"/>
      <c r="CS4" s="1780"/>
      <c r="CT4" s="1780"/>
      <c r="CU4" s="1780"/>
      <c r="CV4" s="1780"/>
      <c r="CW4" s="1780"/>
      <c r="CX4" s="1780"/>
      <c r="CY4" s="1780"/>
      <c r="CZ4" s="1780"/>
      <c r="DA4" s="1780"/>
      <c r="DB4" s="1780"/>
      <c r="DC4" s="1780"/>
      <c r="DD4" s="1780"/>
      <c r="DE4" s="1780"/>
      <c r="DF4" s="1780"/>
      <c r="DG4" s="1780"/>
      <c r="DH4" s="1780"/>
      <c r="DI4" s="1780"/>
      <c r="DJ4" s="1780"/>
      <c r="DK4" s="1780"/>
      <c r="DL4" s="1780"/>
      <c r="DM4" s="1780"/>
      <c r="DN4" s="1780"/>
      <c r="DO4" s="1780"/>
      <c r="DP4" s="1780"/>
      <c r="DQ4" s="1780"/>
      <c r="DR4" s="1780"/>
      <c r="DS4" s="1780"/>
      <c r="DT4" s="1780"/>
      <c r="DU4" s="1780"/>
      <c r="DV4" s="1780"/>
      <c r="DW4" s="1780"/>
      <c r="DX4" s="1780"/>
      <c r="DY4" s="1780"/>
      <c r="DZ4" s="1780"/>
      <c r="EA4" s="1780"/>
      <c r="EB4" s="1780"/>
      <c r="EC4" s="1780"/>
      <c r="ED4" s="1780"/>
      <c r="EE4" s="1780"/>
      <c r="EF4" s="1780"/>
      <c r="EG4" s="1780"/>
      <c r="EH4" s="1780"/>
      <c r="EI4" s="1780"/>
      <c r="EJ4" s="1780"/>
      <c r="EK4" s="1780"/>
      <c r="EL4" s="1780"/>
      <c r="EM4" s="1780"/>
      <c r="EN4" s="1780"/>
      <c r="EO4" s="1780"/>
      <c r="EP4" s="1780"/>
      <c r="EQ4" s="1780"/>
      <c r="ER4" s="1780"/>
      <c r="ES4" s="1780"/>
      <c r="ET4" s="1780"/>
      <c r="EU4" s="1780"/>
      <c r="EV4" s="1780"/>
      <c r="EW4" s="1780"/>
      <c r="EX4" s="1780"/>
      <c r="EY4" s="1780"/>
      <c r="EZ4" s="1780"/>
      <c r="FA4" s="1780"/>
      <c r="FB4" s="1780"/>
      <c r="FC4" s="1780"/>
      <c r="FD4" s="1780"/>
      <c r="FE4" s="1780"/>
      <c r="FF4" s="1780"/>
      <c r="FG4" s="1780"/>
      <c r="FH4" s="1780"/>
      <c r="FI4" s="1780"/>
      <c r="FJ4" s="1780"/>
      <c r="FK4" s="1780"/>
      <c r="FL4" s="1780"/>
      <c r="FM4" s="1780"/>
      <c r="FN4" s="1780"/>
      <c r="FO4" s="1780"/>
      <c r="FP4" s="1780"/>
      <c r="FQ4" s="1780"/>
      <c r="FR4" s="1780"/>
      <c r="FS4" s="1780"/>
      <c r="FT4" s="1780"/>
      <c r="FU4" s="1780"/>
      <c r="FV4" s="1780"/>
      <c r="FW4" s="1780"/>
      <c r="FX4" s="1780"/>
      <c r="FY4" s="1780"/>
      <c r="FZ4" s="1780"/>
      <c r="GA4" s="1780"/>
      <c r="GB4" s="1780"/>
      <c r="GC4" s="1780"/>
      <c r="GD4" s="1780"/>
      <c r="GE4" s="1780"/>
      <c r="GF4" s="1780"/>
      <c r="GG4" s="1780"/>
      <c r="GH4" s="1780"/>
      <c r="GI4" s="1780"/>
      <c r="GJ4" s="1780"/>
      <c r="GK4" s="1780"/>
      <c r="GL4" s="1780"/>
      <c r="GM4" s="1780"/>
      <c r="GN4" s="1780"/>
      <c r="GO4" s="1780"/>
      <c r="GP4" s="1780"/>
      <c r="GQ4" s="1780"/>
      <c r="GR4" s="1780"/>
      <c r="GS4" s="1780"/>
      <c r="GT4" s="1780"/>
      <c r="GU4" s="1780"/>
      <c r="GV4" s="1780"/>
      <c r="GW4" s="1780"/>
      <c r="GX4" s="1780"/>
      <c r="GY4" s="1780"/>
      <c r="GZ4" s="1780"/>
      <c r="HA4" s="1780"/>
      <c r="HB4" s="1780"/>
      <c r="HC4" s="1780"/>
      <c r="HD4" s="1780"/>
      <c r="HE4" s="1780"/>
      <c r="HF4" s="1780"/>
      <c r="HG4" s="1780"/>
      <c r="HH4" s="1780"/>
      <c r="HI4" s="1780"/>
      <c r="HJ4" s="1780"/>
      <c r="HK4" s="1780"/>
      <c r="HL4" s="1780"/>
      <c r="HM4" s="1780"/>
      <c r="HN4" s="1780"/>
      <c r="HO4" s="1780"/>
      <c r="HP4" s="1780"/>
      <c r="HQ4" s="1780"/>
      <c r="HR4" s="1780"/>
      <c r="HS4" s="1780"/>
      <c r="HT4" s="1780"/>
      <c r="HU4" s="1780"/>
      <c r="HV4" s="1780"/>
      <c r="HW4" s="1780"/>
      <c r="HX4" s="1780"/>
      <c r="HY4" s="1780"/>
      <c r="HZ4" s="1780"/>
      <c r="IA4" s="1780"/>
      <c r="IB4" s="1780"/>
      <c r="IC4" s="1780"/>
      <c r="ID4" s="1780"/>
      <c r="IE4" s="1780"/>
      <c r="IF4" s="1780"/>
      <c r="IG4" s="1780"/>
      <c r="IH4" s="1780"/>
      <c r="II4" s="1780"/>
      <c r="IJ4" s="1780"/>
      <c r="IK4" s="1780"/>
      <c r="IL4" s="1780"/>
      <c r="IM4" s="1780"/>
      <c r="IN4" s="1780"/>
      <c r="IO4" s="1780"/>
      <c r="IP4" s="1780"/>
      <c r="IQ4" s="1780"/>
      <c r="IR4" s="1780"/>
    </row>
    <row r="5" spans="1:252" s="1963" customFormat="1" ht="15.6">
      <c r="A5" s="489" t="s">
        <v>998</v>
      </c>
      <c r="B5" s="305"/>
      <c r="C5" s="305"/>
      <c r="D5" s="305"/>
      <c r="E5" s="305"/>
      <c r="F5" s="1780"/>
      <c r="G5" s="1780"/>
      <c r="H5" s="305"/>
      <c r="I5" s="305"/>
      <c r="J5" s="305"/>
      <c r="K5" s="305"/>
      <c r="L5" s="305"/>
      <c r="M5" s="305"/>
      <c r="N5" s="305"/>
      <c r="O5" s="305"/>
      <c r="P5" s="305" t="s">
        <v>16</v>
      </c>
      <c r="Q5" s="1965"/>
      <c r="R5" s="1966"/>
      <c r="S5" s="1686"/>
      <c r="T5" s="1966"/>
      <c r="U5" s="1686"/>
      <c r="V5" s="1686"/>
      <c r="W5" s="1780"/>
      <c r="X5" s="1780"/>
      <c r="Y5" s="1780"/>
      <c r="Z5" s="1780"/>
      <c r="AA5" s="1780"/>
      <c r="AB5" s="1780"/>
      <c r="AC5" s="1780"/>
      <c r="AD5" s="1780"/>
      <c r="AE5" s="1780"/>
      <c r="AF5" s="1780"/>
      <c r="AG5" s="1780"/>
      <c r="AH5" s="1780"/>
      <c r="AI5" s="1780"/>
      <c r="AJ5" s="1780"/>
      <c r="AK5" s="1780"/>
      <c r="AL5" s="1780"/>
      <c r="AM5" s="1780"/>
      <c r="AN5" s="1780"/>
      <c r="AO5" s="1780"/>
      <c r="AP5" s="1780"/>
      <c r="AQ5" s="1780"/>
      <c r="AR5" s="1780"/>
      <c r="AS5" s="1780"/>
      <c r="AT5" s="1780"/>
      <c r="AU5" s="1780"/>
      <c r="AV5" s="1780"/>
      <c r="AW5" s="1780"/>
      <c r="AX5" s="1780"/>
      <c r="AY5" s="1780"/>
      <c r="AZ5" s="1780"/>
      <c r="BA5" s="1780"/>
      <c r="BB5" s="1780"/>
      <c r="BC5" s="1780"/>
      <c r="BD5" s="1780"/>
      <c r="BE5" s="1780"/>
      <c r="BF5" s="1780"/>
      <c r="BG5" s="1780"/>
      <c r="BH5" s="1780"/>
      <c r="BI5" s="1780"/>
      <c r="BJ5" s="1780"/>
      <c r="BK5" s="1780"/>
      <c r="BL5" s="1780"/>
      <c r="BM5" s="1780"/>
      <c r="BN5" s="1780"/>
      <c r="BO5" s="1780"/>
      <c r="BP5" s="1780"/>
      <c r="BQ5" s="1780"/>
      <c r="BR5" s="1780"/>
      <c r="BS5" s="1780"/>
      <c r="BT5" s="1780"/>
      <c r="BU5" s="1780"/>
      <c r="BV5" s="1780"/>
      <c r="BW5" s="1780"/>
      <c r="BX5" s="1780"/>
      <c r="BY5" s="1780"/>
      <c r="BZ5" s="1780"/>
      <c r="CA5" s="1780"/>
      <c r="CB5" s="1780"/>
      <c r="CC5" s="1780"/>
      <c r="CD5" s="1780"/>
      <c r="CE5" s="1780"/>
      <c r="CF5" s="1780"/>
      <c r="CG5" s="1780"/>
      <c r="CH5" s="1780"/>
      <c r="CI5" s="1780"/>
      <c r="CJ5" s="1780"/>
      <c r="CK5" s="1780"/>
      <c r="CL5" s="1780"/>
      <c r="CM5" s="1780"/>
      <c r="CN5" s="1780"/>
      <c r="CO5" s="1780"/>
      <c r="CP5" s="1780"/>
      <c r="CQ5" s="1780"/>
      <c r="CR5" s="1780"/>
      <c r="CS5" s="1780"/>
      <c r="CT5" s="1780"/>
      <c r="CU5" s="1780"/>
      <c r="CV5" s="1780"/>
      <c r="CW5" s="1780"/>
      <c r="CX5" s="1780"/>
      <c r="CY5" s="1780"/>
      <c r="CZ5" s="1780"/>
      <c r="DA5" s="1780"/>
      <c r="DB5" s="1780"/>
      <c r="DC5" s="1780"/>
      <c r="DD5" s="1780"/>
      <c r="DE5" s="1780"/>
      <c r="DF5" s="1780"/>
      <c r="DG5" s="1780"/>
      <c r="DH5" s="1780"/>
      <c r="DI5" s="1780"/>
      <c r="DJ5" s="1780"/>
      <c r="DK5" s="1780"/>
      <c r="DL5" s="1780"/>
      <c r="DM5" s="1780"/>
      <c r="DN5" s="1780"/>
      <c r="DO5" s="1780"/>
      <c r="DP5" s="1780"/>
      <c r="DQ5" s="1780"/>
      <c r="DR5" s="1780"/>
      <c r="DS5" s="1780"/>
      <c r="DT5" s="1780"/>
      <c r="DU5" s="1780"/>
      <c r="DV5" s="1780"/>
      <c r="DW5" s="1780"/>
      <c r="DX5" s="1780"/>
      <c r="DY5" s="1780"/>
      <c r="DZ5" s="1780"/>
      <c r="EA5" s="1780"/>
      <c r="EB5" s="1780"/>
      <c r="EC5" s="1780"/>
      <c r="ED5" s="1780"/>
      <c r="EE5" s="1780"/>
      <c r="EF5" s="1780"/>
      <c r="EG5" s="1780"/>
      <c r="EH5" s="1780"/>
      <c r="EI5" s="1780"/>
      <c r="EJ5" s="1780"/>
      <c r="EK5" s="1780"/>
      <c r="EL5" s="1780"/>
      <c r="EM5" s="1780"/>
      <c r="EN5" s="1780"/>
      <c r="EO5" s="1780"/>
      <c r="EP5" s="1780"/>
      <c r="EQ5" s="1780"/>
      <c r="ER5" s="1780"/>
      <c r="ES5" s="1780"/>
      <c r="ET5" s="1780"/>
      <c r="EU5" s="1780"/>
      <c r="EV5" s="1780"/>
      <c r="EW5" s="1780"/>
      <c r="EX5" s="1780"/>
      <c r="EY5" s="1780"/>
      <c r="EZ5" s="1780"/>
      <c r="FA5" s="1780"/>
      <c r="FB5" s="1780"/>
      <c r="FC5" s="1780"/>
      <c r="FD5" s="1780"/>
      <c r="FE5" s="1780"/>
      <c r="FF5" s="1780"/>
      <c r="FG5" s="1780"/>
      <c r="FH5" s="1780"/>
      <c r="FI5" s="1780"/>
      <c r="FJ5" s="1780"/>
      <c r="FK5" s="1780"/>
      <c r="FL5" s="1780"/>
      <c r="FM5" s="1780"/>
      <c r="FN5" s="1780"/>
      <c r="FO5" s="1780"/>
      <c r="FP5" s="1780"/>
      <c r="FQ5" s="1780"/>
      <c r="FR5" s="1780"/>
      <c r="FS5" s="1780"/>
      <c r="FT5" s="1780"/>
      <c r="FU5" s="1780"/>
      <c r="FV5" s="1780"/>
      <c r="FW5" s="1780"/>
      <c r="FX5" s="1780"/>
      <c r="FY5" s="1780"/>
      <c r="FZ5" s="1780"/>
      <c r="GA5" s="1780"/>
      <c r="GB5" s="1780"/>
      <c r="GC5" s="1780"/>
      <c r="GD5" s="1780"/>
      <c r="GE5" s="1780"/>
      <c r="GF5" s="1780"/>
      <c r="GG5" s="1780"/>
      <c r="GH5" s="1780"/>
      <c r="GI5" s="1780"/>
      <c r="GJ5" s="1780"/>
      <c r="GK5" s="1780"/>
      <c r="GL5" s="1780"/>
      <c r="GM5" s="1780"/>
      <c r="GN5" s="1780"/>
      <c r="GO5" s="1780"/>
      <c r="GP5" s="1780"/>
      <c r="GQ5" s="1780"/>
      <c r="GR5" s="1780"/>
      <c r="GS5" s="1780"/>
      <c r="GT5" s="1780"/>
      <c r="GU5" s="1780"/>
      <c r="GV5" s="1780"/>
      <c r="GW5" s="1780"/>
      <c r="GX5" s="1780"/>
      <c r="GY5" s="1780"/>
      <c r="GZ5" s="1780"/>
      <c r="HA5" s="1780"/>
      <c r="HB5" s="1780"/>
      <c r="HC5" s="1780"/>
      <c r="HD5" s="1780"/>
      <c r="HE5" s="1780"/>
      <c r="HF5" s="1780"/>
      <c r="HG5" s="1780"/>
      <c r="HH5" s="1780"/>
      <c r="HI5" s="1780"/>
      <c r="HJ5" s="1780"/>
      <c r="HK5" s="1780"/>
      <c r="HL5" s="1780"/>
      <c r="HM5" s="1780"/>
      <c r="HN5" s="1780"/>
      <c r="HO5" s="1780"/>
      <c r="HP5" s="1780"/>
      <c r="HQ5" s="1780"/>
      <c r="HR5" s="1780"/>
      <c r="HS5" s="1780"/>
      <c r="HT5" s="1780"/>
      <c r="HU5" s="1780"/>
      <c r="HV5" s="1780"/>
      <c r="HW5" s="1780"/>
      <c r="HX5" s="1780"/>
      <c r="HY5" s="1780"/>
      <c r="HZ5" s="1780"/>
      <c r="IA5" s="1780"/>
      <c r="IB5" s="1780"/>
      <c r="IC5" s="1780"/>
      <c r="ID5" s="1780"/>
      <c r="IE5" s="1780"/>
      <c r="IF5" s="1780"/>
      <c r="IG5" s="1780"/>
      <c r="IH5" s="1780"/>
      <c r="II5" s="1780"/>
      <c r="IJ5" s="1780"/>
      <c r="IK5" s="1780"/>
      <c r="IL5" s="1780"/>
      <c r="IM5" s="1780"/>
      <c r="IN5" s="1780"/>
      <c r="IO5" s="1780"/>
      <c r="IP5" s="1780"/>
      <c r="IQ5" s="1780"/>
      <c r="IR5" s="1780"/>
    </row>
    <row r="6" spans="1:252" s="1963" customFormat="1" ht="15.6">
      <c r="A6" s="305" t="s">
        <v>991</v>
      </c>
      <c r="B6" s="305"/>
      <c r="C6" s="305"/>
      <c r="D6" s="305"/>
      <c r="E6" s="305"/>
      <c r="F6" s="1780"/>
      <c r="G6" s="1780"/>
      <c r="H6" s="305"/>
      <c r="I6" s="305"/>
      <c r="J6" s="305"/>
      <c r="K6" s="305"/>
      <c r="L6" s="305"/>
      <c r="M6" s="305"/>
      <c r="N6" s="305"/>
      <c r="O6" s="305"/>
      <c r="P6" s="305"/>
      <c r="Q6" s="1965"/>
      <c r="R6" s="1966"/>
      <c r="S6" s="1686"/>
      <c r="T6" s="1966"/>
      <c r="U6" s="1686"/>
      <c r="V6" s="1686"/>
      <c r="W6" s="1780"/>
      <c r="X6" s="1780"/>
      <c r="Y6" s="1780"/>
      <c r="Z6" s="1780"/>
      <c r="AA6" s="1780"/>
      <c r="AB6" s="1780"/>
      <c r="AC6" s="1780"/>
      <c r="AD6" s="1780"/>
      <c r="AE6" s="1780"/>
      <c r="AF6" s="1780"/>
      <c r="AG6" s="1780"/>
      <c r="AH6" s="1780"/>
      <c r="AI6" s="1780"/>
      <c r="AJ6" s="1780"/>
      <c r="AK6" s="1780"/>
      <c r="AL6" s="1780"/>
      <c r="AM6" s="1780"/>
      <c r="AN6" s="1780"/>
      <c r="AO6" s="1780"/>
      <c r="AP6" s="1780"/>
      <c r="AQ6" s="1780"/>
      <c r="AR6" s="1780"/>
      <c r="AS6" s="1780"/>
      <c r="AT6" s="1780"/>
      <c r="AU6" s="1780"/>
      <c r="AV6" s="1780"/>
      <c r="AW6" s="1780"/>
      <c r="AX6" s="1780"/>
      <c r="AY6" s="1780"/>
      <c r="AZ6" s="1780"/>
      <c r="BA6" s="1780"/>
      <c r="BB6" s="1780"/>
      <c r="BC6" s="1780"/>
      <c r="BD6" s="1780"/>
      <c r="BE6" s="1780"/>
      <c r="BF6" s="1780"/>
      <c r="BG6" s="1780"/>
      <c r="BH6" s="1780"/>
      <c r="BI6" s="1780"/>
      <c r="BJ6" s="1780"/>
      <c r="BK6" s="1780"/>
      <c r="BL6" s="1780"/>
      <c r="BM6" s="1780"/>
      <c r="BN6" s="1780"/>
      <c r="BO6" s="1780"/>
      <c r="BP6" s="1780"/>
      <c r="BQ6" s="1780"/>
      <c r="BR6" s="1780"/>
      <c r="BS6" s="1780"/>
      <c r="BT6" s="1780"/>
      <c r="BU6" s="1780"/>
      <c r="BV6" s="1780"/>
      <c r="BW6" s="1780"/>
      <c r="BX6" s="1780"/>
      <c r="BY6" s="1780"/>
      <c r="BZ6" s="1780"/>
      <c r="CA6" s="1780"/>
      <c r="CB6" s="1780"/>
      <c r="CC6" s="1780"/>
      <c r="CD6" s="1780"/>
      <c r="CE6" s="1780"/>
      <c r="CF6" s="1780"/>
      <c r="CG6" s="1780"/>
      <c r="CH6" s="1780"/>
      <c r="CI6" s="1780"/>
      <c r="CJ6" s="1780"/>
      <c r="CK6" s="1780"/>
      <c r="CL6" s="1780"/>
      <c r="CM6" s="1780"/>
      <c r="CN6" s="1780"/>
      <c r="CO6" s="1780"/>
      <c r="CP6" s="1780"/>
      <c r="CQ6" s="1780"/>
      <c r="CR6" s="1780"/>
      <c r="CS6" s="1780"/>
      <c r="CT6" s="1780"/>
      <c r="CU6" s="1780"/>
      <c r="CV6" s="1780"/>
      <c r="CW6" s="1780"/>
      <c r="CX6" s="1780"/>
      <c r="CY6" s="1780"/>
      <c r="CZ6" s="1780"/>
      <c r="DA6" s="1780"/>
      <c r="DB6" s="1780"/>
      <c r="DC6" s="1780"/>
      <c r="DD6" s="1780"/>
      <c r="DE6" s="1780"/>
      <c r="DF6" s="1780"/>
      <c r="DG6" s="1780"/>
      <c r="DH6" s="1780"/>
      <c r="DI6" s="1780"/>
      <c r="DJ6" s="1780"/>
      <c r="DK6" s="1780"/>
      <c r="DL6" s="1780"/>
      <c r="DM6" s="1780"/>
      <c r="DN6" s="1780"/>
      <c r="DO6" s="1780"/>
      <c r="DP6" s="1780"/>
      <c r="DQ6" s="1780"/>
      <c r="DR6" s="1780"/>
      <c r="DS6" s="1780"/>
      <c r="DT6" s="1780"/>
      <c r="DU6" s="1780"/>
      <c r="DV6" s="1780"/>
      <c r="DW6" s="1780"/>
      <c r="DX6" s="1780"/>
      <c r="DY6" s="1780"/>
      <c r="DZ6" s="1780"/>
      <c r="EA6" s="1780"/>
      <c r="EB6" s="1780"/>
      <c r="EC6" s="1780"/>
      <c r="ED6" s="1780"/>
      <c r="EE6" s="1780"/>
      <c r="EF6" s="1780"/>
      <c r="EG6" s="1780"/>
      <c r="EH6" s="1780"/>
      <c r="EI6" s="1780"/>
      <c r="EJ6" s="1780"/>
      <c r="EK6" s="1780"/>
      <c r="EL6" s="1780"/>
      <c r="EM6" s="1780"/>
      <c r="EN6" s="1780"/>
      <c r="EO6" s="1780"/>
      <c r="EP6" s="1780"/>
      <c r="EQ6" s="1780"/>
      <c r="ER6" s="1780"/>
      <c r="ES6" s="1780"/>
      <c r="ET6" s="1780"/>
      <c r="EU6" s="1780"/>
      <c r="EV6" s="1780"/>
      <c r="EW6" s="1780"/>
      <c r="EX6" s="1780"/>
      <c r="EY6" s="1780"/>
      <c r="EZ6" s="1780"/>
      <c r="FA6" s="1780"/>
      <c r="FB6" s="1780"/>
      <c r="FC6" s="1780"/>
      <c r="FD6" s="1780"/>
      <c r="FE6" s="1780"/>
      <c r="FF6" s="1780"/>
      <c r="FG6" s="1780"/>
      <c r="FH6" s="1780"/>
      <c r="FI6" s="1780"/>
      <c r="FJ6" s="1780"/>
      <c r="FK6" s="1780"/>
      <c r="FL6" s="1780"/>
      <c r="FM6" s="1780"/>
      <c r="FN6" s="1780"/>
      <c r="FO6" s="1780"/>
      <c r="FP6" s="1780"/>
      <c r="FQ6" s="1780"/>
      <c r="FR6" s="1780"/>
      <c r="FS6" s="1780"/>
      <c r="FT6" s="1780"/>
      <c r="FU6" s="1780"/>
      <c r="FV6" s="1780"/>
      <c r="FW6" s="1780"/>
      <c r="FX6" s="1780"/>
      <c r="FY6" s="1780"/>
      <c r="FZ6" s="1780"/>
      <c r="GA6" s="1780"/>
      <c r="GB6" s="1780"/>
      <c r="GC6" s="1780"/>
      <c r="GD6" s="1780"/>
      <c r="GE6" s="1780"/>
      <c r="GF6" s="1780"/>
      <c r="GG6" s="1780"/>
      <c r="GH6" s="1780"/>
      <c r="GI6" s="1780"/>
      <c r="GJ6" s="1780"/>
      <c r="GK6" s="1780"/>
      <c r="GL6" s="1780"/>
      <c r="GM6" s="1780"/>
      <c r="GN6" s="1780"/>
      <c r="GO6" s="1780"/>
      <c r="GP6" s="1780"/>
      <c r="GQ6" s="1780"/>
      <c r="GR6" s="1780"/>
      <c r="GS6" s="1780"/>
      <c r="GT6" s="1780"/>
      <c r="GU6" s="1780"/>
      <c r="GV6" s="1780"/>
      <c r="GW6" s="1780"/>
      <c r="GX6" s="1780"/>
      <c r="GY6" s="1780"/>
      <c r="GZ6" s="1780"/>
      <c r="HA6" s="1780"/>
      <c r="HB6" s="1780"/>
      <c r="HC6" s="1780"/>
      <c r="HD6" s="1780"/>
      <c r="HE6" s="1780"/>
      <c r="HF6" s="1780"/>
      <c r="HG6" s="1780"/>
      <c r="HH6" s="1780"/>
      <c r="HI6" s="1780"/>
      <c r="HJ6" s="1780"/>
      <c r="HK6" s="1780"/>
      <c r="HL6" s="1780"/>
      <c r="HM6" s="1780"/>
      <c r="HN6" s="1780"/>
      <c r="HO6" s="1780"/>
      <c r="HP6" s="1780"/>
      <c r="HQ6" s="1780"/>
      <c r="HR6" s="1780"/>
      <c r="HS6" s="1780"/>
      <c r="HT6" s="1780"/>
      <c r="HU6" s="1780"/>
      <c r="HV6" s="1780"/>
      <c r="HW6" s="1780"/>
      <c r="HX6" s="1780"/>
      <c r="HY6" s="1780"/>
      <c r="HZ6" s="1780"/>
      <c r="IA6" s="1780"/>
      <c r="IB6" s="1780"/>
      <c r="IC6" s="1780"/>
      <c r="ID6" s="1780"/>
      <c r="IE6" s="1780"/>
      <c r="IF6" s="1780"/>
      <c r="IG6" s="1780"/>
      <c r="IH6" s="1780"/>
      <c r="II6" s="1780"/>
      <c r="IJ6" s="1780"/>
      <c r="IK6" s="1780"/>
      <c r="IL6" s="1780"/>
      <c r="IM6" s="1780"/>
      <c r="IN6" s="1780"/>
      <c r="IO6" s="1780"/>
      <c r="IP6" s="1780"/>
      <c r="IQ6" s="1780"/>
      <c r="IR6" s="1780"/>
    </row>
    <row r="7" spans="1:252" s="1963" customFormat="1" ht="15.6">
      <c r="A7" s="308"/>
      <c r="B7" s="305"/>
      <c r="C7" s="305"/>
      <c r="D7" s="305"/>
      <c r="E7" s="305"/>
      <c r="F7" s="1780"/>
      <c r="G7" s="1780"/>
      <c r="H7" s="305"/>
      <c r="I7" s="305"/>
      <c r="J7" s="305"/>
      <c r="K7" s="305"/>
      <c r="L7" s="305"/>
      <c r="M7" s="305"/>
      <c r="N7" s="305"/>
      <c r="O7" s="305"/>
      <c r="P7" s="305"/>
      <c r="Q7" s="1965"/>
      <c r="R7" s="1966"/>
      <c r="S7" s="1686"/>
      <c r="T7" s="1966"/>
      <c r="U7" s="1686"/>
      <c r="V7" s="1686"/>
      <c r="W7" s="1780"/>
      <c r="X7" s="1780"/>
      <c r="Y7" s="1780"/>
      <c r="Z7" s="1780"/>
      <c r="AA7" s="1780"/>
      <c r="AB7" s="1780"/>
      <c r="AC7" s="1780"/>
      <c r="AD7" s="1780"/>
      <c r="AE7" s="1780"/>
      <c r="AF7" s="1780"/>
      <c r="AG7" s="1780"/>
      <c r="AH7" s="1780"/>
      <c r="AI7" s="1780"/>
      <c r="AJ7" s="1780"/>
      <c r="AK7" s="1780"/>
      <c r="AL7" s="1780"/>
      <c r="AM7" s="1780"/>
      <c r="AN7" s="1780"/>
      <c r="AO7" s="1780"/>
      <c r="AP7" s="1780"/>
      <c r="AQ7" s="1780"/>
      <c r="AR7" s="1780"/>
      <c r="AS7" s="1780"/>
      <c r="AT7" s="1780"/>
      <c r="AU7" s="1780"/>
      <c r="AV7" s="1780"/>
      <c r="AW7" s="1780"/>
      <c r="AX7" s="1780"/>
      <c r="AY7" s="1780"/>
      <c r="AZ7" s="1780"/>
      <c r="BA7" s="1780"/>
      <c r="BB7" s="1780"/>
      <c r="BC7" s="1780"/>
      <c r="BD7" s="1780"/>
      <c r="BE7" s="1780"/>
      <c r="BF7" s="1780"/>
      <c r="BG7" s="1780"/>
      <c r="BH7" s="1780"/>
      <c r="BI7" s="1780"/>
      <c r="BJ7" s="1780"/>
      <c r="BK7" s="1780"/>
      <c r="BL7" s="1780"/>
      <c r="BM7" s="1780"/>
      <c r="BN7" s="1780"/>
      <c r="BO7" s="1780"/>
      <c r="BP7" s="1780"/>
      <c r="BQ7" s="1780"/>
      <c r="BR7" s="1780"/>
      <c r="BS7" s="1780"/>
      <c r="BT7" s="1780"/>
      <c r="BU7" s="1780"/>
      <c r="BV7" s="1780"/>
      <c r="BW7" s="1780"/>
      <c r="BX7" s="1780"/>
      <c r="BY7" s="1780"/>
      <c r="BZ7" s="1780"/>
      <c r="CA7" s="1780"/>
      <c r="CB7" s="1780"/>
      <c r="CC7" s="1780"/>
      <c r="CD7" s="1780"/>
      <c r="CE7" s="1780"/>
      <c r="CF7" s="1780"/>
      <c r="CG7" s="1780"/>
      <c r="CH7" s="1780"/>
      <c r="CI7" s="1780"/>
      <c r="CJ7" s="1780"/>
      <c r="CK7" s="1780"/>
      <c r="CL7" s="1780"/>
      <c r="CM7" s="1780"/>
      <c r="CN7" s="1780"/>
      <c r="CO7" s="1780"/>
      <c r="CP7" s="1780"/>
      <c r="CQ7" s="1780"/>
      <c r="CR7" s="1780"/>
      <c r="CS7" s="1780"/>
      <c r="CT7" s="1780"/>
      <c r="CU7" s="1780"/>
      <c r="CV7" s="1780"/>
      <c r="CW7" s="1780"/>
      <c r="CX7" s="1780"/>
      <c r="CY7" s="1780"/>
      <c r="CZ7" s="1780"/>
      <c r="DA7" s="1780"/>
      <c r="DB7" s="1780"/>
      <c r="DC7" s="1780"/>
      <c r="DD7" s="1780"/>
      <c r="DE7" s="1780"/>
      <c r="DF7" s="1780"/>
      <c r="DG7" s="1780"/>
      <c r="DH7" s="1780"/>
      <c r="DI7" s="1780"/>
      <c r="DJ7" s="1780"/>
      <c r="DK7" s="1780"/>
      <c r="DL7" s="1780"/>
      <c r="DM7" s="1780"/>
      <c r="DN7" s="1780"/>
      <c r="DO7" s="1780"/>
      <c r="DP7" s="1780"/>
      <c r="DQ7" s="1780"/>
      <c r="DR7" s="1780"/>
      <c r="DS7" s="1780"/>
      <c r="DT7" s="1780"/>
      <c r="DU7" s="1780"/>
      <c r="DV7" s="1780"/>
      <c r="DW7" s="1780"/>
      <c r="DX7" s="1780"/>
      <c r="DY7" s="1780"/>
      <c r="DZ7" s="1780"/>
      <c r="EA7" s="1780"/>
      <c r="EB7" s="1780"/>
      <c r="EC7" s="1780"/>
      <c r="ED7" s="1780"/>
      <c r="EE7" s="1780"/>
      <c r="EF7" s="1780"/>
      <c r="EG7" s="1780"/>
      <c r="EH7" s="1780"/>
      <c r="EI7" s="1780"/>
      <c r="EJ7" s="1780"/>
      <c r="EK7" s="1780"/>
      <c r="EL7" s="1780"/>
      <c r="EM7" s="1780"/>
      <c r="EN7" s="1780"/>
      <c r="EO7" s="1780"/>
      <c r="EP7" s="1780"/>
      <c r="EQ7" s="1780"/>
      <c r="ER7" s="1780"/>
      <c r="ES7" s="1780"/>
      <c r="ET7" s="1780"/>
      <c r="EU7" s="1780"/>
      <c r="EV7" s="1780"/>
      <c r="EW7" s="1780"/>
      <c r="EX7" s="1780"/>
      <c r="EY7" s="1780"/>
      <c r="EZ7" s="1780"/>
      <c r="FA7" s="1780"/>
      <c r="FB7" s="1780"/>
      <c r="FC7" s="1780"/>
      <c r="FD7" s="1780"/>
      <c r="FE7" s="1780"/>
      <c r="FF7" s="1780"/>
      <c r="FG7" s="1780"/>
      <c r="FH7" s="1780"/>
      <c r="FI7" s="1780"/>
      <c r="FJ7" s="1780"/>
      <c r="FK7" s="1780"/>
      <c r="FL7" s="1780"/>
      <c r="FM7" s="1780"/>
      <c r="FN7" s="1780"/>
      <c r="FO7" s="1780"/>
      <c r="FP7" s="1780"/>
      <c r="FQ7" s="1780"/>
      <c r="FR7" s="1780"/>
      <c r="FS7" s="1780"/>
      <c r="FT7" s="1780"/>
      <c r="FU7" s="1780"/>
      <c r="FV7" s="1780"/>
      <c r="FW7" s="1780"/>
      <c r="FX7" s="1780"/>
      <c r="FY7" s="1780"/>
      <c r="FZ7" s="1780"/>
      <c r="GA7" s="1780"/>
      <c r="GB7" s="1780"/>
      <c r="GC7" s="1780"/>
      <c r="GD7" s="1780"/>
      <c r="GE7" s="1780"/>
      <c r="GF7" s="1780"/>
      <c r="GG7" s="1780"/>
      <c r="GH7" s="1780"/>
      <c r="GI7" s="1780"/>
      <c r="GJ7" s="1780"/>
      <c r="GK7" s="1780"/>
      <c r="GL7" s="1780"/>
      <c r="GM7" s="1780"/>
      <c r="GN7" s="1780"/>
      <c r="GO7" s="1780"/>
      <c r="GP7" s="1780"/>
      <c r="GQ7" s="1780"/>
      <c r="GR7" s="1780"/>
      <c r="GS7" s="1780"/>
      <c r="GT7" s="1780"/>
      <c r="GU7" s="1780"/>
      <c r="GV7" s="1780"/>
      <c r="GW7" s="1780"/>
      <c r="GX7" s="1780"/>
      <c r="GY7" s="1780"/>
      <c r="GZ7" s="1780"/>
      <c r="HA7" s="1780"/>
      <c r="HB7" s="1780"/>
      <c r="HC7" s="1780"/>
      <c r="HD7" s="1780"/>
      <c r="HE7" s="1780"/>
      <c r="HF7" s="1780"/>
      <c r="HG7" s="1780"/>
      <c r="HH7" s="1780"/>
      <c r="HI7" s="1780"/>
      <c r="HJ7" s="1780"/>
      <c r="HK7" s="1780"/>
      <c r="HL7" s="1780"/>
      <c r="HM7" s="1780"/>
      <c r="HN7" s="1780"/>
      <c r="HO7" s="1780"/>
      <c r="HP7" s="1780"/>
      <c r="HQ7" s="1780"/>
      <c r="HR7" s="1780"/>
      <c r="HS7" s="1780"/>
      <c r="HT7" s="1780"/>
      <c r="HU7" s="1780"/>
      <c r="HV7" s="1780"/>
      <c r="HW7" s="1780"/>
      <c r="HX7" s="1780"/>
      <c r="HY7" s="1780"/>
      <c r="HZ7" s="1780"/>
      <c r="IA7" s="1780"/>
      <c r="IB7" s="1780"/>
      <c r="IC7" s="1780"/>
      <c r="ID7" s="1780"/>
      <c r="IE7" s="1780"/>
      <c r="IF7" s="1780"/>
      <c r="IG7" s="1780"/>
      <c r="IH7" s="1780"/>
      <c r="II7" s="1780"/>
      <c r="IJ7" s="1780"/>
      <c r="IK7" s="1780"/>
      <c r="IL7" s="1780"/>
      <c r="IM7" s="1780"/>
      <c r="IN7" s="1780"/>
      <c r="IO7" s="1780"/>
      <c r="IP7" s="1780"/>
      <c r="IQ7" s="1780"/>
      <c r="IR7" s="1780"/>
    </row>
    <row r="8" spans="1:252" s="1963" customFormat="1" ht="15.6">
      <c r="B8" s="305"/>
      <c r="C8" s="305"/>
      <c r="D8" s="305"/>
      <c r="E8" s="305"/>
      <c r="F8" s="1780"/>
      <c r="G8" s="1780"/>
      <c r="H8" s="305"/>
      <c r="I8" s="305"/>
      <c r="J8" s="305"/>
      <c r="K8" s="305"/>
      <c r="L8" s="305"/>
      <c r="M8" s="305"/>
      <c r="N8" s="305"/>
      <c r="O8" s="305"/>
      <c r="P8" s="305"/>
      <c r="Q8" s="1965"/>
      <c r="R8" s="1966"/>
      <c r="S8" s="1686"/>
      <c r="T8" s="1966"/>
      <c r="U8" s="1686"/>
      <c r="V8" s="1686"/>
      <c r="W8" s="1780"/>
      <c r="X8" s="1780"/>
      <c r="Y8" s="1780"/>
      <c r="Z8" s="1780"/>
      <c r="AA8" s="1780"/>
      <c r="AB8" s="1780"/>
      <c r="AC8" s="1780"/>
      <c r="AD8" s="1780"/>
      <c r="AE8" s="1780"/>
      <c r="AF8" s="1780"/>
      <c r="AG8" s="1780"/>
      <c r="AH8" s="1780"/>
      <c r="AI8" s="1780"/>
      <c r="AJ8" s="1780"/>
      <c r="AK8" s="1780"/>
      <c r="AL8" s="1780"/>
      <c r="AM8" s="1780"/>
      <c r="AN8" s="1780"/>
      <c r="AO8" s="1780"/>
      <c r="AP8" s="1780"/>
      <c r="AQ8" s="1780"/>
      <c r="AR8" s="1780"/>
      <c r="AS8" s="1780"/>
      <c r="AT8" s="1780"/>
      <c r="AU8" s="1780"/>
      <c r="AV8" s="1780"/>
      <c r="AW8" s="1780"/>
      <c r="AX8" s="1780"/>
      <c r="AY8" s="1780"/>
      <c r="AZ8" s="1780"/>
      <c r="BA8" s="1780"/>
      <c r="BB8" s="1780"/>
      <c r="BC8" s="1780"/>
      <c r="BD8" s="1780"/>
      <c r="BE8" s="1780"/>
      <c r="BF8" s="1780"/>
      <c r="BG8" s="1780"/>
      <c r="BH8" s="1780"/>
      <c r="BI8" s="1780"/>
      <c r="BJ8" s="1780"/>
      <c r="BK8" s="1780"/>
      <c r="BL8" s="1780"/>
      <c r="BM8" s="1780"/>
      <c r="BN8" s="1780"/>
      <c r="BO8" s="1780"/>
      <c r="BP8" s="1780"/>
      <c r="BQ8" s="1780"/>
      <c r="BR8" s="1780"/>
      <c r="BS8" s="1780"/>
      <c r="BT8" s="1780"/>
      <c r="BU8" s="1780"/>
      <c r="BV8" s="1780"/>
      <c r="BW8" s="1780"/>
      <c r="BX8" s="1780"/>
      <c r="BY8" s="1780"/>
      <c r="BZ8" s="1780"/>
      <c r="CA8" s="1780"/>
      <c r="CB8" s="1780"/>
      <c r="CC8" s="1780"/>
      <c r="CD8" s="1780"/>
      <c r="CE8" s="1780"/>
      <c r="CF8" s="1780"/>
      <c r="CG8" s="1780"/>
      <c r="CH8" s="1780"/>
      <c r="CI8" s="1780"/>
      <c r="CJ8" s="1780"/>
      <c r="CK8" s="1780"/>
      <c r="CL8" s="1780"/>
      <c r="CM8" s="1780"/>
      <c r="CN8" s="1780"/>
      <c r="CO8" s="1780"/>
      <c r="CP8" s="1780"/>
      <c r="CQ8" s="1780"/>
      <c r="CR8" s="1780"/>
      <c r="CS8" s="1780"/>
      <c r="CT8" s="1780"/>
      <c r="CU8" s="1780"/>
      <c r="CV8" s="1780"/>
      <c r="CW8" s="1780"/>
      <c r="CX8" s="1780"/>
      <c r="CY8" s="1780"/>
      <c r="CZ8" s="1780"/>
      <c r="DA8" s="1780"/>
      <c r="DB8" s="1780"/>
      <c r="DC8" s="1780"/>
      <c r="DD8" s="1780"/>
      <c r="DE8" s="1780"/>
      <c r="DF8" s="1780"/>
      <c r="DG8" s="1780"/>
      <c r="DH8" s="1780"/>
      <c r="DI8" s="1780"/>
      <c r="DJ8" s="1780"/>
      <c r="DK8" s="1780"/>
      <c r="DL8" s="1780"/>
      <c r="DM8" s="1780"/>
      <c r="DN8" s="1780"/>
      <c r="DO8" s="1780"/>
      <c r="DP8" s="1780"/>
      <c r="DQ8" s="1780"/>
      <c r="DR8" s="1780"/>
      <c r="DS8" s="1780"/>
      <c r="DT8" s="1780"/>
      <c r="DU8" s="1780"/>
      <c r="DV8" s="1780"/>
      <c r="DW8" s="1780"/>
      <c r="DX8" s="1780"/>
      <c r="DY8" s="1780"/>
      <c r="DZ8" s="1780"/>
      <c r="EA8" s="1780"/>
      <c r="EB8" s="1780"/>
      <c r="EC8" s="1780"/>
      <c r="ED8" s="1780"/>
      <c r="EE8" s="1780"/>
      <c r="EF8" s="1780"/>
      <c r="EG8" s="1780"/>
      <c r="EH8" s="1780"/>
      <c r="EI8" s="1780"/>
      <c r="EJ8" s="1780"/>
      <c r="EK8" s="1780"/>
      <c r="EL8" s="1780"/>
      <c r="EM8" s="1780"/>
      <c r="EN8" s="1780"/>
      <c r="EO8" s="1780"/>
      <c r="EP8" s="1780"/>
      <c r="EQ8" s="1780"/>
      <c r="ER8" s="1780"/>
      <c r="ES8" s="1780"/>
      <c r="ET8" s="1780"/>
      <c r="EU8" s="1780"/>
      <c r="EV8" s="1780"/>
      <c r="EW8" s="1780"/>
      <c r="EX8" s="1780"/>
      <c r="EY8" s="1780"/>
      <c r="EZ8" s="1780"/>
      <c r="FA8" s="1780"/>
      <c r="FB8" s="1780"/>
      <c r="FC8" s="1780"/>
      <c r="FD8" s="1780"/>
      <c r="FE8" s="1780"/>
      <c r="FF8" s="1780"/>
      <c r="FG8" s="1780"/>
      <c r="FH8" s="1780"/>
      <c r="FI8" s="1780"/>
      <c r="FJ8" s="1780"/>
      <c r="FK8" s="1780"/>
      <c r="FL8" s="1780"/>
      <c r="FM8" s="1780"/>
      <c r="FN8" s="1780"/>
      <c r="FO8" s="1780"/>
      <c r="FP8" s="1780"/>
      <c r="FQ8" s="1780"/>
      <c r="FR8" s="1780"/>
      <c r="FS8" s="1780"/>
      <c r="FT8" s="1780"/>
      <c r="FU8" s="1780"/>
      <c r="FV8" s="1780"/>
      <c r="FW8" s="1780"/>
      <c r="FX8" s="1780"/>
      <c r="FY8" s="1780"/>
      <c r="FZ8" s="1780"/>
      <c r="GA8" s="1780"/>
      <c r="GB8" s="1780"/>
      <c r="GC8" s="1780"/>
      <c r="GD8" s="1780"/>
      <c r="GE8" s="1780"/>
      <c r="GF8" s="1780"/>
      <c r="GG8" s="1780"/>
      <c r="GH8" s="1780"/>
      <c r="GI8" s="1780"/>
      <c r="GJ8" s="1780"/>
      <c r="GK8" s="1780"/>
      <c r="GL8" s="1780"/>
      <c r="GM8" s="1780"/>
      <c r="GN8" s="1780"/>
      <c r="GO8" s="1780"/>
      <c r="GP8" s="1780"/>
      <c r="GQ8" s="1780"/>
      <c r="GR8" s="1780"/>
      <c r="GS8" s="1780"/>
      <c r="GT8" s="1780"/>
      <c r="GU8" s="1780"/>
      <c r="GV8" s="1780"/>
      <c r="GW8" s="1780"/>
      <c r="GX8" s="1780"/>
      <c r="GY8" s="1780"/>
      <c r="GZ8" s="1780"/>
      <c r="HA8" s="1780"/>
      <c r="HB8" s="1780"/>
      <c r="HC8" s="1780"/>
      <c r="HD8" s="1780"/>
      <c r="HE8" s="1780"/>
      <c r="HF8" s="1780"/>
      <c r="HG8" s="1780"/>
      <c r="HH8" s="1780"/>
      <c r="HI8" s="1780"/>
      <c r="HJ8" s="1780"/>
      <c r="HK8" s="1780"/>
      <c r="HL8" s="1780"/>
      <c r="HM8" s="1780"/>
      <c r="HN8" s="1780"/>
      <c r="HO8" s="1780"/>
      <c r="HP8" s="1780"/>
      <c r="HQ8" s="1780"/>
      <c r="HR8" s="1780"/>
      <c r="HS8" s="1780"/>
      <c r="HT8" s="1780"/>
      <c r="HU8" s="1780"/>
      <c r="HV8" s="1780"/>
      <c r="HW8" s="1780"/>
      <c r="HX8" s="1780"/>
      <c r="HY8" s="1780"/>
      <c r="HZ8" s="1780"/>
      <c r="IA8" s="1780"/>
      <c r="IB8" s="1780"/>
      <c r="IC8" s="1780"/>
      <c r="ID8" s="1780"/>
      <c r="IE8" s="1780"/>
      <c r="IF8" s="1780"/>
      <c r="IG8" s="1780"/>
      <c r="IH8" s="1780"/>
      <c r="II8" s="1780"/>
      <c r="IJ8" s="1780"/>
      <c r="IK8" s="1780"/>
      <c r="IL8" s="1780"/>
      <c r="IM8" s="1780"/>
      <c r="IN8" s="1780"/>
      <c r="IO8" s="1780"/>
      <c r="IP8" s="1780"/>
      <c r="IQ8" s="1780"/>
      <c r="IR8" s="1780"/>
    </row>
    <row r="9" spans="1:252" s="1963" customFormat="1" ht="8.1" customHeight="1">
      <c r="A9" s="1965"/>
      <c r="B9" s="305"/>
      <c r="C9" s="305"/>
      <c r="D9" s="305"/>
      <c r="E9" s="305"/>
      <c r="F9" s="305"/>
      <c r="G9" s="1780"/>
      <c r="H9" s="305"/>
      <c r="I9" s="305"/>
      <c r="J9" s="305"/>
      <c r="K9" s="305"/>
      <c r="L9" s="305"/>
      <c r="M9" s="305"/>
      <c r="N9" s="305"/>
      <c r="O9" s="305"/>
      <c r="P9" s="305"/>
      <c r="Q9" s="1965"/>
      <c r="R9" s="1967"/>
      <c r="S9" s="1965"/>
      <c r="T9" s="1962"/>
      <c r="U9" s="1780"/>
      <c r="V9" s="1780"/>
      <c r="W9" s="1780"/>
      <c r="X9" s="1780"/>
      <c r="Y9" s="1780"/>
      <c r="Z9" s="1780"/>
      <c r="AA9" s="1780"/>
      <c r="AB9" s="1780"/>
      <c r="AC9" s="1780"/>
      <c r="AD9" s="1780"/>
      <c r="AE9" s="1780"/>
      <c r="AF9" s="1780"/>
      <c r="AG9" s="1780"/>
      <c r="AH9" s="1780"/>
      <c r="AI9" s="1780"/>
      <c r="AJ9" s="1780"/>
      <c r="AK9" s="1780"/>
      <c r="AL9" s="1780"/>
      <c r="AM9" s="1780"/>
      <c r="AN9" s="1780"/>
      <c r="AO9" s="1780"/>
      <c r="AP9" s="1780"/>
      <c r="AQ9" s="1780"/>
      <c r="AR9" s="1780"/>
      <c r="AS9" s="1780"/>
      <c r="AT9" s="1780"/>
      <c r="AU9" s="1780"/>
      <c r="AV9" s="1780"/>
      <c r="AW9" s="1780"/>
      <c r="AX9" s="1780"/>
      <c r="AY9" s="1780"/>
      <c r="AZ9" s="1780"/>
      <c r="BA9" s="1780"/>
      <c r="BB9" s="1780"/>
      <c r="BC9" s="1780"/>
      <c r="BD9" s="1780"/>
      <c r="BE9" s="1780"/>
      <c r="BF9" s="1780"/>
      <c r="BG9" s="1780"/>
      <c r="BH9" s="1780"/>
      <c r="BI9" s="1780"/>
      <c r="BJ9" s="1780"/>
      <c r="BK9" s="1780"/>
      <c r="BL9" s="1780"/>
      <c r="BM9" s="1780"/>
      <c r="BN9" s="1780"/>
      <c r="BO9" s="1780"/>
      <c r="BP9" s="1780"/>
      <c r="BQ9" s="1780"/>
      <c r="BR9" s="1780"/>
      <c r="BS9" s="1780"/>
      <c r="BT9" s="1780"/>
      <c r="BU9" s="1780"/>
      <c r="BV9" s="1780"/>
      <c r="BW9" s="1780"/>
      <c r="BX9" s="1780"/>
      <c r="BY9" s="1780"/>
      <c r="BZ9" s="1780"/>
      <c r="CA9" s="1780"/>
      <c r="CB9" s="1780"/>
      <c r="CC9" s="1780"/>
      <c r="CD9" s="1780"/>
      <c r="CE9" s="1780"/>
      <c r="CF9" s="1780"/>
      <c r="CG9" s="1780"/>
      <c r="CH9" s="1780"/>
      <c r="CI9" s="1780"/>
      <c r="CJ9" s="1780"/>
      <c r="CK9" s="1780"/>
      <c r="CL9" s="1780"/>
      <c r="CM9" s="1780"/>
      <c r="CN9" s="1780"/>
      <c r="CO9" s="1780"/>
      <c r="CP9" s="1780"/>
      <c r="CQ9" s="1780"/>
      <c r="CR9" s="1780"/>
      <c r="CS9" s="1780"/>
      <c r="CT9" s="1780"/>
      <c r="CU9" s="1780"/>
      <c r="CV9" s="1780"/>
      <c r="CW9" s="1780"/>
      <c r="CX9" s="1780"/>
      <c r="CY9" s="1780"/>
      <c r="CZ9" s="1780"/>
      <c r="DA9" s="1780"/>
      <c r="DB9" s="1780"/>
      <c r="DC9" s="1780"/>
      <c r="DD9" s="1780"/>
      <c r="DE9" s="1780"/>
      <c r="DF9" s="1780"/>
      <c r="DG9" s="1780"/>
      <c r="DH9" s="1780"/>
      <c r="DI9" s="1780"/>
      <c r="DJ9" s="1780"/>
      <c r="DK9" s="1780"/>
      <c r="DL9" s="1780"/>
      <c r="DM9" s="1780"/>
      <c r="DN9" s="1780"/>
      <c r="DO9" s="1780"/>
      <c r="DP9" s="1780"/>
      <c r="DQ9" s="1780"/>
      <c r="DR9" s="1780"/>
      <c r="DS9" s="1780"/>
      <c r="DT9" s="1780"/>
      <c r="DU9" s="1780"/>
      <c r="DV9" s="1780"/>
      <c r="DW9" s="1780"/>
      <c r="DX9" s="1780"/>
      <c r="DY9" s="1780"/>
      <c r="DZ9" s="1780"/>
      <c r="EA9" s="1780"/>
      <c r="EB9" s="1780"/>
      <c r="EC9" s="1780"/>
      <c r="ED9" s="1780"/>
      <c r="EE9" s="1780"/>
      <c r="EF9" s="1780"/>
      <c r="EG9" s="1780"/>
      <c r="EH9" s="1780"/>
      <c r="EI9" s="1780"/>
      <c r="EJ9" s="1780"/>
      <c r="EK9" s="1780"/>
      <c r="EL9" s="1780"/>
      <c r="EM9" s="1780"/>
      <c r="EN9" s="1780"/>
      <c r="EO9" s="1780"/>
      <c r="EP9" s="1780"/>
      <c r="EQ9" s="1780"/>
      <c r="ER9" s="1780"/>
      <c r="ES9" s="1780"/>
      <c r="ET9" s="1780"/>
      <c r="EU9" s="1780"/>
      <c r="EV9" s="1780"/>
      <c r="EW9" s="1780"/>
      <c r="EX9" s="1780"/>
      <c r="EY9" s="1780"/>
      <c r="EZ9" s="1780"/>
      <c r="FA9" s="1780"/>
      <c r="FB9" s="1780"/>
      <c r="FC9" s="1780"/>
      <c r="FD9" s="1780"/>
      <c r="FE9" s="1780"/>
      <c r="FF9" s="1780"/>
      <c r="FG9" s="1780"/>
      <c r="FH9" s="1780"/>
      <c r="FI9" s="1780"/>
      <c r="FJ9" s="1780"/>
      <c r="FK9" s="1780"/>
      <c r="FL9" s="1780"/>
      <c r="FM9" s="1780"/>
      <c r="FN9" s="1780"/>
      <c r="FO9" s="1780"/>
      <c r="FP9" s="1780"/>
      <c r="FQ9" s="1780"/>
      <c r="FR9" s="1780"/>
      <c r="FS9" s="1780"/>
      <c r="FT9" s="1780"/>
      <c r="FU9" s="1780"/>
      <c r="FV9" s="1780"/>
      <c r="FW9" s="1780"/>
      <c r="FX9" s="1780"/>
      <c r="FY9" s="1780"/>
      <c r="FZ9" s="1780"/>
      <c r="GA9" s="1780"/>
      <c r="GB9" s="1780"/>
      <c r="GC9" s="1780"/>
      <c r="GD9" s="1780"/>
      <c r="GE9" s="1780"/>
      <c r="GF9" s="1780"/>
      <c r="GG9" s="1780"/>
      <c r="GH9" s="1780"/>
      <c r="GI9" s="1780"/>
      <c r="GJ9" s="1780"/>
      <c r="GK9" s="1780"/>
      <c r="GL9" s="1780"/>
      <c r="GM9" s="1780"/>
      <c r="GN9" s="1780"/>
      <c r="GO9" s="1780"/>
      <c r="GP9" s="1780"/>
      <c r="GQ9" s="1780"/>
      <c r="GR9" s="1780"/>
      <c r="GS9" s="1780"/>
      <c r="GT9" s="1780"/>
      <c r="GU9" s="1780"/>
      <c r="GV9" s="1780"/>
      <c r="GW9" s="1780"/>
      <c r="GX9" s="1780"/>
      <c r="GY9" s="1780"/>
      <c r="GZ9" s="1780"/>
      <c r="HA9" s="1780"/>
      <c r="HB9" s="1780"/>
      <c r="HC9" s="1780"/>
      <c r="HD9" s="1780"/>
      <c r="HE9" s="1780"/>
      <c r="HF9" s="1780"/>
      <c r="HG9" s="1780"/>
      <c r="HH9" s="1780"/>
      <c r="HI9" s="1780"/>
      <c r="HJ9" s="1780"/>
      <c r="HK9" s="1780"/>
      <c r="HL9" s="1780"/>
      <c r="HM9" s="1780"/>
      <c r="HN9" s="1780"/>
      <c r="HO9" s="1780"/>
      <c r="HP9" s="1780"/>
      <c r="HQ9" s="1780"/>
      <c r="HR9" s="1780"/>
      <c r="HS9" s="1780"/>
      <c r="HT9" s="1780"/>
      <c r="HU9" s="1780"/>
      <c r="HV9" s="1780"/>
      <c r="HW9" s="1780"/>
      <c r="HX9" s="1780"/>
      <c r="HY9" s="1780"/>
      <c r="HZ9" s="1780"/>
      <c r="IA9" s="1780"/>
      <c r="IB9" s="1780"/>
      <c r="IC9" s="1780"/>
      <c r="ID9" s="1780"/>
      <c r="IE9" s="1780"/>
      <c r="IF9" s="1780"/>
      <c r="IG9" s="1780"/>
      <c r="IH9" s="1780"/>
      <c r="II9" s="1780"/>
      <c r="IJ9" s="1780"/>
      <c r="IK9" s="1780"/>
      <c r="IL9" s="1780"/>
      <c r="IM9" s="1780"/>
      <c r="IN9" s="1780"/>
      <c r="IO9" s="1780"/>
      <c r="IP9" s="1780"/>
      <c r="IQ9" s="1780"/>
      <c r="IR9" s="1780"/>
    </row>
    <row r="10" spans="1:252" s="1963" customFormat="1" ht="15.6">
      <c r="A10" s="1965"/>
      <c r="B10" s="305"/>
      <c r="C10" s="305"/>
      <c r="D10" s="305"/>
      <c r="E10" s="305"/>
      <c r="F10" s="305"/>
      <c r="G10" s="1780"/>
      <c r="H10" s="305"/>
      <c r="I10" s="305"/>
      <c r="J10" s="305"/>
      <c r="K10" s="305"/>
      <c r="L10" s="305"/>
      <c r="M10" s="305"/>
      <c r="N10" s="305"/>
      <c r="O10" s="305"/>
      <c r="P10" s="305"/>
      <c r="Q10" s="1965"/>
      <c r="R10" s="1966"/>
      <c r="S10" s="1686"/>
      <c r="T10" s="1966"/>
      <c r="U10" s="1686"/>
      <c r="V10" s="1686"/>
      <c r="W10" s="1780"/>
      <c r="X10" s="1780"/>
      <c r="Y10" s="1780"/>
      <c r="Z10" s="1780"/>
      <c r="AA10" s="1780"/>
      <c r="AB10" s="1780"/>
      <c r="AC10" s="1780"/>
      <c r="AD10" s="1780"/>
      <c r="AE10" s="1780"/>
      <c r="AF10" s="1780"/>
      <c r="AG10" s="1780"/>
      <c r="AH10" s="1780"/>
      <c r="AI10" s="1780"/>
      <c r="AJ10" s="1780"/>
      <c r="AK10" s="1780"/>
      <c r="AL10" s="1780"/>
      <c r="AM10" s="1780"/>
      <c r="AN10" s="1780"/>
      <c r="AO10" s="1780"/>
      <c r="AP10" s="1780"/>
      <c r="AQ10" s="1780"/>
      <c r="AR10" s="1780"/>
      <c r="AS10" s="1780"/>
      <c r="AT10" s="1780"/>
      <c r="AU10" s="1780"/>
      <c r="AV10" s="1780"/>
      <c r="AW10" s="1780"/>
      <c r="AX10" s="1780"/>
      <c r="AY10" s="1780"/>
      <c r="AZ10" s="1780"/>
      <c r="BA10" s="1780"/>
      <c r="BB10" s="1780"/>
      <c r="BC10" s="1780"/>
      <c r="BD10" s="1780"/>
      <c r="BE10" s="1780"/>
      <c r="BF10" s="1780"/>
      <c r="BG10" s="1780"/>
      <c r="BH10" s="1780"/>
      <c r="BI10" s="1780"/>
      <c r="BJ10" s="1780"/>
      <c r="BK10" s="1780"/>
      <c r="BL10" s="1780"/>
      <c r="BM10" s="1780"/>
      <c r="BN10" s="1780"/>
      <c r="BO10" s="1780"/>
      <c r="BP10" s="1780"/>
      <c r="BQ10" s="1780"/>
      <c r="BR10" s="1780"/>
      <c r="BS10" s="1780"/>
      <c r="BT10" s="1780"/>
      <c r="BU10" s="1780"/>
      <c r="BV10" s="1780"/>
      <c r="BW10" s="1780"/>
      <c r="BX10" s="1780"/>
      <c r="BY10" s="1780"/>
      <c r="BZ10" s="1780"/>
      <c r="CA10" s="1780"/>
      <c r="CB10" s="1780"/>
      <c r="CC10" s="1780"/>
      <c r="CD10" s="1780"/>
      <c r="CE10" s="1780"/>
      <c r="CF10" s="1780"/>
      <c r="CG10" s="1780"/>
      <c r="CH10" s="1780"/>
      <c r="CI10" s="1780"/>
      <c r="CJ10" s="1780"/>
      <c r="CK10" s="1780"/>
      <c r="CL10" s="1780"/>
      <c r="CM10" s="1780"/>
      <c r="CN10" s="1780"/>
      <c r="CO10" s="1780"/>
      <c r="CP10" s="1780"/>
      <c r="CQ10" s="1780"/>
      <c r="CR10" s="1780"/>
      <c r="CS10" s="1780"/>
      <c r="CT10" s="1780"/>
      <c r="CU10" s="1780"/>
      <c r="CV10" s="1780"/>
      <c r="CW10" s="1780"/>
      <c r="CX10" s="1780"/>
      <c r="CY10" s="1780"/>
      <c r="CZ10" s="1780"/>
      <c r="DA10" s="1780"/>
      <c r="DB10" s="1780"/>
      <c r="DC10" s="1780"/>
      <c r="DD10" s="1780"/>
      <c r="DE10" s="1780"/>
      <c r="DF10" s="1780"/>
      <c r="DG10" s="1780"/>
      <c r="DH10" s="1780"/>
      <c r="DI10" s="1780"/>
      <c r="DJ10" s="1780"/>
      <c r="DK10" s="1780"/>
      <c r="DL10" s="1780"/>
      <c r="DM10" s="1780"/>
      <c r="DN10" s="1780"/>
      <c r="DO10" s="1780"/>
      <c r="DP10" s="1780"/>
      <c r="DQ10" s="1780"/>
      <c r="DR10" s="1780"/>
      <c r="DS10" s="1780"/>
      <c r="DT10" s="1780"/>
      <c r="DU10" s="1780"/>
      <c r="DV10" s="1780"/>
      <c r="DW10" s="1780"/>
      <c r="DX10" s="1780"/>
      <c r="DY10" s="1780"/>
      <c r="DZ10" s="1780"/>
      <c r="EA10" s="1780"/>
      <c r="EB10" s="1780"/>
      <c r="EC10" s="1780"/>
      <c r="ED10" s="1780"/>
      <c r="EE10" s="1780"/>
      <c r="EF10" s="1780"/>
      <c r="EG10" s="1780"/>
      <c r="EH10" s="1780"/>
      <c r="EI10" s="1780"/>
      <c r="EJ10" s="1780"/>
      <c r="EK10" s="1780"/>
      <c r="EL10" s="1780"/>
      <c r="EM10" s="1780"/>
      <c r="EN10" s="1780"/>
      <c r="EO10" s="1780"/>
      <c r="EP10" s="1780"/>
      <c r="EQ10" s="1780"/>
      <c r="ER10" s="1780"/>
      <c r="ES10" s="1780"/>
      <c r="ET10" s="1780"/>
      <c r="EU10" s="1780"/>
      <c r="EV10" s="1780"/>
      <c r="EW10" s="1780"/>
      <c r="EX10" s="1780"/>
      <c r="EY10" s="1780"/>
      <c r="EZ10" s="1780"/>
      <c r="FA10" s="1780"/>
      <c r="FB10" s="1780"/>
      <c r="FC10" s="1780"/>
      <c r="FD10" s="1780"/>
      <c r="FE10" s="1780"/>
      <c r="FF10" s="1780"/>
      <c r="FG10" s="1780"/>
      <c r="FH10" s="1780"/>
      <c r="FI10" s="1780"/>
      <c r="FJ10" s="1780"/>
      <c r="FK10" s="1780"/>
      <c r="FL10" s="1780"/>
      <c r="FM10" s="1780"/>
      <c r="FN10" s="1780"/>
      <c r="FO10" s="1780"/>
      <c r="FP10" s="1780"/>
      <c r="FQ10" s="1780"/>
      <c r="FR10" s="1780"/>
      <c r="FS10" s="1780"/>
      <c r="FT10" s="1780"/>
      <c r="FU10" s="1780"/>
      <c r="FV10" s="1780"/>
      <c r="FW10" s="1780"/>
      <c r="FX10" s="1780"/>
      <c r="FY10" s="1780"/>
      <c r="FZ10" s="1780"/>
      <c r="GA10" s="1780"/>
      <c r="GB10" s="1780"/>
      <c r="GC10" s="1780"/>
      <c r="GD10" s="1780"/>
      <c r="GE10" s="1780"/>
      <c r="GF10" s="1780"/>
      <c r="GG10" s="1780"/>
      <c r="GH10" s="1780"/>
      <c r="GI10" s="1780"/>
      <c r="GJ10" s="1780"/>
      <c r="GK10" s="1780"/>
      <c r="GL10" s="1780"/>
      <c r="GM10" s="1780"/>
      <c r="GN10" s="1780"/>
      <c r="GO10" s="1780"/>
      <c r="GP10" s="1780"/>
      <c r="GQ10" s="1780"/>
      <c r="GR10" s="1780"/>
      <c r="GS10" s="1780"/>
      <c r="GT10" s="1780"/>
      <c r="GU10" s="1780"/>
      <c r="GV10" s="1780"/>
      <c r="GW10" s="1780"/>
      <c r="GX10" s="1780"/>
      <c r="GY10" s="1780"/>
      <c r="GZ10" s="1780"/>
      <c r="HA10" s="1780"/>
      <c r="HB10" s="1780"/>
      <c r="HC10" s="1780"/>
      <c r="HD10" s="1780"/>
      <c r="HE10" s="1780"/>
      <c r="HF10" s="1780"/>
      <c r="HG10" s="1780"/>
      <c r="HH10" s="1780"/>
      <c r="HI10" s="1780"/>
      <c r="HJ10" s="1780"/>
      <c r="HK10" s="1780"/>
      <c r="HL10" s="1780"/>
      <c r="HM10" s="1780"/>
      <c r="HN10" s="1780"/>
      <c r="HO10" s="1780"/>
      <c r="HP10" s="1780"/>
      <c r="HQ10" s="1780"/>
      <c r="HR10" s="1780"/>
      <c r="HS10" s="1780"/>
      <c r="HT10" s="1780"/>
      <c r="HU10" s="1780"/>
      <c r="HV10" s="1780"/>
      <c r="HW10" s="1780"/>
      <c r="HX10" s="1780"/>
      <c r="HY10" s="1780"/>
      <c r="HZ10" s="1780"/>
      <c r="IA10" s="1780"/>
      <c r="IB10" s="1780"/>
      <c r="IC10" s="1780"/>
      <c r="ID10" s="1780"/>
      <c r="IE10" s="1780"/>
      <c r="IF10" s="1780"/>
      <c r="IG10" s="1780"/>
      <c r="IH10" s="1780"/>
      <c r="II10" s="1780"/>
      <c r="IJ10" s="1780"/>
      <c r="IK10" s="1780"/>
      <c r="IL10" s="1780"/>
      <c r="IM10" s="1780"/>
      <c r="IN10" s="1780"/>
      <c r="IO10" s="1780"/>
      <c r="IP10" s="1780"/>
      <c r="IQ10" s="1780"/>
      <c r="IR10" s="1780"/>
    </row>
    <row r="11" spans="1:252" s="1963" customFormat="1" ht="15.6">
      <c r="A11" s="1965"/>
      <c r="B11" s="305"/>
      <c r="C11" s="305"/>
      <c r="D11" s="305"/>
      <c r="E11" s="305"/>
      <c r="F11" s="305"/>
      <c r="G11" s="1780"/>
      <c r="H11" s="305"/>
      <c r="I11" s="305"/>
      <c r="K11" s="310"/>
      <c r="L11" s="1781"/>
      <c r="M11" s="1781"/>
      <c r="N11" s="310"/>
      <c r="O11" s="310"/>
      <c r="P11" s="310"/>
      <c r="Q11" s="1965"/>
      <c r="R11" s="1966"/>
      <c r="S11" s="1686"/>
      <c r="T11" s="1966"/>
      <c r="U11" s="1686"/>
      <c r="V11" s="1686"/>
      <c r="W11" s="1780"/>
      <c r="X11" s="1780"/>
      <c r="Y11" s="1780"/>
      <c r="Z11" s="1780"/>
      <c r="AA11" s="1780"/>
      <c r="AB11" s="1780"/>
      <c r="AC11" s="1780"/>
      <c r="AD11" s="1780"/>
      <c r="AE11" s="1780"/>
      <c r="AF11" s="1780"/>
      <c r="AG11" s="1780"/>
      <c r="AH11" s="1780"/>
      <c r="AI11" s="1780"/>
      <c r="AJ11" s="1780"/>
      <c r="AK11" s="1780"/>
      <c r="AL11" s="1780"/>
      <c r="AM11" s="1780"/>
      <c r="AN11" s="1780"/>
      <c r="AO11" s="1780"/>
      <c r="AP11" s="1780"/>
      <c r="AQ11" s="1780"/>
      <c r="AR11" s="1780"/>
      <c r="AS11" s="1780"/>
      <c r="AT11" s="1780"/>
      <c r="AU11" s="1780"/>
      <c r="AV11" s="1780"/>
      <c r="AW11" s="1780"/>
      <c r="AX11" s="1780"/>
      <c r="AY11" s="1780"/>
      <c r="AZ11" s="1780"/>
      <c r="BA11" s="1780"/>
      <c r="BB11" s="1780"/>
      <c r="BC11" s="1780"/>
      <c r="BD11" s="1780"/>
      <c r="BE11" s="1780"/>
      <c r="BF11" s="1780"/>
      <c r="BG11" s="1780"/>
      <c r="BH11" s="1780"/>
      <c r="BI11" s="1780"/>
      <c r="BJ11" s="1780"/>
      <c r="BK11" s="1780"/>
      <c r="BL11" s="1780"/>
      <c r="BM11" s="1780"/>
      <c r="BN11" s="1780"/>
      <c r="BO11" s="1780"/>
      <c r="BP11" s="1780"/>
      <c r="BQ11" s="1780"/>
      <c r="BR11" s="1780"/>
      <c r="BS11" s="1780"/>
      <c r="BT11" s="1780"/>
      <c r="BU11" s="1780"/>
      <c r="BV11" s="1780"/>
      <c r="BW11" s="1780"/>
      <c r="BX11" s="1780"/>
      <c r="BY11" s="1780"/>
      <c r="BZ11" s="1780"/>
      <c r="CA11" s="1780"/>
      <c r="CB11" s="1780"/>
      <c r="CC11" s="1780"/>
      <c r="CD11" s="1780"/>
      <c r="CE11" s="1780"/>
      <c r="CF11" s="1780"/>
      <c r="CG11" s="1780"/>
      <c r="CH11" s="1780"/>
      <c r="CI11" s="1780"/>
      <c r="CJ11" s="1780"/>
      <c r="CK11" s="1780"/>
      <c r="CL11" s="1780"/>
      <c r="CM11" s="1780"/>
      <c r="CN11" s="1780"/>
      <c r="CO11" s="1780"/>
      <c r="CP11" s="1780"/>
      <c r="CQ11" s="1780"/>
      <c r="CR11" s="1780"/>
      <c r="CS11" s="1780"/>
      <c r="CT11" s="1780"/>
      <c r="CU11" s="1780"/>
      <c r="CV11" s="1780"/>
      <c r="CW11" s="1780"/>
      <c r="CX11" s="1780"/>
      <c r="CY11" s="1780"/>
      <c r="CZ11" s="1780"/>
      <c r="DA11" s="1780"/>
      <c r="DB11" s="1780"/>
      <c r="DC11" s="1780"/>
      <c r="DD11" s="1780"/>
      <c r="DE11" s="1780"/>
      <c r="DF11" s="1780"/>
      <c r="DG11" s="1780"/>
      <c r="DH11" s="1780"/>
      <c r="DI11" s="1780"/>
      <c r="DJ11" s="1780"/>
      <c r="DK11" s="1780"/>
      <c r="DL11" s="1780"/>
      <c r="DM11" s="1780"/>
      <c r="DN11" s="1780"/>
      <c r="DO11" s="1780"/>
      <c r="DP11" s="1780"/>
      <c r="DQ11" s="1780"/>
      <c r="DR11" s="1780"/>
      <c r="DS11" s="1780"/>
      <c r="DT11" s="1780"/>
      <c r="DU11" s="1780"/>
      <c r="DV11" s="1780"/>
      <c r="DW11" s="1780"/>
      <c r="DX11" s="1780"/>
      <c r="DY11" s="1780"/>
      <c r="DZ11" s="1780"/>
      <c r="EA11" s="1780"/>
      <c r="EB11" s="1780"/>
      <c r="EC11" s="1780"/>
      <c r="ED11" s="1780"/>
      <c r="EE11" s="1780"/>
      <c r="EF11" s="1780"/>
      <c r="EG11" s="1780"/>
      <c r="EH11" s="1780"/>
      <c r="EI11" s="1780"/>
      <c r="EJ11" s="1780"/>
      <c r="EK11" s="1780"/>
      <c r="EL11" s="1780"/>
      <c r="EM11" s="1780"/>
      <c r="EN11" s="1780"/>
      <c r="EO11" s="1780"/>
      <c r="EP11" s="1780"/>
      <c r="EQ11" s="1780"/>
      <c r="ER11" s="1780"/>
      <c r="ES11" s="1780"/>
      <c r="ET11" s="1780"/>
      <c r="EU11" s="1780"/>
      <c r="EV11" s="1780"/>
      <c r="EW11" s="1780"/>
      <c r="EX11" s="1780"/>
      <c r="EY11" s="1780"/>
      <c r="EZ11" s="1780"/>
      <c r="FA11" s="1780"/>
      <c r="FB11" s="1780"/>
      <c r="FC11" s="1780"/>
      <c r="FD11" s="1780"/>
      <c r="FE11" s="1780"/>
      <c r="FF11" s="1780"/>
      <c r="FG11" s="1780"/>
      <c r="FH11" s="1780"/>
      <c r="FI11" s="1780"/>
      <c r="FJ11" s="1780"/>
      <c r="FK11" s="1780"/>
      <c r="FL11" s="1780"/>
      <c r="FM11" s="1780"/>
      <c r="FN11" s="1780"/>
      <c r="FO11" s="1780"/>
      <c r="FP11" s="1780"/>
      <c r="FQ11" s="1780"/>
      <c r="FR11" s="1780"/>
      <c r="FS11" s="1780"/>
      <c r="FT11" s="1780"/>
      <c r="FU11" s="1780"/>
      <c r="FV11" s="1780"/>
      <c r="FW11" s="1780"/>
      <c r="FX11" s="1780"/>
      <c r="FY11" s="1780"/>
      <c r="FZ11" s="1780"/>
      <c r="GA11" s="1780"/>
      <c r="GB11" s="1780"/>
      <c r="GC11" s="1780"/>
      <c r="GD11" s="1780"/>
      <c r="GE11" s="1780"/>
      <c r="GF11" s="1780"/>
      <c r="GG11" s="1780"/>
      <c r="GH11" s="1780"/>
      <c r="GI11" s="1780"/>
      <c r="GJ11" s="1780"/>
      <c r="GK11" s="1780"/>
      <c r="GL11" s="1780"/>
      <c r="GM11" s="1780"/>
      <c r="GN11" s="1780"/>
      <c r="GO11" s="1780"/>
      <c r="GP11" s="1780"/>
      <c r="GQ11" s="1780"/>
      <c r="GR11" s="1780"/>
      <c r="GS11" s="1780"/>
      <c r="GT11" s="1780"/>
      <c r="GU11" s="1780"/>
      <c r="GV11" s="1780"/>
      <c r="GW11" s="1780"/>
      <c r="GX11" s="1780"/>
      <c r="GY11" s="1780"/>
      <c r="GZ11" s="1780"/>
      <c r="HA11" s="1780"/>
      <c r="HB11" s="1780"/>
      <c r="HC11" s="1780"/>
      <c r="HD11" s="1780"/>
      <c r="HE11" s="1780"/>
      <c r="HF11" s="1780"/>
      <c r="HG11" s="1780"/>
      <c r="HH11" s="1780"/>
      <c r="HI11" s="1780"/>
      <c r="HJ11" s="1780"/>
      <c r="HK11" s="1780"/>
      <c r="HL11" s="1780"/>
      <c r="HM11" s="1780"/>
      <c r="HN11" s="1780"/>
      <c r="HO11" s="1780"/>
      <c r="HP11" s="1780"/>
      <c r="HQ11" s="1780"/>
      <c r="HR11" s="1780"/>
      <c r="HS11" s="1780"/>
      <c r="HT11" s="1780"/>
      <c r="HU11" s="1780"/>
      <c r="HV11" s="1780"/>
      <c r="HW11" s="1780"/>
      <c r="HX11" s="1780"/>
      <c r="HY11" s="1780"/>
      <c r="HZ11" s="1780"/>
      <c r="IA11" s="1780"/>
      <c r="IB11" s="1780"/>
      <c r="IC11" s="1780"/>
      <c r="ID11" s="1780"/>
      <c r="IE11" s="1780"/>
      <c r="IF11" s="1780"/>
      <c r="IG11" s="1780"/>
      <c r="IH11" s="1780"/>
      <c r="II11" s="1780"/>
      <c r="IJ11" s="1780"/>
      <c r="IK11" s="1780"/>
      <c r="IL11" s="1780"/>
      <c r="IM11" s="1780"/>
      <c r="IN11" s="1780"/>
      <c r="IO11" s="1780"/>
      <c r="IP11" s="1780"/>
      <c r="IQ11" s="1780"/>
      <c r="IR11" s="1780"/>
    </row>
    <row r="12" spans="1:252" ht="15.9" customHeight="1">
      <c r="A12" s="1965"/>
      <c r="B12" s="310" t="s">
        <v>82</v>
      </c>
      <c r="C12" s="1968"/>
      <c r="D12" s="310"/>
      <c r="E12" s="305"/>
      <c r="F12" s="310" t="s">
        <v>83</v>
      </c>
      <c r="G12" s="1968"/>
      <c r="H12" s="310"/>
      <c r="I12" s="305"/>
      <c r="J12" s="310" t="s">
        <v>84</v>
      </c>
      <c r="K12" s="310"/>
      <c r="L12" s="1781"/>
      <c r="M12" s="310"/>
      <c r="N12" s="310"/>
      <c r="O12" s="310"/>
      <c r="P12" s="310"/>
      <c r="Q12" s="1965"/>
      <c r="R12" s="1969"/>
      <c r="S12" s="3395" t="s">
        <v>1023</v>
      </c>
      <c r="T12" s="3395"/>
      <c r="U12" s="3395"/>
      <c r="V12" s="1686"/>
    </row>
    <row r="13" spans="1:252" ht="12.9" customHeight="1">
      <c r="A13" s="1965"/>
      <c r="B13" s="1970"/>
      <c r="C13" s="1970"/>
      <c r="D13" s="1970"/>
      <c r="E13" s="1965"/>
      <c r="F13" s="1970"/>
      <c r="G13" s="1971"/>
      <c r="H13" s="1970"/>
      <c r="I13" s="1965"/>
      <c r="J13" s="1970"/>
      <c r="K13" s="1970"/>
      <c r="L13" s="1970"/>
      <c r="M13" s="1970"/>
      <c r="N13" s="1970"/>
      <c r="O13" s="1970"/>
      <c r="P13" s="1970"/>
      <c r="Q13" s="1965"/>
      <c r="R13" s="1972"/>
      <c r="S13" s="1343"/>
      <c r="T13" s="1973"/>
      <c r="U13" s="1685"/>
      <c r="V13" s="1686"/>
    </row>
    <row r="14" spans="1:252" ht="15.9" customHeight="1">
      <c r="A14" s="1965"/>
      <c r="B14" s="1465" t="s">
        <v>7</v>
      </c>
      <c r="C14" s="305"/>
      <c r="D14" s="1466" t="s">
        <v>1467</v>
      </c>
      <c r="E14" s="305"/>
      <c r="F14" s="1465" t="s">
        <v>7</v>
      </c>
      <c r="G14" s="1467"/>
      <c r="H14" s="1465" t="str">
        <f>D14</f>
        <v>1 MO. ENDED</v>
      </c>
      <c r="I14" s="305"/>
      <c r="J14" s="1465" t="s">
        <v>7</v>
      </c>
      <c r="K14" s="305"/>
      <c r="L14" s="1465" t="str">
        <f>D14</f>
        <v>1 MO. ENDED</v>
      </c>
      <c r="M14" s="305"/>
      <c r="N14" s="1465" t="s">
        <v>7</v>
      </c>
      <c r="O14" s="305"/>
      <c r="P14" s="1465" t="str">
        <f>H14</f>
        <v>1 MO. ENDED</v>
      </c>
      <c r="Q14" s="1965"/>
      <c r="R14" s="1972"/>
      <c r="S14" s="1480" t="s">
        <v>8</v>
      </c>
      <c r="T14" s="413"/>
      <c r="U14" s="1481" t="s">
        <v>9</v>
      </c>
      <c r="V14" s="1686"/>
    </row>
    <row r="15" spans="1:252" ht="15.9" customHeight="1">
      <c r="A15" s="1965"/>
      <c r="B15" s="1803" t="s">
        <v>1466</v>
      </c>
      <c r="C15" s="305"/>
      <c r="D15" s="1803" t="s">
        <v>1468</v>
      </c>
      <c r="E15" s="305"/>
      <c r="F15" s="1468" t="str">
        <f>+B15</f>
        <v>APR. 2016</v>
      </c>
      <c r="G15" s="305"/>
      <c r="H15" s="1469" t="str">
        <f>D15</f>
        <v>APR. 30, 2016</v>
      </c>
      <c r="I15" s="305"/>
      <c r="J15" s="1468" t="str">
        <f>+F15</f>
        <v>APR. 2016</v>
      </c>
      <c r="K15" s="305"/>
      <c r="L15" s="1469" t="str">
        <f>D15</f>
        <v>APR. 30, 2016</v>
      </c>
      <c r="M15" s="305"/>
      <c r="N15" s="1470" t="s">
        <v>1480</v>
      </c>
      <c r="O15" s="305"/>
      <c r="P15" s="1803" t="s">
        <v>1481</v>
      </c>
      <c r="Q15" s="1965"/>
      <c r="R15" s="1972"/>
      <c r="S15" s="1486" t="s">
        <v>13</v>
      </c>
      <c r="T15" s="412"/>
      <c r="U15" s="1487" t="s">
        <v>14</v>
      </c>
      <c r="V15" s="1686"/>
    </row>
    <row r="16" spans="1:252" ht="12.9" customHeight="1">
      <c r="A16" s="1965"/>
      <c r="B16" s="1967"/>
      <c r="C16" s="1965"/>
      <c r="D16" s="1967" t="s">
        <v>16</v>
      </c>
      <c r="E16" s="1965"/>
      <c r="F16" s="1970"/>
      <c r="G16" s="1965"/>
      <c r="H16" s="1974" t="s">
        <v>16</v>
      </c>
      <c r="I16" s="1967"/>
      <c r="J16" s="1975"/>
      <c r="K16" s="1965"/>
      <c r="L16" s="1976"/>
      <c r="M16" s="1967"/>
      <c r="N16" s="1967"/>
      <c r="O16" s="1965"/>
      <c r="P16" s="1967"/>
      <c r="Q16" s="1965"/>
      <c r="R16" s="1977"/>
      <c r="S16" s="1686"/>
      <c r="T16" s="1967"/>
      <c r="U16" s="1686"/>
      <c r="V16" s="1686"/>
    </row>
    <row r="17" spans="1:245" ht="15.9" customHeight="1">
      <c r="A17" s="305" t="s">
        <v>15</v>
      </c>
      <c r="B17" s="1978"/>
      <c r="C17" s="1978"/>
      <c r="D17" s="1978"/>
      <c r="E17" s="1978"/>
      <c r="F17" s="1979"/>
      <c r="G17" s="1978"/>
      <c r="H17" s="1980"/>
      <c r="I17" s="1979"/>
      <c r="J17" s="1981"/>
      <c r="K17" s="1978"/>
      <c r="L17" s="1980"/>
      <c r="M17" s="1979"/>
      <c r="N17" s="1979"/>
      <c r="O17" s="1978"/>
      <c r="P17" s="1979"/>
      <c r="Q17" s="1965"/>
      <c r="R17" s="1982"/>
      <c r="S17" s="1686"/>
      <c r="T17" s="1979"/>
      <c r="U17" s="1686"/>
      <c r="V17" s="1686"/>
    </row>
    <row r="18" spans="1:245" ht="15.9" customHeight="1">
      <c r="A18" s="1965" t="s">
        <v>21</v>
      </c>
      <c r="B18" s="1983">
        <f>+'EXHIBIT L'!B16</f>
        <v>7.2</v>
      </c>
      <c r="C18" s="1786"/>
      <c r="D18" s="1785">
        <f>+'EXHIBIT L'!AA16</f>
        <v>7.2</v>
      </c>
      <c r="E18" s="1786"/>
      <c r="F18" s="1984">
        <f>+'EXHIBIT M'!B16</f>
        <v>-1.5</v>
      </c>
      <c r="G18" s="1786"/>
      <c r="H18" s="1985">
        <f>+'EXHIBIT M'!AA16</f>
        <v>-1.5</v>
      </c>
      <c r="I18" s="1986"/>
      <c r="J18" s="1987">
        <f>SUM(B18)+SUM(F18)</f>
        <v>5.7</v>
      </c>
      <c r="K18" s="1786"/>
      <c r="L18" s="1985">
        <f>D18+SUM(H18)</f>
        <v>5.7</v>
      </c>
      <c r="M18" s="1986"/>
      <c r="N18" s="1988">
        <v>21.6</v>
      </c>
      <c r="O18" s="1786"/>
      <c r="P18" s="1988">
        <v>21.6</v>
      </c>
      <c r="Q18" s="1989"/>
      <c r="R18" s="1990"/>
      <c r="S18" s="2199">
        <f>ROUND(SUM(L18-P18),1)</f>
        <v>-15.9</v>
      </c>
      <c r="T18" s="1991"/>
      <c r="U18" s="2650">
        <f>ROUND(IF(S18=0,0,S18/ABS(P18)),3)</f>
        <v>-0.73599999999999999</v>
      </c>
      <c r="V18" s="1992"/>
      <c r="W18" s="1993"/>
      <c r="X18" s="1993"/>
      <c r="Y18" s="1993"/>
      <c r="Z18" s="1993"/>
      <c r="AA18" s="1993"/>
      <c r="AB18" s="1993"/>
      <c r="AC18" s="1993"/>
      <c r="AD18" s="1993"/>
      <c r="AE18" s="1993"/>
      <c r="AF18" s="1993"/>
      <c r="AG18" s="1993"/>
      <c r="AH18" s="1993"/>
      <c r="AI18" s="1993"/>
      <c r="AJ18" s="1993"/>
      <c r="AK18" s="1993"/>
      <c r="AL18" s="1993"/>
      <c r="AM18" s="1993"/>
      <c r="AN18" s="1993"/>
      <c r="AO18" s="1993"/>
      <c r="AP18" s="1993"/>
      <c r="AQ18" s="1993"/>
      <c r="AR18" s="1993"/>
      <c r="AS18" s="1993"/>
      <c r="AT18" s="1993"/>
      <c r="AU18" s="1993"/>
      <c r="AV18" s="1993"/>
      <c r="AW18" s="1993"/>
      <c r="AX18" s="1993"/>
      <c r="AY18" s="1993"/>
      <c r="AZ18" s="1993"/>
      <c r="BA18" s="1993"/>
      <c r="BB18" s="1993"/>
      <c r="BC18" s="1993"/>
      <c r="BD18" s="1993"/>
      <c r="BE18" s="1993"/>
      <c r="BF18" s="1993"/>
      <c r="BG18" s="1993"/>
      <c r="BH18" s="1993"/>
      <c r="BI18" s="1993"/>
      <c r="BJ18" s="1993"/>
      <c r="BK18" s="1993"/>
      <c r="BL18" s="1993"/>
      <c r="BM18" s="1993"/>
      <c r="BN18" s="1993"/>
      <c r="BO18" s="1993"/>
      <c r="BP18" s="1993"/>
      <c r="BQ18" s="1993"/>
      <c r="BR18" s="1993"/>
      <c r="BS18" s="1993"/>
      <c r="BT18" s="1993"/>
      <c r="BU18" s="1993"/>
      <c r="BV18" s="1993"/>
      <c r="BW18" s="1993"/>
      <c r="BX18" s="1993"/>
      <c r="BY18" s="1993"/>
      <c r="BZ18" s="1993"/>
      <c r="CA18" s="1993"/>
      <c r="CB18" s="1993"/>
      <c r="CC18" s="1993"/>
      <c r="CD18" s="1993"/>
      <c r="CE18" s="1993"/>
      <c r="CF18" s="1993"/>
      <c r="CG18" s="1993"/>
      <c r="CH18" s="1993"/>
      <c r="CI18" s="1993"/>
      <c r="CJ18" s="1993"/>
      <c r="CK18" s="1993"/>
      <c r="CL18" s="1993"/>
      <c r="CM18" s="1993"/>
      <c r="CN18" s="1993"/>
      <c r="CO18" s="1993"/>
      <c r="CP18" s="1993"/>
      <c r="CQ18" s="1993"/>
      <c r="CR18" s="1993"/>
      <c r="CS18" s="1993"/>
      <c r="CT18" s="1993"/>
      <c r="CU18" s="1993"/>
      <c r="CV18" s="1993"/>
      <c r="CW18" s="1993"/>
      <c r="CX18" s="1993"/>
      <c r="CY18" s="1993"/>
      <c r="CZ18" s="1993"/>
      <c r="DA18" s="1993"/>
      <c r="DB18" s="1993"/>
      <c r="DC18" s="1993"/>
      <c r="DD18" s="1993"/>
      <c r="DE18" s="1993"/>
      <c r="DF18" s="1993"/>
      <c r="DG18" s="1993"/>
      <c r="DH18" s="1993"/>
      <c r="DI18" s="1993"/>
      <c r="DJ18" s="1993"/>
      <c r="DK18" s="1993"/>
      <c r="DL18" s="1993"/>
      <c r="DM18" s="1993"/>
      <c r="DN18" s="1993"/>
      <c r="DO18" s="1993"/>
      <c r="DP18" s="1993"/>
      <c r="DQ18" s="1993"/>
      <c r="DR18" s="1993"/>
      <c r="DS18" s="1993"/>
      <c r="DT18" s="1993"/>
      <c r="DU18" s="1993"/>
      <c r="DV18" s="1993"/>
      <c r="DW18" s="1993"/>
      <c r="DX18" s="1993"/>
      <c r="DY18" s="1993"/>
      <c r="DZ18" s="1993"/>
      <c r="EA18" s="1993"/>
      <c r="EB18" s="1993"/>
      <c r="EC18" s="1993"/>
      <c r="ED18" s="1993"/>
      <c r="EE18" s="1993"/>
      <c r="EF18" s="1993"/>
      <c r="EG18" s="1993"/>
      <c r="EH18" s="1993"/>
      <c r="EI18" s="1993"/>
      <c r="EJ18" s="1993"/>
      <c r="EK18" s="1993"/>
      <c r="EL18" s="1993"/>
      <c r="EM18" s="1993"/>
      <c r="EN18" s="1993"/>
      <c r="EO18" s="1993"/>
      <c r="EP18" s="1993"/>
      <c r="EQ18" s="1993"/>
      <c r="ER18" s="1993"/>
      <c r="ES18" s="1993"/>
      <c r="ET18" s="1993"/>
      <c r="EU18" s="1993"/>
      <c r="EV18" s="1993"/>
      <c r="EW18" s="1993"/>
      <c r="EX18" s="1993"/>
      <c r="EY18" s="1993"/>
      <c r="EZ18" s="1993"/>
      <c r="FA18" s="1993"/>
      <c r="FB18" s="1993"/>
      <c r="FC18" s="1993"/>
      <c r="FD18" s="1993"/>
      <c r="FE18" s="1993"/>
      <c r="FF18" s="1993"/>
      <c r="FG18" s="1993"/>
      <c r="FH18" s="1993"/>
      <c r="FI18" s="1993"/>
      <c r="FJ18" s="1993"/>
      <c r="FK18" s="1993"/>
      <c r="FL18" s="1993"/>
      <c r="FM18" s="1993"/>
      <c r="FN18" s="1993"/>
      <c r="FO18" s="1993"/>
      <c r="FP18" s="1993"/>
      <c r="FQ18" s="1993"/>
      <c r="FR18" s="1993"/>
      <c r="FS18" s="1993"/>
      <c r="FT18" s="1993"/>
      <c r="FU18" s="1993"/>
      <c r="FV18" s="1993"/>
      <c r="FW18" s="1993"/>
      <c r="FX18" s="1993"/>
      <c r="FY18" s="1993"/>
      <c r="FZ18" s="1993"/>
      <c r="GA18" s="1993"/>
      <c r="GB18" s="1993"/>
      <c r="GC18" s="1993"/>
      <c r="GD18" s="1993"/>
      <c r="GE18" s="1993"/>
      <c r="GF18" s="1993"/>
      <c r="GG18" s="1993"/>
      <c r="GH18" s="1993"/>
      <c r="GI18" s="1993"/>
      <c r="GJ18" s="1993"/>
      <c r="GK18" s="1993"/>
      <c r="GL18" s="1993"/>
      <c r="GM18" s="1993"/>
      <c r="GN18" s="1993"/>
      <c r="GO18" s="1993"/>
      <c r="GP18" s="1993"/>
      <c r="GQ18" s="1993"/>
      <c r="GR18" s="1993"/>
      <c r="GS18" s="1993"/>
      <c r="GT18" s="1993"/>
      <c r="GU18" s="1993"/>
      <c r="GV18" s="1993"/>
      <c r="GW18" s="1993"/>
      <c r="GX18" s="1993"/>
      <c r="GY18" s="1993"/>
      <c r="GZ18" s="1993"/>
      <c r="HA18" s="1993"/>
      <c r="HB18" s="1993"/>
      <c r="HC18" s="1993"/>
      <c r="HD18" s="1993"/>
      <c r="HE18" s="1993"/>
      <c r="HF18" s="1993"/>
      <c r="HG18" s="1993"/>
      <c r="HH18" s="1993"/>
      <c r="HI18" s="1993"/>
      <c r="HJ18" s="1993"/>
      <c r="HK18" s="1993"/>
      <c r="HL18" s="1993"/>
      <c r="HM18" s="1993"/>
      <c r="HN18" s="1993"/>
      <c r="HO18" s="1993"/>
      <c r="HP18" s="1993"/>
      <c r="HQ18" s="1993"/>
      <c r="HR18" s="1993"/>
      <c r="HS18" s="1993"/>
      <c r="HT18" s="1993"/>
      <c r="HU18" s="1993"/>
      <c r="HV18" s="1993"/>
      <c r="HW18" s="1993"/>
      <c r="HX18" s="1993"/>
      <c r="HY18" s="1993"/>
      <c r="HZ18" s="1993"/>
      <c r="IA18" s="1993"/>
      <c r="IB18" s="1993"/>
      <c r="IC18" s="1993"/>
      <c r="ID18" s="1993"/>
      <c r="IE18" s="1993"/>
      <c r="IF18" s="1993"/>
      <c r="IG18" s="1993"/>
      <c r="IH18" s="1993"/>
      <c r="II18" s="1993"/>
      <c r="IJ18" s="1993"/>
      <c r="IK18" s="1993"/>
    </row>
    <row r="19" spans="1:245" ht="15.6">
      <c r="A19" s="305" t="s">
        <v>23</v>
      </c>
      <c r="B19" s="311">
        <f>ROUND(SUM(B18),1)</f>
        <v>7.2</v>
      </c>
      <c r="C19" s="312"/>
      <c r="D19" s="311">
        <f>ROUND(SUM(D18),1)</f>
        <v>7.2</v>
      </c>
      <c r="E19" s="312"/>
      <c r="F19" s="313">
        <f>ROUND(SUM(F18),1)</f>
        <v>-1.5</v>
      </c>
      <c r="G19" s="312"/>
      <c r="H19" s="314">
        <f>ROUND(SUM(H18),1)</f>
        <v>-1.5</v>
      </c>
      <c r="I19" s="315"/>
      <c r="J19" s="316">
        <f>ROUND(SUM(J18),1)</f>
        <v>5.7</v>
      </c>
      <c r="K19" s="312"/>
      <c r="L19" s="314">
        <f>ROUND(SUM(L18),1)</f>
        <v>5.7</v>
      </c>
      <c r="M19" s="315"/>
      <c r="N19" s="311">
        <f>ROUND(SUM(N18),1)</f>
        <v>21.6</v>
      </c>
      <c r="O19" s="312"/>
      <c r="P19" s="311">
        <f>ROUND(SUM(P18),1)</f>
        <v>21.6</v>
      </c>
      <c r="Q19" s="1467"/>
      <c r="R19" s="1994"/>
      <c r="S19" s="2023">
        <f>ROUND(SUM(S18),3)</f>
        <v>-15.9</v>
      </c>
      <c r="T19" s="1187"/>
      <c r="U19" s="2024">
        <f>ROUND(+S19/P19,3)</f>
        <v>-0.73599999999999999</v>
      </c>
      <c r="V19" s="1686"/>
    </row>
    <row r="20" spans="1:245" ht="15.6">
      <c r="A20" s="305"/>
      <c r="B20" s="1787"/>
      <c r="C20" s="1787"/>
      <c r="D20" s="1787"/>
      <c r="E20" s="1787"/>
      <c r="F20" s="1787"/>
      <c r="G20" s="1787"/>
      <c r="H20" s="1995"/>
      <c r="I20" s="1996"/>
      <c r="J20" s="1997"/>
      <c r="K20" s="1787"/>
      <c r="L20" s="1998"/>
      <c r="M20" s="1996"/>
      <c r="N20" s="1996"/>
      <c r="O20" s="1787"/>
      <c r="P20" s="1996"/>
      <c r="R20" s="1982"/>
      <c r="S20" s="2022"/>
      <c r="T20" s="1979"/>
      <c r="U20" s="1686"/>
      <c r="V20" s="1686"/>
    </row>
    <row r="21" spans="1:245" ht="15.9" customHeight="1">
      <c r="A21" s="305" t="s">
        <v>24</v>
      </c>
      <c r="B21" s="1787"/>
      <c r="C21" s="1787"/>
      <c r="D21" s="1787"/>
      <c r="E21" s="1787"/>
      <c r="F21" s="1787"/>
      <c r="G21" s="1787"/>
      <c r="H21" s="1998"/>
      <c r="I21" s="1996"/>
      <c r="J21" s="1997"/>
      <c r="K21" s="1787"/>
      <c r="L21" s="1998"/>
      <c r="M21" s="1996"/>
      <c r="N21" s="1996"/>
      <c r="O21" s="1787"/>
      <c r="P21" s="1996"/>
      <c r="R21" s="1982"/>
      <c r="S21" s="2022"/>
      <c r="T21" s="1979"/>
      <c r="U21" s="1686"/>
      <c r="V21" s="1686"/>
    </row>
    <row r="22" spans="1:245" ht="15.9" customHeight="1">
      <c r="A22" s="1965" t="s">
        <v>37</v>
      </c>
      <c r="B22" s="1787"/>
      <c r="C22" s="1787"/>
      <c r="D22" s="1787"/>
      <c r="E22" s="1787"/>
      <c r="F22" s="1787"/>
      <c r="G22" s="1787"/>
      <c r="H22" s="1998"/>
      <c r="I22" s="1996"/>
      <c r="J22" s="1997"/>
      <c r="K22" s="1787"/>
      <c r="L22" s="1998"/>
      <c r="M22" s="1996"/>
      <c r="N22" s="1996"/>
      <c r="O22" s="1787"/>
      <c r="P22" s="1996"/>
      <c r="R22" s="1982"/>
      <c r="S22" s="2022"/>
      <c r="T22" s="1979"/>
      <c r="U22" s="1686"/>
      <c r="V22" s="1686"/>
    </row>
    <row r="23" spans="1:245" ht="15.9" customHeight="1">
      <c r="A23" s="1965" t="s">
        <v>70</v>
      </c>
      <c r="B23" s="1336">
        <f>+'EXHIBIT L'!B22</f>
        <v>4.8</v>
      </c>
      <c r="C23" s="1787"/>
      <c r="D23" s="1336">
        <f>+'EXHIBIT L'!AA22</f>
        <v>4.8</v>
      </c>
      <c r="E23" s="1787"/>
      <c r="F23" s="1999">
        <f>+'EXHIBIT M'!B22</f>
        <v>0.1</v>
      </c>
      <c r="G23" s="1787"/>
      <c r="H23" s="2000">
        <f>+'EXHIBIT M'!AA22</f>
        <v>0.1</v>
      </c>
      <c r="I23" s="1996"/>
      <c r="J23" s="2001">
        <f>SUM(B23)+SUM(F23)</f>
        <v>4.8999999999999995</v>
      </c>
      <c r="K23" s="1787"/>
      <c r="L23" s="2002">
        <f>SUM(D23)+SUM(H23)</f>
        <v>4.8999999999999995</v>
      </c>
      <c r="M23" s="1996"/>
      <c r="N23" s="2003">
        <v>4.9000000000000004</v>
      </c>
      <c r="O23" s="1787"/>
      <c r="P23" s="2003">
        <v>4.9000000000000004</v>
      </c>
      <c r="R23" s="1982"/>
      <c r="S23" s="2022">
        <f>ROUND(SUM(L23-P23),1)</f>
        <v>0</v>
      </c>
      <c r="T23" s="1979"/>
      <c r="U23" s="2650">
        <f>ROUND(IF(S23=0,0,S23/ABS(P23)),3)</f>
        <v>0</v>
      </c>
      <c r="V23" s="1686"/>
    </row>
    <row r="24" spans="1:245" ht="15.9" customHeight="1">
      <c r="A24" s="1965" t="s">
        <v>71</v>
      </c>
      <c r="B24" s="1336">
        <f>+'EXHIBIT L'!B23</f>
        <v>0.7</v>
      </c>
      <c r="C24" s="1787"/>
      <c r="D24" s="2003">
        <f>+'EXHIBIT L'!AA23</f>
        <v>0.7</v>
      </c>
      <c r="E24" s="1787"/>
      <c r="F24" s="1999">
        <f>+'EXHIBIT M'!B23</f>
        <v>0</v>
      </c>
      <c r="G24" s="1787"/>
      <c r="H24" s="2000">
        <f>+'EXHIBIT M'!AA23</f>
        <v>0</v>
      </c>
      <c r="I24" s="1996"/>
      <c r="J24" s="2001">
        <f>SUM(B24)+SUM(F24)</f>
        <v>0.7</v>
      </c>
      <c r="K24" s="1787"/>
      <c r="L24" s="2002">
        <f>SUM(D24)+SUM(H24)</f>
        <v>0.7</v>
      </c>
      <c r="M24" s="1996"/>
      <c r="N24" s="2004">
        <v>0.5</v>
      </c>
      <c r="O24" s="1996"/>
      <c r="P24" s="2003">
        <v>0.5</v>
      </c>
      <c r="R24" s="1982"/>
      <c r="S24" s="2022">
        <f>ROUND(SUM(L24-P24),1)</f>
        <v>0.2</v>
      </c>
      <c r="T24" s="1979"/>
      <c r="U24" s="2650">
        <f>ROUND(IF(S24=0,0,S24/ABS(P24)),3)</f>
        <v>0.4</v>
      </c>
      <c r="V24" s="1686"/>
    </row>
    <row r="25" spans="1:245" ht="15.9" customHeight="1">
      <c r="A25" s="1965" t="s">
        <v>72</v>
      </c>
      <c r="B25" s="1336">
        <f>+'EXHIBIT L'!B24</f>
        <v>0</v>
      </c>
      <c r="C25" s="1787"/>
      <c r="D25" s="2004">
        <f>+'EXHIBIT L'!AA24</f>
        <v>0</v>
      </c>
      <c r="E25" s="1787"/>
      <c r="F25" s="1999">
        <f>+'EXHIBIT M'!B24</f>
        <v>0</v>
      </c>
      <c r="G25" s="1787"/>
      <c r="H25" s="2005">
        <f>+'EXHIBIT M'!AA24</f>
        <v>0</v>
      </c>
      <c r="I25" s="1996"/>
      <c r="J25" s="2001">
        <f>SUM(B25)+SUM(F25)</f>
        <v>0</v>
      </c>
      <c r="K25" s="1787"/>
      <c r="L25" s="2006">
        <f>SUM(D25)+SUM(H25)</f>
        <v>0</v>
      </c>
      <c r="M25" s="1996"/>
      <c r="N25" s="2004">
        <v>0</v>
      </c>
      <c r="O25" s="2007"/>
      <c r="P25" s="2003">
        <v>0</v>
      </c>
      <c r="R25" s="1982"/>
      <c r="S25" s="2022">
        <f>ROUND(SUM(L25-P25),1)</f>
        <v>0</v>
      </c>
      <c r="T25" s="1979"/>
      <c r="U25" s="2699">
        <f>ROUND(IF(P25=0,0,S25/ABS(P25)),3)</f>
        <v>0</v>
      </c>
      <c r="V25" s="1686"/>
    </row>
    <row r="26" spans="1:245" ht="15.6">
      <c r="A26" s="305" t="s">
        <v>60</v>
      </c>
      <c r="B26" s="311">
        <f>ROUND(SUM(B23:B25),1)</f>
        <v>5.5</v>
      </c>
      <c r="C26" s="312"/>
      <c r="D26" s="311">
        <f>ROUND(SUM(D23:D25),1)</f>
        <v>5.5</v>
      </c>
      <c r="E26" s="312"/>
      <c r="F26" s="311">
        <f>ROUND(SUM(F23:F25),1)</f>
        <v>0.1</v>
      </c>
      <c r="G26" s="312"/>
      <c r="H26" s="314">
        <f>ROUND(SUM(H23:H25),1)</f>
        <v>0.1</v>
      </c>
      <c r="I26" s="315"/>
      <c r="J26" s="316">
        <f>ROUND(SUM(J23:J25),1)</f>
        <v>5.6</v>
      </c>
      <c r="K26" s="312"/>
      <c r="L26" s="314">
        <f>ROUND(SUM(L23:L25),1)</f>
        <v>5.6</v>
      </c>
      <c r="M26" s="315"/>
      <c r="N26" s="311">
        <f>ROUND(SUM(N23:N25),1)</f>
        <v>5.4</v>
      </c>
      <c r="O26" s="312"/>
      <c r="P26" s="311">
        <f>ROUND(SUM(P23:P25),1)</f>
        <v>5.4</v>
      </c>
      <c r="Q26" s="1467"/>
      <c r="R26" s="1960"/>
      <c r="S26" s="2023">
        <f>ROUND(SUM(S23:S25),3)</f>
        <v>0.2</v>
      </c>
      <c r="T26" s="1187"/>
      <c r="U26" s="2738">
        <f>ROUND(S26/P26,3)</f>
        <v>3.6999999999999998E-2</v>
      </c>
      <c r="V26" s="1686"/>
    </row>
    <row r="27" spans="1:245" ht="15.6">
      <c r="A27" s="305"/>
      <c r="B27" s="1787"/>
      <c r="C27" s="1787"/>
      <c r="D27" s="1787"/>
      <c r="E27" s="1787"/>
      <c r="F27" s="1787"/>
      <c r="G27" s="1787"/>
      <c r="H27" s="1998"/>
      <c r="I27" s="1996"/>
      <c r="J27" s="1997"/>
      <c r="K27" s="1787"/>
      <c r="L27" s="1998"/>
      <c r="M27" s="1996"/>
      <c r="N27" s="1996"/>
      <c r="O27" s="1787"/>
      <c r="P27" s="1996"/>
      <c r="R27" s="1982"/>
      <c r="S27" s="2022"/>
      <c r="T27" s="1979"/>
      <c r="U27" s="1686"/>
      <c r="V27" s="1686"/>
    </row>
    <row r="28" spans="1:245" ht="15.9" customHeight="1">
      <c r="A28" s="305" t="s">
        <v>45</v>
      </c>
      <c r="B28" s="1787"/>
      <c r="C28" s="1787"/>
      <c r="D28" s="1787"/>
      <c r="E28" s="1787"/>
      <c r="F28" s="1787"/>
      <c r="G28" s="1787"/>
      <c r="H28" s="1998"/>
      <c r="I28" s="1996"/>
      <c r="J28" s="1997"/>
      <c r="K28" s="1787"/>
      <c r="L28" s="1998"/>
      <c r="M28" s="1996"/>
      <c r="N28" s="1996"/>
      <c r="O28" s="1787"/>
      <c r="P28" s="1996"/>
      <c r="R28" s="1982"/>
      <c r="S28" s="2022"/>
      <c r="T28" s="1979"/>
      <c r="U28" s="1686"/>
      <c r="V28" s="1686"/>
    </row>
    <row r="29" spans="1:245" ht="15.6">
      <c r="A29" s="305" t="s">
        <v>74</v>
      </c>
      <c r="B29" s="321">
        <f>ROUND(SUM(B19-B26),1)</f>
        <v>1.7</v>
      </c>
      <c r="C29" s="312"/>
      <c r="D29" s="321">
        <f>ROUND(SUM(D19-D26),1)</f>
        <v>1.7</v>
      </c>
      <c r="E29" s="312"/>
      <c r="F29" s="321">
        <f>ROUND(SUM(F19-F26),1)</f>
        <v>-1.6</v>
      </c>
      <c r="G29" s="312"/>
      <c r="H29" s="322">
        <f>ROUND(SUM(H19-H26),1)</f>
        <v>-1.6</v>
      </c>
      <c r="I29" s="315"/>
      <c r="J29" s="323">
        <f>ROUND(SUM(J19-J26),1)</f>
        <v>0.1</v>
      </c>
      <c r="K29" s="315"/>
      <c r="L29" s="322">
        <f>ROUND(SUM(L19-L26),1)</f>
        <v>0.1</v>
      </c>
      <c r="M29" s="315"/>
      <c r="N29" s="321">
        <f>ROUND(SUM(N19-N26),1)</f>
        <v>16.2</v>
      </c>
      <c r="O29" s="315"/>
      <c r="P29" s="321">
        <f>ROUND(SUM(P19-P26),1)</f>
        <v>16.2</v>
      </c>
      <c r="Q29" s="1467"/>
      <c r="R29" s="1982"/>
      <c r="S29" s="3143">
        <f>ROUND(SUM(L29-P29),1)</f>
        <v>-16.100000000000001</v>
      </c>
      <c r="T29" s="1979"/>
      <c r="U29" s="2651">
        <f>ROUND(IF(P29=0,1,S29/ABS(P29)),3)</f>
        <v>-0.99399999999999999</v>
      </c>
      <c r="V29" s="1686"/>
    </row>
    <row r="30" spans="1:245">
      <c r="A30" s="1965"/>
      <c r="B30" s="1787"/>
      <c r="C30" s="1787"/>
      <c r="D30" s="1787"/>
      <c r="E30" s="1787"/>
      <c r="F30" s="1787"/>
      <c r="G30" s="1787"/>
      <c r="H30" s="1998"/>
      <c r="I30" s="1996"/>
      <c r="J30" s="1997"/>
      <c r="K30" s="1787"/>
      <c r="L30" s="1998"/>
      <c r="M30" s="1996"/>
      <c r="N30" s="1996"/>
      <c r="O30" s="1787"/>
      <c r="P30" s="1996"/>
      <c r="R30" s="1982"/>
      <c r="S30" s="2022"/>
      <c r="T30" s="1979"/>
      <c r="U30" s="1686"/>
      <c r="V30" s="1686"/>
    </row>
    <row r="31" spans="1:245" ht="15.9" customHeight="1">
      <c r="A31" s="305" t="s">
        <v>47</v>
      </c>
      <c r="B31" s="1787"/>
      <c r="C31" s="1787"/>
      <c r="D31" s="1787"/>
      <c r="E31" s="1787"/>
      <c r="F31" s="1787"/>
      <c r="G31" s="1787"/>
      <c r="H31" s="1998"/>
      <c r="I31" s="1996"/>
      <c r="J31" s="1997"/>
      <c r="K31" s="1787"/>
      <c r="L31" s="1998"/>
      <c r="M31" s="1996"/>
      <c r="N31" s="1996"/>
      <c r="O31" s="1787"/>
      <c r="P31" s="1996"/>
      <c r="R31" s="1982"/>
      <c r="S31" s="2022"/>
      <c r="T31" s="1979"/>
      <c r="U31" s="1686"/>
      <c r="V31" s="1686"/>
    </row>
    <row r="32" spans="1:245" ht="15.9" customHeight="1">
      <c r="A32" s="1965" t="s">
        <v>49</v>
      </c>
      <c r="B32" s="1999">
        <f>+'EXHIBIT L'!L31</f>
        <v>0</v>
      </c>
      <c r="C32" s="1787"/>
      <c r="D32" s="1999">
        <f>+'EXHIBIT L'!AA31</f>
        <v>0</v>
      </c>
      <c r="E32" s="1787"/>
      <c r="F32" s="1999">
        <f>+'EXHIBIT M'!B31</f>
        <v>0</v>
      </c>
      <c r="G32" s="1336"/>
      <c r="H32" s="2008">
        <f>+'EXHIBIT M'!AA31</f>
        <v>0</v>
      </c>
      <c r="I32" s="1996"/>
      <c r="J32" s="2009">
        <f>SUM(B32)+SUM(F32)</f>
        <v>0</v>
      </c>
      <c r="K32" s="1787"/>
      <c r="L32" s="2000">
        <f>SUM(D32)+SUM(H32)</f>
        <v>0</v>
      </c>
      <c r="M32" s="1996"/>
      <c r="N32" s="2004">
        <v>0</v>
      </c>
      <c r="O32" s="1996"/>
      <c r="P32" s="2004">
        <f>+'EXHIBIT L'!AD31+'EXHIBIT M'!AD31</f>
        <v>0</v>
      </c>
      <c r="R32" s="2010"/>
      <c r="S32" s="2022">
        <f>ROUND(SUM(L32-P32),1)</f>
        <v>0</v>
      </c>
      <c r="T32" s="1253"/>
      <c r="U32" s="2650">
        <f>ROUND(IF(S32=0,0,S32/ABS(P32)),3)</f>
        <v>0</v>
      </c>
      <c r="V32" s="1686"/>
    </row>
    <row r="33" spans="1:245" ht="15.9" customHeight="1">
      <c r="A33" s="1965" t="s">
        <v>75</v>
      </c>
      <c r="B33" s="1999">
        <f>+'EXHIBIT L'!L32</f>
        <v>0</v>
      </c>
      <c r="C33" s="1787"/>
      <c r="D33" s="2011">
        <f>+'EXHIBIT L'!AA32</f>
        <v>0</v>
      </c>
      <c r="E33" s="1787"/>
      <c r="F33" s="1999">
        <f>+'EXHIBIT M'!B32</f>
        <v>0</v>
      </c>
      <c r="G33" s="1787"/>
      <c r="H33" s="2008">
        <f>+'EXHIBIT M'!AA32</f>
        <v>0</v>
      </c>
      <c r="I33" s="1996"/>
      <c r="J33" s="2009">
        <f>SUM(B33)+SUM(F33)</f>
        <v>0</v>
      </c>
      <c r="K33" s="1787"/>
      <c r="L33" s="2012">
        <f>SUM(D33)+SUM(H33)</f>
        <v>0</v>
      </c>
      <c r="M33" s="1996"/>
      <c r="N33" s="2013">
        <v>0</v>
      </c>
      <c r="O33" s="2007"/>
      <c r="P33" s="2013">
        <f>+'EXHIBIT L'!AD32+'EXHIBIT M'!AD32</f>
        <v>0</v>
      </c>
      <c r="R33" s="2014"/>
      <c r="S33" s="2022">
        <f>ROUND(SUM(L33-P33),1)</f>
        <v>0</v>
      </c>
      <c r="T33" s="1253"/>
      <c r="U33" s="2650">
        <f>ROUND(IF(S33=0,0,S33/ABS(P33)),3)</f>
        <v>0</v>
      </c>
      <c r="V33" s="1686"/>
    </row>
    <row r="34" spans="1:245" ht="15.6">
      <c r="A34" s="305" t="s">
        <v>51</v>
      </c>
      <c r="B34" s="324">
        <f>ROUND(SUM(B32:B33),1)</f>
        <v>0</v>
      </c>
      <c r="C34" s="312"/>
      <c r="D34" s="324">
        <f>ROUND(SUM(D32:D33),1)</f>
        <v>0</v>
      </c>
      <c r="E34" s="312"/>
      <c r="F34" s="324">
        <f>ROUND(SUM(F32:F33),1)</f>
        <v>0</v>
      </c>
      <c r="G34" s="312"/>
      <c r="H34" s="325">
        <f>ROUND(SUM(H32:H33),1)</f>
        <v>0</v>
      </c>
      <c r="I34" s="315"/>
      <c r="J34" s="326">
        <f>ROUND(SUM(J32:J33),1)</f>
        <v>0</v>
      </c>
      <c r="K34" s="312"/>
      <c r="L34" s="314">
        <f>ROUND(SUM(L32:L33),1)</f>
        <v>0</v>
      </c>
      <c r="M34" s="315"/>
      <c r="N34" s="311">
        <f>ROUND(SUM(N32:N33),1)</f>
        <v>0</v>
      </c>
      <c r="O34" s="312"/>
      <c r="P34" s="311">
        <f>ROUND(SUM(P32:P33),1)</f>
        <v>0</v>
      </c>
      <c r="R34" s="2015"/>
      <c r="S34" s="283">
        <f>ROUND(SUM(S32-S33),3)</f>
        <v>0</v>
      </c>
      <c r="T34" s="2672"/>
      <c r="U34" s="2078">
        <f>ROUND(IF(P34=0,0,S34/ABS(P34)),3)</f>
        <v>0</v>
      </c>
      <c r="V34" s="1686"/>
    </row>
    <row r="35" spans="1:245" ht="15.6">
      <c r="A35" s="305"/>
      <c r="B35" s="2016"/>
      <c r="C35" s="1787"/>
      <c r="D35" s="2016"/>
      <c r="E35" s="1787"/>
      <c r="F35" s="1996"/>
      <c r="G35" s="1787"/>
      <c r="H35" s="1998"/>
      <c r="I35" s="1996"/>
      <c r="J35" s="1997"/>
      <c r="K35" s="1787"/>
      <c r="L35" s="2017"/>
      <c r="M35" s="1996"/>
      <c r="N35" s="1996"/>
      <c r="O35" s="1787"/>
      <c r="P35" s="1996"/>
      <c r="R35" s="1982"/>
      <c r="S35" s="2022"/>
      <c r="T35" s="1979"/>
      <c r="U35" s="1686"/>
      <c r="V35" s="1686"/>
    </row>
    <row r="36" spans="1:245" ht="15.75" customHeight="1">
      <c r="A36" s="305" t="s">
        <v>45</v>
      </c>
      <c r="B36" s="1787"/>
      <c r="C36" s="1787"/>
      <c r="D36" s="1787"/>
      <c r="E36" s="1787"/>
      <c r="F36" s="1787"/>
      <c r="G36" s="1787"/>
      <c r="H36" s="1998"/>
      <c r="I36" s="1996"/>
      <c r="J36" s="1997"/>
      <c r="K36" s="1787"/>
      <c r="L36" s="1998"/>
      <c r="M36" s="1996"/>
      <c r="N36" s="1996"/>
      <c r="O36" s="1787"/>
      <c r="P36" s="1996"/>
      <c r="R36" s="1982"/>
      <c r="S36" s="2022"/>
      <c r="T36" s="1979"/>
      <c r="U36" s="1686"/>
      <c r="V36" s="1686"/>
    </row>
    <row r="37" spans="1:245" ht="15.75" customHeight="1">
      <c r="A37" s="305" t="s">
        <v>76</v>
      </c>
      <c r="B37" s="1787"/>
      <c r="C37" s="1787"/>
      <c r="D37" s="1787"/>
      <c r="E37" s="1787"/>
      <c r="F37" s="1787"/>
      <c r="G37" s="1787"/>
      <c r="H37" s="1998"/>
      <c r="I37" s="1996"/>
      <c r="J37" s="1997"/>
      <c r="K37" s="1787"/>
      <c r="L37" s="1998"/>
      <c r="M37" s="1996"/>
      <c r="N37" s="1996"/>
      <c r="O37" s="1787"/>
      <c r="P37" s="1996"/>
      <c r="R37" s="1982"/>
      <c r="S37" s="2022"/>
      <c r="T37" s="1979"/>
      <c r="U37" s="1686"/>
      <c r="V37" s="1686"/>
    </row>
    <row r="38" spans="1:245" ht="15.75" customHeight="1">
      <c r="A38" s="305" t="s">
        <v>77</v>
      </c>
      <c r="B38" s="1787"/>
      <c r="C38" s="1787"/>
      <c r="D38" s="1787"/>
      <c r="E38" s="1787"/>
      <c r="F38" s="2018"/>
      <c r="G38" s="1787"/>
      <c r="H38" s="1998"/>
      <c r="I38" s="1996"/>
      <c r="J38" s="1997"/>
      <c r="K38" s="1787"/>
      <c r="L38" s="1998"/>
      <c r="M38" s="1996"/>
      <c r="N38" s="1996"/>
      <c r="O38" s="1787"/>
      <c r="P38" s="1996"/>
      <c r="R38" s="1982"/>
      <c r="S38" s="2022"/>
      <c r="T38" s="1979"/>
      <c r="U38" s="1686"/>
      <c r="V38" s="1686"/>
    </row>
    <row r="39" spans="1:245" ht="15.75" customHeight="1">
      <c r="A39" s="305" t="s">
        <v>78</v>
      </c>
      <c r="B39" s="329">
        <f>ROUND(SUM(B29+B34),1)</f>
        <v>1.7</v>
      </c>
      <c r="C39" s="312"/>
      <c r="D39" s="329">
        <f>ROUND(SUM(D29+D34),1)</f>
        <v>1.7</v>
      </c>
      <c r="E39" s="312"/>
      <c r="F39" s="329">
        <f>ROUND(SUM(F29+F34),1)</f>
        <v>-1.6</v>
      </c>
      <c r="G39" s="312"/>
      <c r="H39" s="330">
        <f>ROUND(SUM(H29+H34),1)</f>
        <v>-1.6</v>
      </c>
      <c r="I39" s="315"/>
      <c r="J39" s="331">
        <f>ROUND(SUM(J29+J34),1)</f>
        <v>0.1</v>
      </c>
      <c r="K39" s="312"/>
      <c r="L39" s="330">
        <f>ROUND(SUM(L29+L34),1)</f>
        <v>0.1</v>
      </c>
      <c r="M39" s="315"/>
      <c r="N39" s="329">
        <f>ROUND(SUM(N29+N34),1)</f>
        <v>16.2</v>
      </c>
      <c r="O39" s="315"/>
      <c r="P39" s="329">
        <f>ROUND(SUM(P29+P34),1)</f>
        <v>16.2</v>
      </c>
      <c r="Q39" s="1467"/>
      <c r="R39" s="1982"/>
      <c r="S39" s="2772">
        <f>ROUND(SUM(L39-P39),1)</f>
        <v>-16.100000000000001</v>
      </c>
      <c r="T39" s="1979"/>
      <c r="U39" s="3129">
        <f>ROUND(IF(P39=0,1,S39/ABS(P39)),3)</f>
        <v>-0.99399999999999999</v>
      </c>
      <c r="V39" s="1686"/>
    </row>
    <row r="40" spans="1:245" ht="15.6">
      <c r="A40" s="305"/>
      <c r="B40" s="1787"/>
      <c r="C40" s="1787"/>
      <c r="D40" s="1787"/>
      <c r="E40" s="1787"/>
      <c r="F40" s="1787"/>
      <c r="G40" s="1787"/>
      <c r="H40" s="1998"/>
      <c r="I40" s="1996"/>
      <c r="J40" s="1997"/>
      <c r="K40" s="1787"/>
      <c r="L40" s="1998"/>
      <c r="M40" s="1996"/>
      <c r="N40" s="1996"/>
      <c r="O40" s="1787"/>
      <c r="P40" s="1996"/>
      <c r="R40" s="1982"/>
      <c r="S40" s="1834"/>
      <c r="T40" s="2661"/>
      <c r="U40" s="1834"/>
      <c r="V40" s="1686"/>
    </row>
    <row r="41" spans="1:245" s="1467" customFormat="1" ht="15.6">
      <c r="A41" s="305" t="s">
        <v>54</v>
      </c>
      <c r="B41" s="332">
        <f>+'EXHIBIT L'!B13</f>
        <v>0.1</v>
      </c>
      <c r="C41" s="312"/>
      <c r="D41" s="332">
        <f>+'EXHIBIT L'!AA13</f>
        <v>0.1</v>
      </c>
      <c r="E41" s="312"/>
      <c r="F41" s="332">
        <f>+'EXHIBIT M'!B13</f>
        <v>11.6</v>
      </c>
      <c r="G41" s="312"/>
      <c r="H41" s="333">
        <f>+'EXHIBIT M'!AA13</f>
        <v>11.6</v>
      </c>
      <c r="I41" s="315"/>
      <c r="J41" s="334">
        <f>ROUND(SUM(B41)+SUM(F41),1)</f>
        <v>11.7</v>
      </c>
      <c r="K41" s="312"/>
      <c r="L41" s="330">
        <f>ROUND(SUM(D41+H41),1)</f>
        <v>11.7</v>
      </c>
      <c r="M41" s="315"/>
      <c r="N41" s="321">
        <v>-5.4</v>
      </c>
      <c r="O41" s="312"/>
      <c r="P41" s="321">
        <v>-5.4</v>
      </c>
      <c r="R41" s="1961"/>
      <c r="S41" s="289">
        <f>ROUND(SUM(+L41-P41),1)</f>
        <v>17.100000000000001</v>
      </c>
      <c r="T41" s="291"/>
      <c r="U41" s="2651">
        <f>ROUND(IF(S41=0,0,S41/ABS(P41)),3)</f>
        <v>3.1669999999999998</v>
      </c>
      <c r="V41" s="2019"/>
    </row>
    <row r="42" spans="1:245" ht="16.2" thickBot="1">
      <c r="A42" s="305" t="s">
        <v>80</v>
      </c>
      <c r="B42" s="335">
        <f>ROUND(SUM(B41)+SUM(B39),1)</f>
        <v>1.8</v>
      </c>
      <c r="C42" s="336"/>
      <c r="D42" s="335">
        <f>ROUND(SUM(D41)+SUM(D39),1)</f>
        <v>1.8</v>
      </c>
      <c r="E42" s="336"/>
      <c r="F42" s="337">
        <f>ROUND(SUM(F41)+SUM(F39),1)</f>
        <v>10</v>
      </c>
      <c r="G42" s="338"/>
      <c r="H42" s="1590">
        <f>ROUND(SUM(H41)+SUM(H39),1)</f>
        <v>10</v>
      </c>
      <c r="I42" s="1591"/>
      <c r="J42" s="1590">
        <f>ROUND(SUM(J41)+SUM(J39),1)</f>
        <v>11.8</v>
      </c>
      <c r="K42" s="340"/>
      <c r="L42" s="339">
        <f>ROUND(SUM(L41)+SUM(L39),1)</f>
        <v>11.8</v>
      </c>
      <c r="M42" s="340"/>
      <c r="N42" s="1590">
        <f>ROUND(SUM(N41)+SUM(N39),1)</f>
        <v>10.8</v>
      </c>
      <c r="O42" s="340"/>
      <c r="P42" s="1590">
        <f>ROUND(SUM(P41)+SUM(P39),1)</f>
        <v>10.8</v>
      </c>
      <c r="Q42" s="491"/>
      <c r="R42" s="1990"/>
      <c r="S42" s="2617">
        <f>ROUND(SUM(S39+S41),3)</f>
        <v>1</v>
      </c>
      <c r="T42" s="2327"/>
      <c r="U42" s="2739">
        <f>ROUND(S42/P42,3)</f>
        <v>9.2999999999999999E-2</v>
      </c>
      <c r="V42" s="1686"/>
    </row>
    <row r="43" spans="1:245" ht="15.6" thickTop="1">
      <c r="A43" s="1965"/>
      <c r="B43" s="2020"/>
      <c r="C43" s="1989"/>
      <c r="D43" s="2020"/>
      <c r="E43" s="1989"/>
      <c r="F43" s="2020"/>
      <c r="G43" s="1989"/>
      <c r="H43" s="2020"/>
      <c r="I43" s="1991"/>
      <c r="J43" s="2020"/>
      <c r="K43" s="1989"/>
      <c r="L43" s="2020"/>
      <c r="M43" s="1989"/>
      <c r="N43" s="2020"/>
      <c r="O43" s="1989"/>
      <c r="P43" s="2020"/>
      <c r="Q43" s="1989"/>
      <c r="R43" s="2021"/>
      <c r="S43" s="1992"/>
      <c r="T43" s="2021"/>
      <c r="U43" s="1992"/>
      <c r="V43" s="1992"/>
      <c r="W43" s="1993"/>
      <c r="X43" s="1993"/>
      <c r="Y43" s="1993"/>
      <c r="Z43" s="1993"/>
      <c r="AA43" s="1993"/>
      <c r="AB43" s="1993"/>
      <c r="AC43" s="1993"/>
      <c r="AD43" s="1993"/>
      <c r="AE43" s="1993"/>
      <c r="AF43" s="1993"/>
      <c r="AG43" s="1993"/>
      <c r="AH43" s="1993"/>
      <c r="AI43" s="1993"/>
      <c r="AJ43" s="1993"/>
      <c r="AK43" s="1993"/>
      <c r="AL43" s="1993"/>
      <c r="AM43" s="1993"/>
      <c r="AN43" s="1993"/>
      <c r="AO43" s="1993"/>
      <c r="AP43" s="1993"/>
      <c r="AQ43" s="1993"/>
      <c r="AR43" s="1993"/>
      <c r="AS43" s="1993"/>
      <c r="AT43" s="1993"/>
      <c r="AU43" s="1993"/>
      <c r="AV43" s="1993"/>
      <c r="AW43" s="1993"/>
      <c r="AX43" s="1993"/>
      <c r="AY43" s="1993"/>
      <c r="AZ43" s="1993"/>
      <c r="BA43" s="1993"/>
      <c r="BB43" s="1993"/>
      <c r="BC43" s="1993"/>
      <c r="BD43" s="1993"/>
      <c r="BE43" s="1993"/>
      <c r="BF43" s="1993"/>
      <c r="BG43" s="1993"/>
      <c r="BH43" s="1993"/>
      <c r="BI43" s="1993"/>
      <c r="BJ43" s="1993"/>
      <c r="BK43" s="1993"/>
      <c r="BL43" s="1993"/>
      <c r="BM43" s="1993"/>
      <c r="BN43" s="1993"/>
      <c r="BO43" s="1993"/>
      <c r="BP43" s="1993"/>
      <c r="BQ43" s="1993"/>
      <c r="BR43" s="1993"/>
      <c r="BS43" s="1993"/>
      <c r="BT43" s="1993"/>
      <c r="BU43" s="1993"/>
      <c r="BV43" s="1993"/>
      <c r="BW43" s="1993"/>
      <c r="BX43" s="1993"/>
      <c r="BY43" s="1993"/>
      <c r="BZ43" s="1993"/>
      <c r="CA43" s="1993"/>
      <c r="CB43" s="1993"/>
      <c r="CC43" s="1993"/>
      <c r="CD43" s="1993"/>
      <c r="CE43" s="1993"/>
      <c r="CF43" s="1993"/>
      <c r="CG43" s="1993"/>
      <c r="CH43" s="1993"/>
      <c r="CI43" s="1993"/>
      <c r="CJ43" s="1993"/>
      <c r="CK43" s="1993"/>
      <c r="CL43" s="1993"/>
      <c r="CM43" s="1993"/>
      <c r="CN43" s="1993"/>
      <c r="CO43" s="1993"/>
      <c r="CP43" s="1993"/>
      <c r="CQ43" s="1993"/>
      <c r="CR43" s="1993"/>
      <c r="CS43" s="1993"/>
      <c r="CT43" s="1993"/>
      <c r="CU43" s="1993"/>
      <c r="CV43" s="1993"/>
      <c r="CW43" s="1993"/>
      <c r="CX43" s="1993"/>
      <c r="CY43" s="1993"/>
      <c r="CZ43" s="1993"/>
      <c r="DA43" s="1993"/>
      <c r="DB43" s="1993"/>
      <c r="DC43" s="1993"/>
      <c r="DD43" s="1993"/>
      <c r="DE43" s="1993"/>
      <c r="DF43" s="1993"/>
      <c r="DG43" s="1993"/>
      <c r="DH43" s="1993"/>
      <c r="DI43" s="1993"/>
      <c r="DJ43" s="1993"/>
      <c r="DK43" s="1993"/>
      <c r="DL43" s="1993"/>
      <c r="DM43" s="1993"/>
      <c r="DN43" s="1993"/>
      <c r="DO43" s="1993"/>
      <c r="DP43" s="1993"/>
      <c r="DQ43" s="1993"/>
      <c r="DR43" s="1993"/>
      <c r="DS43" s="1993"/>
      <c r="DT43" s="1993"/>
      <c r="DU43" s="1993"/>
      <c r="DV43" s="1993"/>
      <c r="DW43" s="1993"/>
      <c r="DX43" s="1993"/>
      <c r="DY43" s="1993"/>
      <c r="DZ43" s="1993"/>
      <c r="EA43" s="1993"/>
      <c r="EB43" s="1993"/>
      <c r="EC43" s="1993"/>
      <c r="ED43" s="1993"/>
      <c r="EE43" s="1993"/>
      <c r="EF43" s="1993"/>
      <c r="EG43" s="1993"/>
      <c r="EH43" s="1993"/>
      <c r="EI43" s="1993"/>
      <c r="EJ43" s="1993"/>
      <c r="EK43" s="1993"/>
      <c r="EL43" s="1993"/>
      <c r="EM43" s="1993"/>
      <c r="EN43" s="1993"/>
      <c r="EO43" s="1993"/>
      <c r="EP43" s="1993"/>
      <c r="EQ43" s="1993"/>
      <c r="ER43" s="1993"/>
      <c r="ES43" s="1993"/>
      <c r="ET43" s="1993"/>
      <c r="EU43" s="1993"/>
      <c r="EV43" s="1993"/>
      <c r="EW43" s="1993"/>
      <c r="EX43" s="1993"/>
      <c r="EY43" s="1993"/>
      <c r="EZ43" s="1993"/>
      <c r="FA43" s="1993"/>
      <c r="FB43" s="1993"/>
      <c r="FC43" s="1993"/>
      <c r="FD43" s="1993"/>
      <c r="FE43" s="1993"/>
      <c r="FF43" s="1993"/>
      <c r="FG43" s="1993"/>
      <c r="FH43" s="1993"/>
      <c r="FI43" s="1993"/>
      <c r="FJ43" s="1993"/>
      <c r="FK43" s="1993"/>
      <c r="FL43" s="1993"/>
      <c r="FM43" s="1993"/>
      <c r="FN43" s="1993"/>
      <c r="FO43" s="1993"/>
      <c r="FP43" s="1993"/>
      <c r="FQ43" s="1993"/>
      <c r="FR43" s="1993"/>
      <c r="FS43" s="1993"/>
      <c r="FT43" s="1993"/>
      <c r="FU43" s="1993"/>
      <c r="FV43" s="1993"/>
      <c r="FW43" s="1993"/>
      <c r="FX43" s="1993"/>
      <c r="FY43" s="1993"/>
      <c r="FZ43" s="1993"/>
      <c r="GA43" s="1993"/>
      <c r="GB43" s="1993"/>
      <c r="GC43" s="1993"/>
      <c r="GD43" s="1993"/>
      <c r="GE43" s="1993"/>
      <c r="GF43" s="1993"/>
      <c r="GG43" s="1993"/>
      <c r="GH43" s="1993"/>
      <c r="GI43" s="1993"/>
      <c r="GJ43" s="1993"/>
      <c r="GK43" s="1993"/>
      <c r="GL43" s="1993"/>
      <c r="GM43" s="1993"/>
      <c r="GN43" s="1993"/>
      <c r="GO43" s="1993"/>
      <c r="GP43" s="1993"/>
      <c r="GQ43" s="1993"/>
      <c r="GR43" s="1993"/>
      <c r="GS43" s="1993"/>
      <c r="GT43" s="1993"/>
      <c r="GU43" s="1993"/>
      <c r="GV43" s="1993"/>
      <c r="GW43" s="1993"/>
      <c r="GX43" s="1993"/>
      <c r="GY43" s="1993"/>
      <c r="GZ43" s="1993"/>
      <c r="HA43" s="1993"/>
      <c r="HB43" s="1993"/>
      <c r="HC43" s="1993"/>
      <c r="HD43" s="1993"/>
      <c r="HE43" s="1993"/>
      <c r="HF43" s="1993"/>
      <c r="HG43" s="1993"/>
      <c r="HH43" s="1993"/>
      <c r="HI43" s="1993"/>
      <c r="HJ43" s="1993"/>
      <c r="HK43" s="1993"/>
      <c r="HL43" s="1993"/>
      <c r="HM43" s="1993"/>
      <c r="HN43" s="1993"/>
      <c r="HO43" s="1993"/>
      <c r="HP43" s="1993"/>
      <c r="HQ43" s="1993"/>
      <c r="HR43" s="1993"/>
      <c r="HS43" s="1993"/>
      <c r="HT43" s="1993"/>
      <c r="HU43" s="1993"/>
      <c r="HV43" s="1993"/>
      <c r="HW43" s="1993"/>
      <c r="HX43" s="1993"/>
      <c r="HY43" s="1993"/>
      <c r="HZ43" s="1993"/>
      <c r="IA43" s="1993"/>
      <c r="IB43" s="1993"/>
      <c r="IC43" s="1993"/>
      <c r="ID43" s="1993"/>
      <c r="IE43" s="1993"/>
      <c r="IF43" s="1993"/>
      <c r="IG43" s="1993"/>
      <c r="IH43" s="1993"/>
      <c r="II43" s="1993"/>
      <c r="IJ43" s="1993"/>
      <c r="IK43" s="1993"/>
    </row>
    <row r="44" spans="1:245">
      <c r="A44" s="1965"/>
      <c r="B44" s="1965"/>
      <c r="C44" s="1965"/>
      <c r="D44" s="1965"/>
      <c r="E44" s="1965"/>
      <c r="F44" s="1963"/>
      <c r="G44" s="1965"/>
      <c r="H44" s="1965"/>
      <c r="I44" s="1965"/>
      <c r="J44" s="1965"/>
      <c r="K44" s="1965"/>
      <c r="L44" s="1965"/>
      <c r="M44" s="1965"/>
      <c r="N44" s="1965"/>
      <c r="O44" s="1965"/>
      <c r="P44" s="1965"/>
      <c r="Q44" s="1965"/>
      <c r="R44" s="1966"/>
      <c r="S44" s="2579"/>
      <c r="T44" s="1966"/>
      <c r="U44" s="1686"/>
      <c r="V44" s="1686"/>
    </row>
    <row r="45" spans="1:245">
      <c r="A45" s="1965"/>
      <c r="B45" s="1965"/>
      <c r="C45" s="1965"/>
      <c r="D45" s="1965"/>
      <c r="E45" s="1965"/>
      <c r="F45" s="1963"/>
      <c r="G45" s="1965"/>
      <c r="H45" s="1965"/>
      <c r="I45" s="1965"/>
      <c r="J45" s="1965"/>
      <c r="K45" s="1965"/>
      <c r="L45" s="1965"/>
      <c r="N45" s="1965"/>
      <c r="O45" s="1965"/>
      <c r="P45" s="1965"/>
      <c r="Q45" s="1965"/>
      <c r="R45" s="1966"/>
      <c r="S45" s="1686"/>
      <c r="T45" s="1966"/>
      <c r="U45" s="1686"/>
      <c r="V45" s="1686"/>
    </row>
    <row r="46" spans="1:245">
      <c r="A46" s="1783"/>
      <c r="B46" s="1965"/>
      <c r="C46" s="1965"/>
      <c r="D46" s="1965"/>
      <c r="E46" s="1965"/>
      <c r="F46" s="1965"/>
      <c r="G46" s="1965"/>
      <c r="H46" s="1965"/>
      <c r="I46" s="1965"/>
      <c r="J46" s="1965"/>
      <c r="K46" s="1965"/>
      <c r="L46" s="1965"/>
      <c r="M46" s="1965"/>
      <c r="N46" s="1965"/>
      <c r="O46" s="1965"/>
      <c r="P46" s="1965"/>
      <c r="Q46" s="1965"/>
      <c r="R46" s="1966"/>
      <c r="S46" s="1686"/>
      <c r="T46" s="1966"/>
      <c r="U46" s="1686"/>
      <c r="V46" s="1686"/>
    </row>
    <row r="47" spans="1:245">
      <c r="A47" s="1965"/>
      <c r="B47" s="1965"/>
      <c r="C47" s="1965"/>
      <c r="D47" s="1965"/>
      <c r="E47" s="1965"/>
      <c r="F47" s="1965"/>
      <c r="G47" s="1965"/>
      <c r="H47" s="1965"/>
      <c r="I47" s="1965"/>
      <c r="J47" s="1965"/>
      <c r="K47" s="1965"/>
      <c r="L47" s="1965"/>
      <c r="M47" s="1965"/>
      <c r="N47" s="1965"/>
      <c r="O47" s="1965"/>
      <c r="P47" s="1965"/>
      <c r="Q47" s="1965"/>
      <c r="R47" s="1966"/>
      <c r="S47" s="1686"/>
      <c r="T47" s="1966"/>
      <c r="U47" s="1686"/>
      <c r="V47" s="1686"/>
    </row>
    <row r="48" spans="1:245">
      <c r="A48" s="1965"/>
      <c r="B48" s="1965"/>
      <c r="C48" s="1965"/>
      <c r="D48" s="1965"/>
      <c r="E48" s="1965"/>
      <c r="F48" s="1965"/>
      <c r="G48" s="1965"/>
      <c r="H48" s="1965"/>
      <c r="I48" s="1965"/>
      <c r="J48" s="1965"/>
      <c r="K48" s="1965"/>
      <c r="L48" s="1965"/>
      <c r="M48" s="1965"/>
      <c r="N48" s="1965"/>
      <c r="O48" s="1965"/>
      <c r="P48" s="1965"/>
      <c r="Q48" s="1965"/>
      <c r="R48" s="1966"/>
      <c r="S48" s="1686"/>
      <c r="T48" s="1966"/>
      <c r="U48" s="1686"/>
      <c r="V48" s="1686"/>
    </row>
    <row r="49" spans="1:22">
      <c r="A49" s="1965"/>
      <c r="B49" s="1965"/>
      <c r="C49" s="1965"/>
      <c r="D49" s="1965"/>
      <c r="E49" s="1965"/>
      <c r="F49" s="1965"/>
      <c r="G49" s="1965"/>
      <c r="H49" s="1965"/>
      <c r="I49" s="1965"/>
      <c r="J49" s="1965"/>
      <c r="K49" s="1965"/>
      <c r="L49" s="1965"/>
      <c r="M49" s="1965"/>
      <c r="N49" s="1965"/>
      <c r="O49" s="1965"/>
      <c r="P49" s="1965"/>
      <c r="Q49" s="1965"/>
      <c r="R49" s="1966"/>
      <c r="S49" s="1686"/>
      <c r="T49" s="1966"/>
      <c r="U49" s="1686"/>
      <c r="V49" s="1686"/>
    </row>
    <row r="50" spans="1:22">
      <c r="A50" s="1965"/>
      <c r="B50" s="1965"/>
      <c r="C50" s="1965"/>
      <c r="D50" s="1965"/>
      <c r="E50" s="1965"/>
      <c r="F50" s="1965"/>
      <c r="G50" s="1965"/>
      <c r="H50" s="1965"/>
      <c r="I50" s="1965"/>
      <c r="J50" s="1965"/>
      <c r="K50" s="1965"/>
      <c r="L50" s="1965"/>
      <c r="M50" s="1965"/>
      <c r="N50" s="1965"/>
      <c r="O50" s="1965"/>
      <c r="P50" s="1965"/>
      <c r="Q50" s="1965"/>
      <c r="R50" s="1966"/>
      <c r="S50" s="1686"/>
      <c r="T50" s="1966"/>
      <c r="U50" s="1686"/>
      <c r="V50" s="1686"/>
    </row>
    <row r="51" spans="1:22">
      <c r="A51" s="1965"/>
      <c r="B51" s="1965"/>
      <c r="C51" s="1965"/>
      <c r="D51" s="1965"/>
      <c r="E51" s="1965"/>
      <c r="F51" s="1965"/>
      <c r="G51" s="1965"/>
      <c r="H51" s="1965"/>
      <c r="I51" s="1965"/>
      <c r="J51" s="1965"/>
      <c r="K51" s="1965"/>
      <c r="L51" s="1965"/>
      <c r="M51" s="1965"/>
      <c r="N51" s="1965"/>
      <c r="O51" s="1965"/>
      <c r="P51" s="1965"/>
      <c r="Q51" s="1965"/>
      <c r="R51" s="1966"/>
      <c r="S51" s="1686"/>
      <c r="T51" s="1966"/>
      <c r="U51" s="1686"/>
      <c r="V51" s="1686"/>
    </row>
    <row r="52" spans="1:22">
      <c r="A52" s="1965"/>
      <c r="B52" s="1965"/>
      <c r="C52" s="1965"/>
      <c r="D52" s="1965"/>
      <c r="E52" s="1965"/>
      <c r="F52" s="1965"/>
      <c r="G52" s="1965"/>
      <c r="H52" s="1965"/>
      <c r="I52" s="1965"/>
      <c r="J52" s="1965"/>
      <c r="K52" s="1965"/>
      <c r="L52" s="1965"/>
      <c r="M52" s="1965"/>
      <c r="N52" s="1965"/>
      <c r="O52" s="1965"/>
      <c r="P52" s="1965"/>
      <c r="Q52" s="1965"/>
      <c r="R52" s="1966"/>
      <c r="S52" s="1686"/>
      <c r="T52" s="1966"/>
      <c r="U52" s="1686"/>
      <c r="V52" s="1686"/>
    </row>
    <row r="53" spans="1:22">
      <c r="A53" s="1965"/>
      <c r="B53" s="1965"/>
      <c r="C53" s="1965"/>
      <c r="D53" s="1965"/>
      <c r="E53" s="1965"/>
      <c r="F53" s="1965"/>
      <c r="G53" s="1965"/>
      <c r="H53" s="1965"/>
      <c r="I53" s="1965"/>
      <c r="J53" s="1965"/>
      <c r="K53" s="1965"/>
      <c r="L53" s="1965"/>
      <c r="M53" s="1965"/>
      <c r="N53" s="1965"/>
      <c r="O53" s="1965"/>
      <c r="P53" s="1965"/>
      <c r="Q53" s="1965"/>
      <c r="R53" s="1966"/>
      <c r="S53" s="1686"/>
      <c r="T53" s="1966"/>
      <c r="U53" s="1686"/>
      <c r="V53" s="1686"/>
    </row>
    <row r="54" spans="1:22">
      <c r="A54" s="1965"/>
      <c r="B54" s="1965"/>
      <c r="C54" s="1965"/>
      <c r="D54" s="1965"/>
      <c r="E54" s="1965"/>
      <c r="F54" s="1965"/>
      <c r="G54" s="1965"/>
      <c r="H54" s="1965"/>
      <c r="I54" s="1965"/>
      <c r="J54" s="1965"/>
      <c r="K54" s="1965"/>
      <c r="L54" s="1965"/>
      <c r="M54" s="1965"/>
      <c r="N54" s="1965"/>
      <c r="O54" s="1965"/>
      <c r="P54" s="1965"/>
      <c r="Q54" s="1965"/>
      <c r="R54" s="1966"/>
      <c r="S54" s="1686"/>
      <c r="T54" s="1966"/>
      <c r="U54" s="1686"/>
      <c r="V54" s="1686"/>
    </row>
    <row r="55" spans="1:22">
      <c r="A55" s="1965"/>
      <c r="B55" s="1965"/>
      <c r="C55" s="1965"/>
      <c r="D55" s="1965"/>
      <c r="E55" s="1965"/>
      <c r="F55" s="1965"/>
      <c r="G55" s="1965"/>
      <c r="H55" s="1965"/>
      <c r="I55" s="1965"/>
      <c r="J55" s="1965"/>
      <c r="K55" s="1965"/>
      <c r="L55" s="1965"/>
      <c r="M55" s="1965"/>
      <c r="N55" s="1965"/>
      <c r="O55" s="1965"/>
      <c r="P55" s="1965"/>
      <c r="Q55" s="1965"/>
      <c r="R55" s="1966"/>
      <c r="S55" s="1686"/>
      <c r="T55" s="1966"/>
      <c r="U55" s="1686"/>
      <c r="V55" s="1686"/>
    </row>
    <row r="56" spans="1:22">
      <c r="A56" s="1965"/>
      <c r="B56" s="1965"/>
      <c r="C56" s="1965"/>
      <c r="D56" s="1965"/>
      <c r="E56" s="1965"/>
      <c r="F56" s="1965"/>
      <c r="G56" s="1965"/>
      <c r="H56" s="1965"/>
      <c r="I56" s="1965"/>
      <c r="J56" s="1965"/>
      <c r="K56" s="1965"/>
      <c r="L56" s="1965"/>
      <c r="M56" s="1965"/>
      <c r="N56" s="1965"/>
      <c r="O56" s="1965"/>
      <c r="P56" s="1965"/>
      <c r="Q56" s="1965"/>
      <c r="R56" s="1967"/>
      <c r="S56" s="1965"/>
    </row>
    <row r="57" spans="1:22">
      <c r="A57" s="1965"/>
      <c r="B57" s="1965"/>
      <c r="C57" s="1965"/>
      <c r="D57" s="1965"/>
      <c r="E57" s="1965"/>
      <c r="F57" s="1965"/>
      <c r="G57" s="1965"/>
      <c r="H57" s="1965"/>
      <c r="I57" s="1965"/>
      <c r="J57" s="1965"/>
      <c r="K57" s="1965"/>
      <c r="L57" s="1965"/>
      <c r="M57" s="1965"/>
      <c r="N57" s="1965"/>
      <c r="O57" s="1965"/>
      <c r="P57" s="1965"/>
      <c r="Q57" s="1965"/>
      <c r="R57" s="1967"/>
      <c r="S57" s="1965"/>
    </row>
    <row r="58" spans="1:22">
      <c r="A58" s="1965"/>
      <c r="B58" s="1965"/>
      <c r="C58" s="1965"/>
      <c r="D58" s="1965"/>
      <c r="E58" s="1965"/>
      <c r="F58" s="1965"/>
      <c r="G58" s="1965"/>
      <c r="H58" s="1965"/>
      <c r="I58" s="1965"/>
      <c r="J58" s="1965"/>
      <c r="K58" s="1965"/>
      <c r="L58" s="1965"/>
      <c r="M58" s="1965"/>
      <c r="N58" s="1965"/>
      <c r="O58" s="1965"/>
      <c r="P58" s="1965"/>
      <c r="Q58" s="1965"/>
      <c r="R58" s="1967"/>
      <c r="S58" s="1965"/>
    </row>
    <row r="59" spans="1:22">
      <c r="A59" s="1965"/>
      <c r="B59" s="1965"/>
      <c r="C59" s="1965"/>
      <c r="D59" s="1965"/>
      <c r="E59" s="1965"/>
      <c r="F59" s="1965"/>
      <c r="G59" s="1965"/>
      <c r="H59" s="1965"/>
      <c r="I59" s="1965"/>
      <c r="J59" s="1965"/>
      <c r="K59" s="1965"/>
      <c r="L59" s="1965"/>
      <c r="M59" s="1965"/>
      <c r="N59" s="1965"/>
      <c r="O59" s="1965"/>
      <c r="P59" s="1965"/>
      <c r="Q59" s="1965"/>
      <c r="R59" s="1967"/>
      <c r="S59" s="1965"/>
    </row>
    <row r="60" spans="1:22">
      <c r="A60" s="1965"/>
      <c r="B60" s="1965"/>
      <c r="C60" s="1965"/>
      <c r="D60" s="1965"/>
      <c r="E60" s="1965"/>
      <c r="F60" s="1965"/>
      <c r="G60" s="1965"/>
      <c r="H60" s="1965"/>
      <c r="I60" s="1965"/>
      <c r="J60" s="1965"/>
      <c r="K60" s="1965"/>
      <c r="L60" s="1965"/>
      <c r="M60" s="1965"/>
      <c r="N60" s="1965"/>
      <c r="O60" s="1965"/>
      <c r="P60" s="1965"/>
      <c r="Q60" s="1965"/>
      <c r="R60" s="1967"/>
      <c r="S60" s="1965"/>
    </row>
    <row r="61" spans="1:22">
      <c r="A61" s="1965"/>
      <c r="B61" s="1965"/>
      <c r="C61" s="1965"/>
      <c r="D61" s="1965"/>
      <c r="E61" s="1965"/>
      <c r="F61" s="1965"/>
      <c r="G61" s="1965"/>
      <c r="H61" s="1965"/>
      <c r="I61" s="1965"/>
      <c r="J61" s="1965"/>
      <c r="K61" s="1965"/>
      <c r="L61" s="1965"/>
      <c r="M61" s="1965"/>
      <c r="N61" s="1965"/>
      <c r="O61" s="1965"/>
      <c r="P61" s="1965"/>
      <c r="Q61" s="1965"/>
      <c r="R61" s="1967"/>
      <c r="S61" s="1965"/>
    </row>
  </sheetData>
  <customSheetViews>
    <customSheetView guid="{8EE6466D-211E-4E05-9F84-CC0A1C6F79F4}" scale="80" showGridLines="0" outlineSymbols="0" fitToPage="1">
      <selection activeCell="U43" sqref="U43"/>
      <pageMargins left="0.5" right="0.5" top="0.75" bottom="0.5" header="0" footer="0.25"/>
      <pageSetup scale="55" orientation="landscape" r:id="rId1"/>
      <headerFooter scaleWithDoc="0" alignWithMargins="0">
        <oddFooter>&amp;C&amp;8 6</oddFooter>
      </headerFooter>
    </customSheetView>
  </customSheetViews>
  <mergeCells count="1">
    <mergeCell ref="S12:U12"/>
  </mergeCells>
  <pageMargins left="0.5" right="0.5" top="0.75" bottom="0.5" header="0" footer="0.25"/>
  <pageSetup scale="55" firstPageNumber="6" orientation="landscape" useFirstPageNumber="1" r:id="rId2"/>
  <headerFooter scaleWithDoc="0" alignWithMargins="0">
    <oddFooter>&amp;C&amp;8&amp;P</oddFooter>
  </headerFooter>
  <ignoredErrors>
    <ignoredError sqref="S20:U22 S35:U38 T34:U34 T42 T41 S30:U31 S18:T18 S27:U28 S23:T25 S33:T33 S40:U40 S19:U19 S26:T26 S32:T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56"/>
  <sheetViews>
    <sheetView zoomScale="80" zoomScaleNormal="80" workbookViewId="0"/>
  </sheetViews>
  <sheetFormatPr defaultColWidth="8.90625" defaultRowHeight="15"/>
  <cols>
    <col min="1" max="1" width="45.6328125" style="301" customWidth="1"/>
    <col min="2" max="2" width="2.453125" style="301" customWidth="1"/>
    <col min="3" max="3" width="15.36328125" style="301" customWidth="1"/>
    <col min="4" max="4" width="1.90625" style="301" customWidth="1"/>
    <col min="5" max="5" width="15.36328125" style="301" customWidth="1"/>
    <col min="6" max="6" width="2.81640625" style="301" customWidth="1"/>
    <col min="7" max="7" width="15.36328125" style="301" customWidth="1"/>
    <col min="8" max="8" width="2" style="301" customWidth="1"/>
    <col min="9" max="9" width="14.90625" style="301" customWidth="1"/>
    <col min="10" max="10" width="2.36328125" style="301" customWidth="1"/>
    <col min="11" max="11" width="14.08984375" style="301" customWidth="1"/>
    <col min="12" max="16384" width="8.90625" style="301"/>
  </cols>
  <sheetData>
    <row r="1" spans="1:11">
      <c r="A1" s="1172" t="s">
        <v>1103</v>
      </c>
    </row>
    <row r="2" spans="1:11">
      <c r="A2" s="1687"/>
    </row>
    <row r="3" spans="1:11" ht="17.399999999999999">
      <c r="A3" s="342" t="s">
        <v>0</v>
      </c>
      <c r="B3" s="343"/>
      <c r="C3" s="343"/>
      <c r="D3" s="344"/>
      <c r="E3" s="343"/>
      <c r="F3" s="344"/>
      <c r="G3" s="344"/>
      <c r="H3" s="344"/>
      <c r="I3" s="344"/>
      <c r="J3" s="344"/>
      <c r="K3" s="345" t="s">
        <v>86</v>
      </c>
    </row>
    <row r="4" spans="1:11" ht="17.399999999999999">
      <c r="A4" s="342" t="s">
        <v>85</v>
      </c>
      <c r="B4" s="343"/>
      <c r="C4" s="343"/>
      <c r="D4" s="344"/>
      <c r="E4" s="343"/>
      <c r="F4" s="344"/>
      <c r="G4" s="344"/>
      <c r="H4" s="344"/>
      <c r="I4" s="345"/>
      <c r="J4" s="346"/>
    </row>
    <row r="5" spans="1:11" ht="20.25" customHeight="1">
      <c r="A5" s="3396" t="s">
        <v>1457</v>
      </c>
      <c r="B5" s="3397"/>
      <c r="C5" s="3397"/>
      <c r="D5" s="3397"/>
      <c r="E5" s="3397"/>
      <c r="F5" s="344"/>
      <c r="G5" s="347"/>
      <c r="H5" s="344"/>
      <c r="I5" s="344"/>
      <c r="J5" s="344"/>
      <c r="K5" s="344"/>
    </row>
    <row r="6" spans="1:11" ht="18.75" customHeight="1">
      <c r="A6" s="1682" t="s">
        <v>1469</v>
      </c>
      <c r="B6" s="349"/>
      <c r="C6" s="350"/>
      <c r="D6" s="344"/>
      <c r="E6" s="350"/>
      <c r="F6" s="344"/>
      <c r="G6" s="344"/>
      <c r="H6" s="344"/>
      <c r="I6" s="344"/>
      <c r="J6" s="344"/>
      <c r="K6" s="344"/>
    </row>
    <row r="7" spans="1:11" ht="17.399999999999999">
      <c r="A7" s="393" t="s">
        <v>992</v>
      </c>
      <c r="B7" s="350"/>
      <c r="C7" s="350"/>
      <c r="D7" s="344"/>
      <c r="E7" s="350"/>
      <c r="F7" s="344"/>
      <c r="G7" s="344"/>
      <c r="H7" s="344"/>
      <c r="I7" s="344"/>
      <c r="J7" s="344"/>
      <c r="K7" s="344"/>
    </row>
    <row r="8" spans="1:11" ht="17.399999999999999">
      <c r="A8" s="351"/>
      <c r="B8" s="344"/>
      <c r="C8" s="344"/>
      <c r="D8" s="344"/>
      <c r="E8" s="344"/>
      <c r="F8" s="344"/>
      <c r="G8" s="344"/>
      <c r="H8" s="344"/>
      <c r="I8" s="344"/>
      <c r="J8" s="344"/>
      <c r="K8" s="344"/>
    </row>
    <row r="9" spans="1:11">
      <c r="A9" s="352"/>
      <c r="B9" s="344"/>
      <c r="C9" s="344"/>
      <c r="D9" s="344"/>
      <c r="E9" s="344"/>
      <c r="F9" s="344"/>
      <c r="G9" s="344"/>
      <c r="H9" s="344"/>
      <c r="I9" s="344"/>
      <c r="J9" s="344"/>
      <c r="K9" s="344"/>
    </row>
    <row r="10" spans="1:11">
      <c r="A10" s="352"/>
      <c r="B10" s="344"/>
      <c r="C10" s="344"/>
      <c r="D10" s="344"/>
      <c r="E10" s="344"/>
      <c r="F10" s="344"/>
      <c r="G10" s="344"/>
      <c r="H10" s="344"/>
      <c r="I10" s="344"/>
      <c r="J10" s="344"/>
      <c r="K10" s="344"/>
    </row>
    <row r="11" spans="1:11" ht="15.6">
      <c r="A11" s="223"/>
      <c r="B11" s="353"/>
      <c r="C11" s="3398" t="s">
        <v>1294</v>
      </c>
      <c r="D11" s="3398"/>
      <c r="E11" s="3398"/>
      <c r="F11" s="3398"/>
      <c r="G11" s="3398"/>
      <c r="H11" s="3398"/>
      <c r="I11" s="3398"/>
      <c r="J11" s="2291"/>
      <c r="K11" s="2292"/>
    </row>
    <row r="12" spans="1:11" ht="15.6">
      <c r="A12" s="223"/>
      <c r="B12" s="353"/>
      <c r="C12" s="354"/>
      <c r="D12" s="354"/>
      <c r="E12" s="354"/>
      <c r="F12" s="354"/>
      <c r="G12" s="354"/>
      <c r="H12" s="354"/>
      <c r="I12" s="355" t="s">
        <v>87</v>
      </c>
      <c r="J12" s="355"/>
      <c r="K12" s="355" t="s">
        <v>87</v>
      </c>
    </row>
    <row r="13" spans="1:11" ht="15.6">
      <c r="A13" s="223"/>
      <c r="B13" s="353"/>
      <c r="C13" s="354"/>
      <c r="D13" s="354"/>
      <c r="E13" s="354"/>
      <c r="F13" s="354"/>
      <c r="G13" s="354"/>
      <c r="H13" s="354"/>
      <c r="I13" s="355" t="s">
        <v>999</v>
      </c>
      <c r="J13" s="355"/>
      <c r="K13" s="355" t="s">
        <v>999</v>
      </c>
    </row>
    <row r="14" spans="1:11" ht="15.6">
      <c r="A14" s="223"/>
      <c r="B14" s="353"/>
      <c r="C14" s="356" t="s">
        <v>1235</v>
      </c>
      <c r="D14" s="354"/>
      <c r="E14" s="355" t="s">
        <v>1236</v>
      </c>
      <c r="F14" s="354"/>
      <c r="G14" s="354"/>
      <c r="H14" s="354"/>
      <c r="I14" s="355" t="s">
        <v>88</v>
      </c>
      <c r="J14" s="355"/>
      <c r="K14" s="355" t="s">
        <v>88</v>
      </c>
    </row>
    <row r="15" spans="1:11" ht="15.6">
      <c r="A15" s="223"/>
      <c r="B15" s="353"/>
      <c r="C15" s="355" t="s">
        <v>1279</v>
      </c>
      <c r="D15" s="354"/>
      <c r="E15" s="355" t="s">
        <v>1279</v>
      </c>
      <c r="F15" s="354"/>
      <c r="G15" s="354"/>
      <c r="H15" s="354"/>
      <c r="I15" s="355" t="s">
        <v>1235</v>
      </c>
      <c r="J15" s="355"/>
      <c r="K15" s="355" t="s">
        <v>1236</v>
      </c>
    </row>
    <row r="16" spans="1:11" ht="15.6">
      <c r="A16" s="223"/>
      <c r="B16" s="353"/>
      <c r="C16" s="355" t="s">
        <v>1280</v>
      </c>
      <c r="D16" s="354"/>
      <c r="E16" s="355" t="s">
        <v>1464</v>
      </c>
      <c r="F16" s="354"/>
      <c r="G16" s="356" t="s">
        <v>87</v>
      </c>
      <c r="H16" s="354"/>
      <c r="I16" s="355" t="s">
        <v>89</v>
      </c>
      <c r="J16" s="355"/>
      <c r="K16" s="355" t="s">
        <v>89</v>
      </c>
    </row>
    <row r="17" spans="1:11">
      <c r="A17" s="357"/>
      <c r="B17" s="358"/>
      <c r="C17" s="359"/>
      <c r="D17" s="344"/>
      <c r="E17" s="359"/>
      <c r="F17" s="344"/>
      <c r="G17" s="359"/>
      <c r="H17" s="344"/>
      <c r="I17" s="359"/>
      <c r="J17" s="358"/>
      <c r="K17" s="359"/>
    </row>
    <row r="18" spans="1:11" ht="15.6">
      <c r="A18" s="221" t="s">
        <v>15</v>
      </c>
      <c r="B18" s="360"/>
      <c r="C18" s="361"/>
      <c r="D18" s="361"/>
      <c r="E18" s="361"/>
      <c r="F18" s="361"/>
      <c r="G18" s="361"/>
      <c r="H18" s="361"/>
      <c r="I18" s="361"/>
      <c r="J18" s="361"/>
      <c r="K18" s="360"/>
    </row>
    <row r="19" spans="1:11" ht="15" customHeight="1">
      <c r="A19" s="1674" t="s">
        <v>90</v>
      </c>
      <c r="B19" s="362" t="s">
        <v>16</v>
      </c>
      <c r="C19" s="363"/>
      <c r="D19" s="362"/>
      <c r="E19" s="363"/>
      <c r="F19" s="362"/>
      <c r="G19" s="299"/>
      <c r="H19" s="362"/>
      <c r="I19" s="299"/>
      <c r="J19" s="299"/>
      <c r="K19" s="245"/>
    </row>
    <row r="20" spans="1:11">
      <c r="A20" s="364" t="s">
        <v>91</v>
      </c>
      <c r="B20" s="362" t="s">
        <v>16</v>
      </c>
      <c r="C20" s="242">
        <f>'Exh D General Fund  '!C20+'Exh D Special Revenue'!C20+'Exh D Debt Service'!C20</f>
        <v>6354</v>
      </c>
      <c r="D20" s="365"/>
      <c r="E20" s="242">
        <f>+'Exh D General Fund  '!E20+'Exh D Special Revenue'!E20+'Exh D Debt Service'!E20</f>
        <v>0</v>
      </c>
      <c r="F20" s="365"/>
      <c r="G20" s="242">
        <f>+'Exh D General Fund  '!G20+'Exh D Special Revenue'!G20+'Exh D Debt Service'!G20</f>
        <v>6383.7000000000007</v>
      </c>
      <c r="H20" s="365"/>
      <c r="I20" s="242">
        <f t="shared" ref="I20:I25" si="0">ROUND(SUM(G20)-SUM(C20),1)</f>
        <v>29.7</v>
      </c>
      <c r="J20" s="366"/>
      <c r="K20" s="243">
        <v>0</v>
      </c>
    </row>
    <row r="21" spans="1:11">
      <c r="A21" s="1674" t="s">
        <v>92</v>
      </c>
      <c r="B21" s="360" t="s">
        <v>16</v>
      </c>
      <c r="C21" s="261">
        <f>+'Exh D General Fund  '!C21+'Exh D Debt Service'!C21+'Exh D Special Revenue'!C21+'Exh D Capital Projects'!C20</f>
        <v>1268</v>
      </c>
      <c r="D21" s="261"/>
      <c r="E21" s="261">
        <f>+'Exh D General Fund  '!E21+'Exh D Special Revenue'!E21+'Exh D Debt Service'!E21+'Exh D Capital Projects'!E20</f>
        <v>0</v>
      </c>
      <c r="F21" s="261"/>
      <c r="G21" s="261">
        <f>+'Exh D General Fund  '!G21+'Exh D Special Revenue'!G21+'Exh D Debt Service'!G21+'Exh D Capital Projects'!G20</f>
        <v>1274.3</v>
      </c>
      <c r="H21" s="261"/>
      <c r="I21" s="261">
        <f t="shared" si="0"/>
        <v>6.3</v>
      </c>
      <c r="J21" s="366"/>
      <c r="K21" s="249">
        <v>0</v>
      </c>
    </row>
    <row r="22" spans="1:11" ht="17.25" customHeight="1">
      <c r="A22" s="1674" t="s">
        <v>93</v>
      </c>
      <c r="B22" s="362" t="s">
        <v>16</v>
      </c>
      <c r="C22" s="261">
        <f>+'Exh D General Fund  '!C22+'Exh D Special Revenue'!C22+'Exh D Capital Projects'!C21</f>
        <v>275</v>
      </c>
      <c r="D22" s="274"/>
      <c r="E22" s="261">
        <f>+'Exh D General Fund  '!E22+'Exh D Special Revenue'!E22+'Exh D Capital Projects'!E21</f>
        <v>0</v>
      </c>
      <c r="F22" s="274"/>
      <c r="G22" s="261">
        <f>+'Exh D General Fund  '!G22+'Exh D Special Revenue'!G22+'Exh D Capital Projects'!G21</f>
        <v>280.3</v>
      </c>
      <c r="H22" s="274"/>
      <c r="I22" s="261">
        <f t="shared" si="0"/>
        <v>5.3</v>
      </c>
      <c r="J22" s="366"/>
      <c r="K22" s="249">
        <v>0</v>
      </c>
    </row>
    <row r="23" spans="1:11" ht="14.25" customHeight="1">
      <c r="A23" s="1674" t="s">
        <v>94</v>
      </c>
      <c r="B23" s="360" t="s">
        <v>16</v>
      </c>
      <c r="C23" s="261">
        <f>+'Exh D General Fund  '!C23+'Exh D Special Revenue'!C23+'Exh D Capital Projects'!C22+'Exh D Debt Service'!C22</f>
        <v>267</v>
      </c>
      <c r="D23" s="261"/>
      <c r="E23" s="261">
        <f>+'Exh D General Fund  '!E23+'Exh D Special Revenue'!E23+'Exh D Debt Service'!E22+'Exh D Capital Projects'!E22</f>
        <v>0</v>
      </c>
      <c r="F23" s="261"/>
      <c r="G23" s="261">
        <f>+'Exh D General Fund  '!G23+'Exh D Special Revenue'!G23+'Exh D Debt Service'!G22+'Exh D Capital Projects'!G22</f>
        <v>282.60000000000002</v>
      </c>
      <c r="H23" s="261"/>
      <c r="I23" s="261">
        <f t="shared" si="0"/>
        <v>15.6</v>
      </c>
      <c r="J23" s="366"/>
      <c r="K23" s="249">
        <v>0</v>
      </c>
    </row>
    <row r="24" spans="1:11">
      <c r="A24" s="1674" t="s">
        <v>21</v>
      </c>
      <c r="B24" s="360" t="s">
        <v>16</v>
      </c>
      <c r="C24" s="261">
        <f>+'Exh D General Fund  '!C24+'Exh D Special Revenue'!C24+'Exh D Debt Service'!C23+'Exh D Capital Projects'!C23</f>
        <v>1513</v>
      </c>
      <c r="D24" s="261"/>
      <c r="E24" s="261">
        <f>+'Exh D General Fund  '!E24+'Exh D Special Revenue'!E24+'Exh D Debt Service'!E23+'Exh D Capital Projects'!E23</f>
        <v>0</v>
      </c>
      <c r="F24" s="261"/>
      <c r="G24" s="261">
        <f>+'Exh D General Fund  '!G24+'Exh D Special Revenue'!G24+'Exh D Debt Service'!G23+'Exh D Capital Projects'!G23</f>
        <v>1455.5</v>
      </c>
      <c r="H24" s="261"/>
      <c r="I24" s="261">
        <f t="shared" si="0"/>
        <v>-57.5</v>
      </c>
      <c r="J24" s="367"/>
      <c r="K24" s="249">
        <v>0</v>
      </c>
    </row>
    <row r="25" spans="1:11" ht="15" customHeight="1">
      <c r="A25" s="1674" t="s">
        <v>22</v>
      </c>
      <c r="B25" s="360" t="s">
        <v>16</v>
      </c>
      <c r="C25" s="515">
        <f>+'Exh D General Fund  '!C25+'Exh D Debt Service'!C24+'Exh D Special Revenue'!C25+'Exh D Capital Projects'!C24</f>
        <v>3264</v>
      </c>
      <c r="D25" s="261"/>
      <c r="E25" s="515">
        <f>+'Exh D General Fund  '!E25+'Exh D Special Revenue'!E25+'Exh D Debt Service'!E24+'Exh D Capital Projects'!E24</f>
        <v>0</v>
      </c>
      <c r="F25" s="261"/>
      <c r="G25" s="515">
        <f>+'Exh D General Fund  '!G25+'Exh D Special Revenue'!G25+'Exh D Debt Service'!G24+'Exh D Capital Projects'!G24</f>
        <v>3275.7</v>
      </c>
      <c r="H25" s="261"/>
      <c r="I25" s="261">
        <f t="shared" si="0"/>
        <v>11.7</v>
      </c>
      <c r="J25" s="367"/>
      <c r="K25" s="249">
        <v>0</v>
      </c>
    </row>
    <row r="26" spans="1:11" ht="15.6">
      <c r="A26" s="375" t="s">
        <v>95</v>
      </c>
      <c r="B26" s="353" t="s">
        <v>16</v>
      </c>
      <c r="C26" s="419">
        <f>ROUND(SUM(C20:C25),1)</f>
        <v>12941</v>
      </c>
      <c r="D26" s="1838"/>
      <c r="E26" s="419">
        <f>ROUND(SUM(E20:E25),1)</f>
        <v>0</v>
      </c>
      <c r="F26" s="257"/>
      <c r="G26" s="419">
        <f>ROUND(SUM(G20:G25),1)</f>
        <v>12952.1</v>
      </c>
      <c r="H26" s="257"/>
      <c r="I26" s="419">
        <f>ROUND(SUM(I20:I25),1)</f>
        <v>11.1</v>
      </c>
      <c r="J26" s="368"/>
      <c r="K26" s="419">
        <f>ROUND(SUM(K20:K25),1)</f>
        <v>0</v>
      </c>
    </row>
    <row r="27" spans="1:11">
      <c r="A27" s="223"/>
      <c r="B27" s="360" t="s">
        <v>16</v>
      </c>
      <c r="C27" s="288"/>
      <c r="D27" s="261"/>
      <c r="E27" s="288"/>
      <c r="F27" s="261"/>
      <c r="G27" s="288"/>
      <c r="H27" s="261"/>
      <c r="I27" s="288"/>
      <c r="J27" s="253"/>
      <c r="K27" s="288"/>
    </row>
    <row r="28" spans="1:11" ht="15.6">
      <c r="A28" s="221" t="s">
        <v>24</v>
      </c>
      <c r="B28" s="360" t="s">
        <v>16</v>
      </c>
      <c r="C28" s="261"/>
      <c r="D28" s="261"/>
      <c r="E28" s="261"/>
      <c r="F28" s="261"/>
      <c r="G28" s="261"/>
      <c r="H28" s="261"/>
      <c r="I28" s="261"/>
      <c r="J28" s="367"/>
      <c r="K28" s="249"/>
    </row>
    <row r="29" spans="1:11">
      <c r="A29" s="1674" t="s">
        <v>96</v>
      </c>
      <c r="B29" s="360" t="s">
        <v>16</v>
      </c>
      <c r="C29" s="515">
        <f>+'Exh D General Fund  '!C34+'Exh D Special Revenue'!C30+'Exh D Capital Projects'!C30</f>
        <v>6068</v>
      </c>
      <c r="D29" s="261"/>
      <c r="E29" s="515">
        <f>+'Exh D General Fund  '!E34+'Exh D Special Revenue'!E30+'Exh D Capital Projects'!E30</f>
        <v>0</v>
      </c>
      <c r="F29" s="261"/>
      <c r="G29" s="515">
        <f>+'Exh D General Fund  '!G34+'Exh D Special Revenue'!G30+'Exh D Capital Projects'!G30</f>
        <v>6031.3</v>
      </c>
      <c r="H29" s="261"/>
      <c r="I29" s="261">
        <f>ROUND(SUM(G29)-SUM(C29),1)</f>
        <v>-36.700000000000003</v>
      </c>
      <c r="J29" s="367"/>
      <c r="K29" s="249">
        <v>0</v>
      </c>
    </row>
    <row r="30" spans="1:11">
      <c r="A30" s="1674" t="s">
        <v>97</v>
      </c>
      <c r="B30" s="360" t="s">
        <v>16</v>
      </c>
      <c r="C30" s="274">
        <f>+'Exh D General Fund  '!C35+'Exh D Special Revenue'!C31+'Exh D Debt Service'!C29</f>
        <v>1437</v>
      </c>
      <c r="D30" s="261"/>
      <c r="E30" s="274">
        <f>+'Exh D General Fund  '!E35+'Exh D Special Revenue'!E31+'Exh D Debt Service'!E29</f>
        <v>0</v>
      </c>
      <c r="F30" s="261"/>
      <c r="G30" s="274">
        <f>+'Exh D General Fund  '!G35+'Exh D Special Revenue'!G31+'Exh D Debt Service'!G29</f>
        <v>1438.3</v>
      </c>
      <c r="H30" s="261"/>
      <c r="I30" s="261">
        <f>ROUND(SUM(G30)-SUM(C30),1)</f>
        <v>1.3</v>
      </c>
      <c r="J30" s="367"/>
      <c r="K30" s="249">
        <v>0</v>
      </c>
    </row>
    <row r="31" spans="1:11">
      <c r="A31" s="1674" t="s">
        <v>72</v>
      </c>
      <c r="B31" s="360" t="s">
        <v>16</v>
      </c>
      <c r="C31" s="515">
        <f>+'Exh D General Fund  '!C36+'Exh D Special Revenue'!C32</f>
        <v>2630</v>
      </c>
      <c r="D31" s="261"/>
      <c r="E31" s="1263">
        <f>+'Exh D General Fund  '!E36+'Exh D Special Revenue'!E32</f>
        <v>0</v>
      </c>
      <c r="F31" s="261"/>
      <c r="G31" s="515">
        <f>+'Exh D General Fund  '!G36+'Exh D Special Revenue'!G32</f>
        <v>2629.2</v>
      </c>
      <c r="H31" s="261"/>
      <c r="I31" s="261">
        <f>ROUND(SUM(G31)-SUM(C31),1)</f>
        <v>-0.8</v>
      </c>
      <c r="J31" s="367"/>
      <c r="K31" s="249">
        <v>0</v>
      </c>
    </row>
    <row r="32" spans="1:11">
      <c r="A32" s="1674" t="s">
        <v>98</v>
      </c>
      <c r="B32" s="360" t="s">
        <v>16</v>
      </c>
      <c r="C32" s="274">
        <f>+'Exh D Debt Service'!C30</f>
        <v>113</v>
      </c>
      <c r="D32" s="261"/>
      <c r="E32" s="274">
        <f>+'Exh D Debt Service'!E30</f>
        <v>0</v>
      </c>
      <c r="F32" s="261"/>
      <c r="G32" s="274">
        <f>+'Exh D Debt Service'!G30</f>
        <v>113.3</v>
      </c>
      <c r="H32" s="261"/>
      <c r="I32" s="261">
        <f>ROUND(SUM(G32)-SUM(C32),1)</f>
        <v>0.3</v>
      </c>
      <c r="J32" s="367"/>
      <c r="K32" s="249">
        <v>0</v>
      </c>
    </row>
    <row r="33" spans="1:11" ht="15" customHeight="1">
      <c r="A33" s="1674" t="s">
        <v>43</v>
      </c>
      <c r="B33" s="360" t="s">
        <v>16</v>
      </c>
      <c r="C33" s="515">
        <f>+'Exh D Special Revenue'!C33+'Exh D Capital Projects'!C31</f>
        <v>315</v>
      </c>
      <c r="D33" s="261"/>
      <c r="E33" s="515">
        <f>+'Exh D Special Revenue'!E33+'Exh D Capital Projects'!E31</f>
        <v>0</v>
      </c>
      <c r="F33" s="261"/>
      <c r="G33" s="515">
        <f>+'Exh D Special Revenue'!G33+'Exh D Capital Projects'!G31</f>
        <v>313.60000000000002</v>
      </c>
      <c r="H33" s="261"/>
      <c r="I33" s="261">
        <f>ROUND(SUM(G33)-SUM(C33),1)</f>
        <v>-1.4</v>
      </c>
      <c r="J33" s="367"/>
      <c r="K33" s="249">
        <v>0</v>
      </c>
    </row>
    <row r="34" spans="1:11" ht="15.75" customHeight="1">
      <c r="A34" s="375" t="s">
        <v>99</v>
      </c>
      <c r="B34" s="353" t="s">
        <v>16</v>
      </c>
      <c r="C34" s="544">
        <f>ROUND(SUM(C29:C33),1)</f>
        <v>10563</v>
      </c>
      <c r="D34" s="1838"/>
      <c r="E34" s="544">
        <f>ROUND(SUM(E29:E33),1)</f>
        <v>0</v>
      </c>
      <c r="F34" s="257"/>
      <c r="G34" s="544">
        <f>ROUND(SUM(G29:G33),1)</f>
        <v>10525.7</v>
      </c>
      <c r="H34" s="257"/>
      <c r="I34" s="544">
        <f>ROUND(SUM(I29:I33),1)</f>
        <v>-37.299999999999997</v>
      </c>
      <c r="J34" s="368"/>
      <c r="K34" s="544">
        <f>ROUND(SUM(K29:K33),1)</f>
        <v>0</v>
      </c>
    </row>
    <row r="35" spans="1:11">
      <c r="A35" s="223"/>
      <c r="B35" s="360"/>
      <c r="C35" s="261"/>
      <c r="D35" s="261"/>
      <c r="E35" s="261"/>
      <c r="F35" s="261"/>
      <c r="G35" s="261"/>
      <c r="H35" s="261"/>
      <c r="I35" s="261"/>
      <c r="J35" s="367"/>
      <c r="K35" s="249"/>
    </row>
    <row r="36" spans="1:11" ht="15.6">
      <c r="A36" s="375" t="s">
        <v>45</v>
      </c>
      <c r="B36" s="360"/>
      <c r="C36" s="261"/>
      <c r="D36" s="261"/>
      <c r="E36" s="261"/>
      <c r="F36" s="261"/>
      <c r="G36" s="261"/>
      <c r="H36" s="261"/>
      <c r="I36" s="261"/>
      <c r="J36" s="367"/>
      <c r="K36" s="249"/>
    </row>
    <row r="37" spans="1:11" ht="15.6">
      <c r="A37" s="375" t="s">
        <v>46</v>
      </c>
      <c r="B37" s="360" t="s">
        <v>16</v>
      </c>
      <c r="C37" s="271">
        <f>ROUND(SUM(+C26-C34),1)</f>
        <v>2378</v>
      </c>
      <c r="D37" s="261"/>
      <c r="E37" s="271">
        <f>ROUND(SUM(+E26-E34),1)</f>
        <v>0</v>
      </c>
      <c r="F37" s="261"/>
      <c r="G37" s="271">
        <f>ROUND(SUM(+G26-G34),1)</f>
        <v>2426.4</v>
      </c>
      <c r="H37" s="261"/>
      <c r="I37" s="271">
        <f>ROUND(SUM(+I26-I34),1)</f>
        <v>48.4</v>
      </c>
      <c r="J37" s="253"/>
      <c r="K37" s="1692">
        <f>ROUND(SUM(+K26-K34),1)</f>
        <v>0</v>
      </c>
    </row>
    <row r="38" spans="1:11">
      <c r="A38" s="223"/>
      <c r="B38" s="360"/>
      <c r="C38" s="261"/>
      <c r="D38" s="261"/>
      <c r="E38" s="261"/>
      <c r="F38" s="261"/>
      <c r="G38" s="261"/>
      <c r="H38" s="261"/>
      <c r="I38" s="261"/>
      <c r="J38" s="367"/>
      <c r="K38" s="249"/>
    </row>
    <row r="39" spans="1:11" ht="15.6">
      <c r="A39" s="375" t="s">
        <v>47</v>
      </c>
      <c r="B39" s="360"/>
      <c r="C39" s="261"/>
      <c r="D39" s="261"/>
      <c r="E39" s="261"/>
      <c r="F39" s="261"/>
      <c r="G39" s="261"/>
      <c r="H39" s="261"/>
      <c r="I39" s="261"/>
      <c r="J39" s="367"/>
      <c r="K39" s="249"/>
    </row>
    <row r="40" spans="1:11">
      <c r="A40" s="1674" t="s">
        <v>100</v>
      </c>
      <c r="B40" s="360" t="s">
        <v>16</v>
      </c>
      <c r="C40" s="516">
        <f>'Exh D Captl Projects State Fed'!C25</f>
        <v>0</v>
      </c>
      <c r="D40" s="261"/>
      <c r="E40" s="516">
        <f>'Exh D Captl Projects State Fed'!E25</f>
        <v>0</v>
      </c>
      <c r="F40" s="261"/>
      <c r="G40" s="516">
        <f>'Exh D Captl Projects State Fed'!G25</f>
        <v>0</v>
      </c>
      <c r="H40" s="261"/>
      <c r="I40" s="261">
        <f>ROUND(SUM(G40)-SUM(C40),1)</f>
        <v>0</v>
      </c>
      <c r="J40" s="373"/>
      <c r="K40" s="249">
        <f>ROUND(SUM(G40)-SUM(E40),1)</f>
        <v>0</v>
      </c>
    </row>
    <row r="41" spans="1:11">
      <c r="A41" s="1674" t="s">
        <v>49</v>
      </c>
      <c r="B41" s="360" t="s">
        <v>16</v>
      </c>
      <c r="C41" s="274">
        <f>+'Exh D General Fund  '!C27+'Exh D General Fund  '!C28+'Exh D General Fund  '!C29+'Exh D General Fund  '!C30+'Exh D Special Revenue'!C26+'Exh D Debt Service'!C25+'Exh D Capital Projects'!C26</f>
        <v>3186</v>
      </c>
      <c r="D41" s="261"/>
      <c r="E41" s="319">
        <f>+'Exh D General Fund  '!E27+'Exh D General Fund  '!E28+'Exh D General Fund  '!E29+'Exh D General Fund  '!E30+'Exh D Special Revenue'!E26+'Exh D Debt Service'!E25+'Exh D Capital Projects'!E26</f>
        <v>0</v>
      </c>
      <c r="F41" s="261"/>
      <c r="G41" s="274">
        <f>+'Exh D General Fund  '!G27+'Exh D General Fund  '!G28+'Exh D General Fund  '!G29+'Exh D General Fund  '!G30+'Exh D Special Revenue'!G26+'Exh D Debt Service'!G25+'Exh D Capital Projects'!G26</f>
        <v>3182.1</v>
      </c>
      <c r="H41" s="261"/>
      <c r="I41" s="261">
        <f>ROUND(SUM(G41)-SUM(C41),1)</f>
        <v>-3.9</v>
      </c>
      <c r="J41" s="367"/>
      <c r="K41" s="249">
        <v>0</v>
      </c>
    </row>
    <row r="42" spans="1:11">
      <c r="A42" s="1674" t="s">
        <v>101</v>
      </c>
      <c r="B42" s="360" t="s">
        <v>16</v>
      </c>
      <c r="C42" s="520">
        <f>-(+'Exh D General Fund  '!C38+'Exh D General Fund  '!C39+'Exh D General Fund  '!C40+'Exh D General Fund  '!C41+'Exh D General Fund  '!C42+'Exh D Special Revenue'!C34+'Exh D Debt Service'!C31+'Exh D Capital Projects'!C32)</f>
        <v>-3194</v>
      </c>
      <c r="D42" s="261"/>
      <c r="E42" s="2712">
        <f>-(+'Exh D General Fund  '!E38+'Exh D General Fund  '!E39+'Exh D General Fund  '!E40+'Exh D General Fund  '!E41+'Exh D General Fund  '!E42+'Exh D Special Revenue'!E34+'Exh D Debt Service'!E31+'Exh D Capital Projects'!E32)</f>
        <v>0</v>
      </c>
      <c r="F42" s="261"/>
      <c r="G42" s="520">
        <f>-(+'Exh D General Fund  '!G38+'Exh D General Fund  '!G39+'Exh D General Fund  '!G40+'Exh D General Fund  '!G41+'Exh D General Fund  '!G42+'Exh D Special Revenue'!G34+'Exh D Debt Service'!G31+'Exh D Capital Projects'!G32)</f>
        <v>-3187.3999999999996</v>
      </c>
      <c r="H42" s="261"/>
      <c r="I42" s="1002">
        <f>-ROUND(SUM(G42)-SUM(C42),1)</f>
        <v>-6.6</v>
      </c>
      <c r="J42" s="253"/>
      <c r="K42" s="249">
        <v>0</v>
      </c>
    </row>
    <row r="43" spans="1:11" ht="15.6">
      <c r="A43" s="375" t="s">
        <v>102</v>
      </c>
      <c r="B43" s="360" t="s">
        <v>16</v>
      </c>
      <c r="C43" s="522">
        <f>ROUND(+SUM(C40)+C41+C42,1)</f>
        <v>-8</v>
      </c>
      <c r="D43" s="261"/>
      <c r="E43" s="522">
        <f>ROUND(+SUM(E40)+E41+E42,1)</f>
        <v>0</v>
      </c>
      <c r="F43" s="261"/>
      <c r="G43" s="522">
        <f>ROUND(+SUM(G40)+G41+G42,1)</f>
        <v>-5.3</v>
      </c>
      <c r="H43" s="261"/>
      <c r="I43" s="522">
        <f>ROUND(SUM(I40+I41-I42),1)</f>
        <v>2.7</v>
      </c>
      <c r="J43" s="374"/>
      <c r="K43" s="3174">
        <f>ROUND(SUM(K40+K41-K42),1)</f>
        <v>0</v>
      </c>
    </row>
    <row r="44" spans="1:11" ht="15.6">
      <c r="A44" s="375"/>
      <c r="B44" s="360"/>
      <c r="C44" s="274"/>
      <c r="D44" s="261"/>
      <c r="E44" s="274"/>
      <c r="F44" s="261"/>
      <c r="G44" s="274"/>
      <c r="H44" s="261"/>
      <c r="I44" s="274"/>
      <c r="J44" s="362"/>
      <c r="K44" s="275"/>
    </row>
    <row r="45" spans="1:11" ht="15.6">
      <c r="A45" s="221" t="s">
        <v>103</v>
      </c>
      <c r="B45" s="360"/>
      <c r="C45" s="261"/>
      <c r="D45" s="261"/>
      <c r="E45" s="261"/>
      <c r="F45" s="261"/>
      <c r="G45" s="261"/>
      <c r="H45" s="261"/>
      <c r="I45" s="261"/>
      <c r="J45" s="367"/>
      <c r="K45" s="249"/>
    </row>
    <row r="46" spans="1:11" ht="15" customHeight="1">
      <c r="A46" s="221" t="s">
        <v>104</v>
      </c>
      <c r="B46" s="360"/>
      <c r="C46" s="261"/>
      <c r="D46" s="261"/>
      <c r="E46" s="261"/>
      <c r="F46" s="261"/>
      <c r="G46" s="261"/>
      <c r="H46" s="261"/>
      <c r="I46" s="261"/>
      <c r="J46" s="367"/>
      <c r="K46" s="249"/>
    </row>
    <row r="47" spans="1:11" ht="15.6">
      <c r="A47" s="375" t="s">
        <v>105</v>
      </c>
      <c r="B47" s="376" t="s">
        <v>16</v>
      </c>
      <c r="C47" s="273">
        <f>ROUND(SUM(C26)-SUM(C34)+C43,1)</f>
        <v>2370</v>
      </c>
      <c r="D47" s="284"/>
      <c r="E47" s="273">
        <f>ROUND(SUM(E26)-SUM(E34)+E43,1)</f>
        <v>0</v>
      </c>
      <c r="F47" s="284"/>
      <c r="G47" s="273">
        <f>ROUND(SUM(G26)-SUM(G34)+G43,1)</f>
        <v>2421.1</v>
      </c>
      <c r="H47" s="284"/>
      <c r="I47" s="273">
        <f>ROUND(SUM(I26)-SUM(I34)+I43,1)</f>
        <v>51.1</v>
      </c>
      <c r="J47" s="368"/>
      <c r="K47" s="273">
        <f>ROUND(SUM(K26)-SUM(K34)+K43,1)</f>
        <v>0</v>
      </c>
    </row>
    <row r="48" spans="1:11">
      <c r="A48" s="226"/>
      <c r="B48" s="378"/>
      <c r="C48" s="662"/>
      <c r="D48" s="1274"/>
      <c r="E48" s="662"/>
      <c r="F48" s="1274"/>
      <c r="G48" s="662"/>
      <c r="H48" s="1274"/>
      <c r="I48" s="662"/>
      <c r="J48" s="380"/>
      <c r="K48" s="662"/>
    </row>
    <row r="49" spans="1:11" ht="15.6">
      <c r="A49" s="375" t="s">
        <v>106</v>
      </c>
      <c r="B49" s="381" t="s">
        <v>16</v>
      </c>
      <c r="C49" s="273">
        <f>'Exh D General Fund  '!C49+'Exh D Special Revenue'!C41+'Exh D Debt Service'!C38+'Exh D Capital Projects'!C39</f>
        <v>11810</v>
      </c>
      <c r="D49" s="1274"/>
      <c r="E49" s="273">
        <f>'Exh D General Fund  '!E49+'Exh D Special Revenue'!E41+'Exh D Debt Service'!E38+'Exh D Capital Projects'!E39</f>
        <v>0</v>
      </c>
      <c r="F49" s="1274"/>
      <c r="G49" s="273">
        <f>'Exh D General Fund  '!G49+'Exh D Special Revenue'!G41+'Exh D Debt Service'!G38+'Exh D Capital Projects'!G39</f>
        <v>11810.100000000002</v>
      </c>
      <c r="H49" s="1274"/>
      <c r="I49" s="273">
        <f>ROUND(SUM(G49-C49),1)</f>
        <v>0.1</v>
      </c>
      <c r="J49" s="368"/>
      <c r="K49" s="2994">
        <v>0</v>
      </c>
    </row>
    <row r="50" spans="1:11" ht="16.2" thickBot="1">
      <c r="A50" s="3182" t="s">
        <v>1470</v>
      </c>
      <c r="B50" s="382" t="s">
        <v>16</v>
      </c>
      <c r="C50" s="298">
        <f>ROUND(SUM(C47:C49),1)</f>
        <v>14180</v>
      </c>
      <c r="D50" s="383"/>
      <c r="E50" s="298">
        <f>ROUND(SUM(E47:E49),1)</f>
        <v>0</v>
      </c>
      <c r="F50" s="383"/>
      <c r="G50" s="298">
        <f>ROUND(SUM(G47:G49),1)</f>
        <v>14231.2</v>
      </c>
      <c r="H50" s="383"/>
      <c r="I50" s="298">
        <f>ROUND(SUM(I47:I49),1)</f>
        <v>51.2</v>
      </c>
      <c r="J50" s="384"/>
      <c r="K50" s="298">
        <f>ROUND(SUM(K47:K49),1)</f>
        <v>0</v>
      </c>
    </row>
    <row r="51" spans="1:11" ht="15.6" thickTop="1">
      <c r="A51" s="226"/>
      <c r="B51" s="378"/>
      <c r="C51" s="378"/>
      <c r="D51" s="379"/>
      <c r="E51" s="378"/>
      <c r="F51" s="379"/>
      <c r="G51" s="379"/>
      <c r="H51" s="379"/>
      <c r="I51" s="379"/>
      <c r="J51" s="379"/>
      <c r="K51" s="378"/>
    </row>
    <row r="52" spans="1:11">
      <c r="A52" s="1853" t="s">
        <v>1529</v>
      </c>
      <c r="K52" s="2328"/>
    </row>
    <row r="53" spans="1:11">
      <c r="A53" s="1884"/>
      <c r="G53" s="2293"/>
    </row>
    <row r="54" spans="1:11">
      <c r="A54" s="386"/>
    </row>
    <row r="55" spans="1:11">
      <c r="A55" s="385"/>
      <c r="G55" s="2293"/>
    </row>
    <row r="56" spans="1:11">
      <c r="A56" s="385"/>
    </row>
  </sheetData>
  <customSheetViews>
    <customSheetView guid="{8EE6466D-211E-4E05-9F84-CC0A1C6F79F4}" scale="80" showGridLines="0" fitToPage="1" topLeftCell="A7">
      <selection activeCell="G20" sqref="G20"/>
      <pageMargins left="0.25" right="0.5" top="1" bottom="1" header="0.5" footer="0.25"/>
      <printOptions horizontalCentered="1" verticalCentered="1"/>
      <pageSetup scale="58" orientation="landscape" r:id="rId1"/>
      <headerFooter scaleWithDoc="0" alignWithMargins="0">
        <oddFooter>&amp;C&amp;10 &amp;8 7</oddFooter>
      </headerFooter>
    </customSheetView>
  </customSheetViews>
  <mergeCells count="2">
    <mergeCell ref="A5:E5"/>
    <mergeCell ref="C11:I11"/>
  </mergeCells>
  <printOptions horizontalCentered="1" verticalCentered="1"/>
  <pageMargins left="0.25" right="0.5" top="1" bottom="1" header="0.5" footer="0.25"/>
  <pageSetup scale="58" firstPageNumber="7" orientation="landscape" useFirstPageNumber="1" r:id="rId2"/>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4"/>
  <sheetViews>
    <sheetView zoomScale="80" zoomScaleNormal="80" workbookViewId="0"/>
  </sheetViews>
  <sheetFormatPr defaultColWidth="8.90625" defaultRowHeight="15"/>
  <cols>
    <col min="1" max="1" width="45.6328125" style="301" customWidth="1"/>
    <col min="2" max="2" width="2.453125" style="301" customWidth="1"/>
    <col min="3" max="3" width="15.36328125" style="301" customWidth="1"/>
    <col min="4" max="4" width="3.81640625" style="301" customWidth="1"/>
    <col min="5" max="5" width="15.36328125" style="301" customWidth="1"/>
    <col min="6" max="6" width="3.1796875" style="301" customWidth="1"/>
    <col min="7" max="7" width="15.36328125" style="301" customWidth="1"/>
    <col min="8" max="8" width="3.90625" style="301" customWidth="1"/>
    <col min="9" max="9" width="15.36328125" style="301" customWidth="1"/>
    <col min="10" max="10" width="3" style="301" customWidth="1"/>
    <col min="11" max="11" width="15.36328125" style="301" customWidth="1"/>
    <col min="12" max="16384" width="8.90625" style="301"/>
  </cols>
  <sheetData>
    <row r="1" spans="1:11">
      <c r="A1" s="1839" t="s">
        <v>1103</v>
      </c>
    </row>
    <row r="2" spans="1:11">
      <c r="A2" s="1687"/>
    </row>
    <row r="3" spans="1:11" ht="17.399999999999999">
      <c r="A3" s="342" t="s">
        <v>0</v>
      </c>
      <c r="B3" s="343"/>
      <c r="C3" s="343"/>
      <c r="D3" s="344"/>
      <c r="E3" s="343"/>
      <c r="F3" s="344"/>
      <c r="G3" s="344"/>
      <c r="H3" s="344"/>
      <c r="I3" s="344"/>
      <c r="J3" s="344"/>
      <c r="K3" s="345" t="s">
        <v>86</v>
      </c>
    </row>
    <row r="4" spans="1:11" ht="17.399999999999999">
      <c r="A4" s="342" t="s">
        <v>85</v>
      </c>
      <c r="B4" s="343"/>
      <c r="C4" s="343"/>
      <c r="D4" s="344"/>
      <c r="E4" s="343"/>
      <c r="F4" s="344"/>
      <c r="G4" s="344"/>
      <c r="H4" s="344"/>
      <c r="I4" s="345"/>
      <c r="J4" s="346"/>
      <c r="K4" s="1684" t="s">
        <v>107</v>
      </c>
    </row>
    <row r="5" spans="1:11" ht="20.25" customHeight="1">
      <c r="A5" s="3396" t="s">
        <v>1457</v>
      </c>
      <c r="B5" s="3397"/>
      <c r="C5" s="3397"/>
      <c r="D5" s="3397"/>
      <c r="E5" s="3397"/>
      <c r="F5" s="344"/>
      <c r="G5" s="347"/>
      <c r="H5" s="344"/>
      <c r="I5" s="1684"/>
      <c r="J5" s="344"/>
    </row>
    <row r="6" spans="1:11" ht="18.75" customHeight="1">
      <c r="A6" s="2789" t="str">
        <f>'Exh D-Governmental  '!A6</f>
        <v>FOR ONE MONTH ENDED APRIL 30, 2016</v>
      </c>
      <c r="B6" s="349"/>
      <c r="C6" s="350"/>
      <c r="D6" s="344"/>
      <c r="E6" s="350"/>
      <c r="F6" s="344"/>
      <c r="G6" s="344"/>
      <c r="H6" s="344"/>
      <c r="I6" s="344"/>
      <c r="J6" s="344"/>
      <c r="K6" s="344"/>
    </row>
    <row r="7" spans="1:11" ht="17.399999999999999">
      <c r="A7" s="393" t="s">
        <v>992</v>
      </c>
      <c r="B7" s="350"/>
      <c r="C7" s="350"/>
      <c r="D7" s="344"/>
      <c r="E7" s="350"/>
      <c r="F7" s="344"/>
      <c r="G7" s="344"/>
      <c r="H7" s="344"/>
      <c r="I7" s="344"/>
      <c r="J7" s="344"/>
      <c r="K7" s="344"/>
    </row>
    <row r="8" spans="1:11" ht="17.399999999999999">
      <c r="A8" s="351"/>
      <c r="B8" s="344"/>
      <c r="C8" s="344"/>
      <c r="D8" s="344"/>
      <c r="E8" s="344"/>
      <c r="F8" s="344"/>
      <c r="G8" s="344"/>
      <c r="H8" s="344"/>
      <c r="I8" s="344"/>
      <c r="J8" s="344"/>
      <c r="K8" s="344"/>
    </row>
    <row r="9" spans="1:11">
      <c r="A9" s="352"/>
      <c r="B9" s="344"/>
      <c r="C9" s="344"/>
      <c r="D9" s="344"/>
      <c r="E9" s="344"/>
      <c r="F9" s="344"/>
      <c r="G9" s="344"/>
      <c r="H9" s="344"/>
      <c r="I9" s="344"/>
      <c r="J9" s="344"/>
      <c r="K9" s="344"/>
    </row>
    <row r="10" spans="1:11">
      <c r="A10" s="352"/>
      <c r="B10" s="344"/>
      <c r="C10" s="344"/>
      <c r="D10" s="344"/>
      <c r="E10" s="344"/>
      <c r="F10" s="344"/>
      <c r="G10" s="344"/>
      <c r="H10" s="344"/>
      <c r="I10" s="344"/>
      <c r="J10" s="344"/>
      <c r="K10" s="344"/>
    </row>
    <row r="11" spans="1:11" ht="15.6">
      <c r="A11" s="1343"/>
      <c r="B11" s="353"/>
      <c r="C11" s="3398" t="s">
        <v>1522</v>
      </c>
      <c r="D11" s="3398"/>
      <c r="E11" s="3398"/>
      <c r="F11" s="3398"/>
      <c r="G11" s="3398"/>
      <c r="H11" s="3398"/>
      <c r="I11" s="3398"/>
      <c r="J11" s="2298"/>
      <c r="K11" s="2292"/>
    </row>
    <row r="12" spans="1:11" ht="15.6">
      <c r="A12" s="1343"/>
      <c r="B12" s="353"/>
      <c r="C12" s="354"/>
      <c r="D12" s="354"/>
      <c r="E12" s="354"/>
      <c r="F12" s="354"/>
      <c r="G12" s="354"/>
      <c r="H12" s="354"/>
      <c r="I12" s="355" t="s">
        <v>87</v>
      </c>
      <c r="J12" s="355"/>
      <c r="K12" s="355" t="s">
        <v>87</v>
      </c>
    </row>
    <row r="13" spans="1:11" ht="15.6">
      <c r="A13" s="1343"/>
      <c r="B13" s="353"/>
      <c r="C13" s="354"/>
      <c r="D13" s="354"/>
      <c r="E13" s="354"/>
      <c r="F13" s="354"/>
      <c r="G13" s="354"/>
      <c r="H13" s="354"/>
      <c r="I13" s="355" t="s">
        <v>999</v>
      </c>
      <c r="J13" s="355"/>
      <c r="K13" s="355" t="s">
        <v>999</v>
      </c>
    </row>
    <row r="14" spans="1:11" ht="15.6">
      <c r="A14" s="1343"/>
      <c r="B14" s="353"/>
      <c r="C14" s="356" t="s">
        <v>1235</v>
      </c>
      <c r="D14" s="354"/>
      <c r="E14" s="355" t="s">
        <v>1236</v>
      </c>
      <c r="F14" s="354"/>
      <c r="G14" s="354"/>
      <c r="H14" s="354"/>
      <c r="I14" s="355" t="s">
        <v>88</v>
      </c>
      <c r="J14" s="355"/>
      <c r="K14" s="355" t="s">
        <v>88</v>
      </c>
    </row>
    <row r="15" spans="1:11" ht="15.6">
      <c r="A15" s="1343"/>
      <c r="B15" s="353"/>
      <c r="C15" s="355" t="s">
        <v>1279</v>
      </c>
      <c r="D15" s="354"/>
      <c r="E15" s="355" t="s">
        <v>1279</v>
      </c>
      <c r="F15" s="354"/>
      <c r="G15" s="354"/>
      <c r="H15" s="354"/>
      <c r="I15" s="355" t="s">
        <v>1235</v>
      </c>
      <c r="J15" s="355"/>
      <c r="K15" s="355" t="s">
        <v>1236</v>
      </c>
    </row>
    <row r="16" spans="1:11" ht="15.6">
      <c r="A16" s="1343"/>
      <c r="B16" s="353"/>
      <c r="C16" s="355" t="s">
        <v>1280</v>
      </c>
      <c r="D16" s="354"/>
      <c r="E16" s="355" t="s">
        <v>1458</v>
      </c>
      <c r="F16" s="354"/>
      <c r="G16" s="356" t="s">
        <v>87</v>
      </c>
      <c r="H16" s="354"/>
      <c r="I16" s="355" t="s">
        <v>89</v>
      </c>
      <c r="J16" s="355"/>
      <c r="K16" s="355" t="s">
        <v>89</v>
      </c>
    </row>
    <row r="17" spans="1:12">
      <c r="A17" s="357"/>
      <c r="B17" s="358"/>
      <c r="C17" s="359"/>
      <c r="D17" s="344"/>
      <c r="E17" s="359"/>
      <c r="F17" s="344"/>
      <c r="G17" s="359"/>
      <c r="H17" s="344"/>
      <c r="I17" s="359"/>
      <c r="J17" s="358"/>
      <c r="K17" s="359"/>
    </row>
    <row r="18" spans="1:12" ht="15.6">
      <c r="A18" s="221" t="s">
        <v>15</v>
      </c>
      <c r="B18" s="1840"/>
      <c r="C18" s="1237"/>
      <c r="D18" s="1237"/>
      <c r="E18" s="1237"/>
      <c r="F18" s="1237"/>
      <c r="G18" s="1237"/>
      <c r="H18" s="1237"/>
      <c r="I18" s="1840"/>
      <c r="J18" s="1237"/>
      <c r="K18" s="1840"/>
    </row>
    <row r="19" spans="1:12" ht="15" customHeight="1">
      <c r="A19" s="1674" t="s">
        <v>90</v>
      </c>
      <c r="B19" s="1841" t="s">
        <v>16</v>
      </c>
      <c r="C19" s="1842"/>
      <c r="D19" s="1841"/>
      <c r="E19" s="1842"/>
      <c r="F19" s="1841"/>
      <c r="G19" s="1843"/>
      <c r="H19" s="1841"/>
      <c r="I19" s="2327"/>
      <c r="J19" s="1843"/>
      <c r="K19" s="2327"/>
    </row>
    <row r="20" spans="1:12">
      <c r="A20" s="1674" t="s">
        <v>91</v>
      </c>
      <c r="B20" s="1841" t="s">
        <v>16</v>
      </c>
      <c r="C20" s="1238">
        <f>'Exh D General Fund  '!C20+'Exh D Special Revenue State Fed'!C20+'Exh D Debt Service'!C20</f>
        <v>6354</v>
      </c>
      <c r="D20" s="1240"/>
      <c r="E20" s="1238">
        <f>'Exh D General Fund  '!E20+'Exh D Special Revenue State Fed'!E20+'Exh D Debt Service'!E20</f>
        <v>0</v>
      </c>
      <c r="F20" s="1240"/>
      <c r="G20" s="1238">
        <f>+'Exh A Supp'!T17</f>
        <v>6383.7</v>
      </c>
      <c r="H20" s="1240"/>
      <c r="I20" s="1926">
        <f t="shared" ref="I20:I25" si="0">ROUND(SUM(G20)-SUM(C20),1)</f>
        <v>29.7</v>
      </c>
      <c r="J20" s="1844"/>
      <c r="K20" s="1926">
        <v>0</v>
      </c>
    </row>
    <row r="21" spans="1:12">
      <c r="A21" s="1674" t="s">
        <v>92</v>
      </c>
      <c r="B21" s="1840" t="s">
        <v>16</v>
      </c>
      <c r="C21" s="1159">
        <f>'Exh D General Fund  '!C21+'Exh D Special Revenue State Fed'!C21+'Exh D Debt Service'!C21</f>
        <v>1220</v>
      </c>
      <c r="D21" s="1159"/>
      <c r="E21" s="1159">
        <f>'Exh D General Fund  '!E21+'Exh D Special Revenue State Fed'!E21+'Exh D Debt Service'!E21</f>
        <v>0</v>
      </c>
      <c r="F21" s="1159"/>
      <c r="G21" s="1159">
        <f>+'Exh A Supp'!T18</f>
        <v>1230.5999999999999</v>
      </c>
      <c r="H21" s="1159"/>
      <c r="I21" s="1860">
        <f t="shared" si="0"/>
        <v>10.6</v>
      </c>
      <c r="J21" s="1844"/>
      <c r="K21" s="1860">
        <v>0</v>
      </c>
    </row>
    <row r="22" spans="1:12" ht="17.25" customHeight="1">
      <c r="A22" s="1674" t="s">
        <v>93</v>
      </c>
      <c r="B22" s="1841" t="s">
        <v>16</v>
      </c>
      <c r="C22" s="1159">
        <f>'Exh D General Fund  '!C22+'Exh D Special Revenue State Fed'!C22</f>
        <v>229</v>
      </c>
      <c r="D22" s="1313"/>
      <c r="E22" s="1159">
        <f>'Exh D General Fund  '!E22+'Exh D Special Revenue State Fed'!E22</f>
        <v>0</v>
      </c>
      <c r="F22" s="1313"/>
      <c r="G22" s="1159">
        <f>+'Exh A Supp'!T19</f>
        <v>231.3</v>
      </c>
      <c r="H22" s="1313"/>
      <c r="I22" s="1860">
        <f t="shared" si="0"/>
        <v>2.2999999999999998</v>
      </c>
      <c r="J22" s="1844"/>
      <c r="K22" s="1860">
        <v>0</v>
      </c>
    </row>
    <row r="23" spans="1:12" ht="14.25" customHeight="1">
      <c r="A23" s="1674" t="s">
        <v>94</v>
      </c>
      <c r="B23" s="1840" t="s">
        <v>16</v>
      </c>
      <c r="C23" s="1159">
        <f>'Exh D General Fund  '!C23+'Exh D Special Revenue State Fed'!C23+'Exh D Debt Service'!C22</f>
        <v>267</v>
      </c>
      <c r="D23" s="1159"/>
      <c r="E23" s="1159">
        <f>'Exh D General Fund  '!E23+'Exh D Special Revenue State Fed'!E23+'Exh D Debt Service'!E22</f>
        <v>0</v>
      </c>
      <c r="F23" s="1159"/>
      <c r="G23" s="1159">
        <f>+'Exh A Supp'!T20</f>
        <v>282.60000000000002</v>
      </c>
      <c r="H23" s="1159"/>
      <c r="I23" s="1860">
        <f t="shared" si="0"/>
        <v>15.6</v>
      </c>
      <c r="J23" s="1844"/>
      <c r="K23" s="1860">
        <v>0</v>
      </c>
    </row>
    <row r="24" spans="1:12">
      <c r="A24" s="1674" t="s">
        <v>21</v>
      </c>
      <c r="B24" s="1840" t="s">
        <v>16</v>
      </c>
      <c r="C24" s="1159">
        <f>'Exh D General Fund  '!C24+'Exh D Special Revenue State Fed'!C24+'Exh D Debt Service'!C23</f>
        <v>1423</v>
      </c>
      <c r="D24" s="1159"/>
      <c r="E24" s="1159">
        <f>'Exh D General Fund  '!E24+'Exh D Special Revenue State Fed'!E24+'Exh D Debt Service'!E23</f>
        <v>0</v>
      </c>
      <c r="F24" s="1159"/>
      <c r="G24" s="1159">
        <f>+'Exh A Supp'!T21</f>
        <v>1357.3</v>
      </c>
      <c r="H24" s="1159"/>
      <c r="I24" s="1860">
        <f t="shared" si="0"/>
        <v>-65.7</v>
      </c>
      <c r="J24" s="1668"/>
      <c r="K24" s="1860">
        <v>0</v>
      </c>
    </row>
    <row r="25" spans="1:12" ht="15" customHeight="1">
      <c r="A25" s="1674" t="s">
        <v>22</v>
      </c>
      <c r="B25" s="1840" t="s">
        <v>16</v>
      </c>
      <c r="C25" s="1339">
        <f>'Exh D General Fund  '!C25+'Exh D Special Revenue State Fed'!C25+'Exh D Debt Service'!C24</f>
        <v>0</v>
      </c>
      <c r="D25" s="1159"/>
      <c r="E25" s="1339">
        <f>'Exh D General Fund  '!E25+'Exh D Special Revenue State Fed'!E25+'Exh D Debt Service'!E24</f>
        <v>0</v>
      </c>
      <c r="F25" s="1159"/>
      <c r="G25" s="1159">
        <f>+'Exh A Supp'!T22</f>
        <v>14.8</v>
      </c>
      <c r="H25" s="1159"/>
      <c r="I25" s="1860">
        <f t="shared" si="0"/>
        <v>14.8</v>
      </c>
      <c r="J25" s="1668"/>
      <c r="K25" s="1860">
        <v>0</v>
      </c>
    </row>
    <row r="26" spans="1:12" ht="15.6">
      <c r="A26" s="375" t="s">
        <v>95</v>
      </c>
      <c r="B26" s="353" t="s">
        <v>16</v>
      </c>
      <c r="C26" s="419">
        <f>ROUND(SUM(C20:C25),1)</f>
        <v>9493</v>
      </c>
      <c r="D26" s="1838"/>
      <c r="E26" s="419">
        <f>ROUND(SUM(E20:E25),1)</f>
        <v>0</v>
      </c>
      <c r="F26" s="1838"/>
      <c r="G26" s="419">
        <f>ROUND(SUM(G20:G25),1)</f>
        <v>9500.2999999999993</v>
      </c>
      <c r="H26" s="1838"/>
      <c r="I26" s="419">
        <f>ROUND(SUM(I20:I25),1)</f>
        <v>7.3</v>
      </c>
      <c r="J26" s="368"/>
      <c r="K26" s="419">
        <f>ROUND(SUM(K20:K25),1)</f>
        <v>0</v>
      </c>
      <c r="L26" s="679"/>
    </row>
    <row r="27" spans="1:12">
      <c r="A27" s="1343"/>
      <c r="B27" s="1840" t="s">
        <v>16</v>
      </c>
      <c r="C27" s="1341"/>
      <c r="D27" s="1159"/>
      <c r="E27" s="1341"/>
      <c r="F27" s="1159"/>
      <c r="G27" s="1341"/>
      <c r="H27" s="1159"/>
      <c r="I27" s="1341"/>
      <c r="J27" s="1253"/>
      <c r="K27" s="1341"/>
    </row>
    <row r="28" spans="1:12" ht="15.6">
      <c r="A28" s="221" t="s">
        <v>24</v>
      </c>
      <c r="B28" s="1840" t="s">
        <v>16</v>
      </c>
      <c r="C28" s="1159"/>
      <c r="D28" s="1159"/>
      <c r="E28" s="1159"/>
      <c r="F28" s="1159"/>
      <c r="G28" s="1159"/>
      <c r="H28" s="1159"/>
      <c r="I28" s="1860"/>
      <c r="J28" s="1668"/>
      <c r="K28" s="1860"/>
    </row>
    <row r="29" spans="1:12">
      <c r="A29" s="1674" t="s">
        <v>96</v>
      </c>
      <c r="B29" s="1840" t="s">
        <v>16</v>
      </c>
      <c r="C29" s="1339">
        <f>'Exh D General Fund  '!C34+'Exh D Special Revenue State Fed'!C30</f>
        <v>2690</v>
      </c>
      <c r="D29" s="1159"/>
      <c r="E29" s="1339">
        <f>'Exh D General Fund  '!E34+'Exh D Special Revenue State Fed'!E30</f>
        <v>0</v>
      </c>
      <c r="F29" s="1159"/>
      <c r="G29" s="1339">
        <f>+'Exh A Supp'!T37</f>
        <v>2677.9</v>
      </c>
      <c r="H29" s="1159"/>
      <c r="I29" s="1860">
        <f>ROUND(SUM(G29)-SUM(C29),1)</f>
        <v>-12.1</v>
      </c>
      <c r="J29" s="1668"/>
      <c r="K29" s="1860">
        <v>0</v>
      </c>
      <c r="L29" s="679"/>
    </row>
    <row r="30" spans="1:12">
      <c r="A30" s="1674" t="s">
        <v>97</v>
      </c>
      <c r="B30" s="1840" t="s">
        <v>16</v>
      </c>
      <c r="C30" s="1313">
        <f>'Exh D General Fund  '!C35+'Exh D Special Revenue State Fed'!C31+'Exh D Debt Service'!C29</f>
        <v>1344</v>
      </c>
      <c r="D30" s="1159"/>
      <c r="E30" s="1313">
        <f>'Exh D General Fund  '!E35+'Exh D Special Revenue State Fed'!E31+'Exh D Debt Service'!E29</f>
        <v>0</v>
      </c>
      <c r="F30" s="1159"/>
      <c r="G30" s="1313">
        <f>+'Exh A Supp'!T39+'Exh A Supp'!T40</f>
        <v>1343.9</v>
      </c>
      <c r="H30" s="1159"/>
      <c r="I30" s="1860">
        <f>ROUND(SUM(G30)-SUM(C30),1)</f>
        <v>-0.1</v>
      </c>
      <c r="J30" s="1668"/>
      <c r="K30" s="1860">
        <v>0</v>
      </c>
      <c r="L30" s="679"/>
    </row>
    <row r="31" spans="1:12">
      <c r="A31" s="1674" t="s">
        <v>72</v>
      </c>
      <c r="B31" s="1840" t="s">
        <v>16</v>
      </c>
      <c r="C31" s="1339">
        <f>'Exh D General Fund  '!C36+'Exh D Special Revenue State Fed'!C32</f>
        <v>2619</v>
      </c>
      <c r="D31" s="1159"/>
      <c r="E31" s="1339">
        <f>'Exh D General Fund  '!E36+'Exh D Special Revenue State Fed'!E32</f>
        <v>0</v>
      </c>
      <c r="F31" s="1159"/>
      <c r="G31" s="1339">
        <f>+'Exh A Supp'!T41</f>
        <v>2618.6999999999998</v>
      </c>
      <c r="H31" s="1159"/>
      <c r="I31" s="1860">
        <f>ROUND(SUM(G31)-SUM(C31),1)</f>
        <v>-0.3</v>
      </c>
      <c r="J31" s="1668"/>
      <c r="K31" s="1860">
        <v>0</v>
      </c>
      <c r="L31" s="679"/>
    </row>
    <row r="32" spans="1:12">
      <c r="A32" s="1674" t="s">
        <v>98</v>
      </c>
      <c r="B32" s="1840" t="s">
        <v>16</v>
      </c>
      <c r="C32" s="1313">
        <f>'Exh D Debt Service'!C30</f>
        <v>113</v>
      </c>
      <c r="D32" s="1159"/>
      <c r="E32" s="1313">
        <f>'Exh D Debt Service'!E30</f>
        <v>0</v>
      </c>
      <c r="F32" s="1159"/>
      <c r="G32" s="1339">
        <f>+'Exh A Supp'!T43</f>
        <v>113.3</v>
      </c>
      <c r="H32" s="1159"/>
      <c r="I32" s="1860">
        <f>ROUND(SUM(G32)-SUM(C32),1)</f>
        <v>0.3</v>
      </c>
      <c r="J32" s="1668"/>
      <c r="K32" s="1860">
        <v>0</v>
      </c>
      <c r="L32" s="679"/>
    </row>
    <row r="33" spans="1:12" ht="15" customHeight="1">
      <c r="A33" s="1674" t="s">
        <v>43</v>
      </c>
      <c r="B33" s="1840" t="s">
        <v>16</v>
      </c>
      <c r="C33" s="1339">
        <f>'Exh D Special Revenue State Fed'!C33</f>
        <v>0</v>
      </c>
      <c r="D33" s="1159"/>
      <c r="E33" s="1339">
        <f>'Exh D Special Revenue State Fed'!E33</f>
        <v>0</v>
      </c>
      <c r="F33" s="1159"/>
      <c r="G33" s="1339">
        <f>+'Exh A Supp'!T44</f>
        <v>0.1</v>
      </c>
      <c r="H33" s="1159"/>
      <c r="I33" s="1860">
        <f>ROUND(SUM(G33)-SUM(C33),1)</f>
        <v>0.1</v>
      </c>
      <c r="J33" s="1668"/>
      <c r="K33" s="1860">
        <v>0</v>
      </c>
      <c r="L33" s="679"/>
    </row>
    <row r="34" spans="1:12" ht="15.75" customHeight="1">
      <c r="A34" s="375" t="s">
        <v>99</v>
      </c>
      <c r="B34" s="353" t="s">
        <v>16</v>
      </c>
      <c r="C34" s="544">
        <f>ROUND(SUM(C29:C33),1)</f>
        <v>6766</v>
      </c>
      <c r="D34" s="1838"/>
      <c r="E34" s="544">
        <f>ROUND(SUM(E29:E33),1)</f>
        <v>0</v>
      </c>
      <c r="F34" s="1838"/>
      <c r="G34" s="544">
        <f>ROUND(SUM(G29:G33),1)</f>
        <v>6753.9</v>
      </c>
      <c r="H34" s="1838"/>
      <c r="I34" s="544">
        <f>ROUND(SUM(I29:I33),1)</f>
        <v>-12.1</v>
      </c>
      <c r="J34" s="368"/>
      <c r="K34" s="544">
        <f>ROUND(SUM(K29:K33),1)</f>
        <v>0</v>
      </c>
      <c r="L34" s="679"/>
    </row>
    <row r="35" spans="1:12">
      <c r="A35" s="1343"/>
      <c r="B35" s="1840"/>
      <c r="C35" s="1159"/>
      <c r="D35" s="1159"/>
      <c r="E35" s="1159"/>
      <c r="F35" s="1159"/>
      <c r="G35" s="1159"/>
      <c r="H35" s="1159"/>
      <c r="I35" s="1860"/>
      <c r="J35" s="1668"/>
      <c r="K35" s="1860"/>
      <c r="L35" s="679"/>
    </row>
    <row r="36" spans="1:12" ht="15.6">
      <c r="A36" s="375" t="s">
        <v>45</v>
      </c>
      <c r="B36" s="1840"/>
      <c r="C36" s="1159"/>
      <c r="D36" s="1159"/>
      <c r="E36" s="1159"/>
      <c r="F36" s="1159"/>
      <c r="G36" s="1159"/>
      <c r="H36" s="1159"/>
      <c r="I36" s="1860"/>
      <c r="J36" s="1668"/>
      <c r="K36" s="1860"/>
      <c r="L36" s="679"/>
    </row>
    <row r="37" spans="1:12" ht="15.6">
      <c r="A37" s="375" t="s">
        <v>46</v>
      </c>
      <c r="B37" s="1840" t="s">
        <v>16</v>
      </c>
      <c r="C37" s="1692">
        <f>ROUND(SUM(+C26-C34),1)</f>
        <v>2727</v>
      </c>
      <c r="D37" s="1159"/>
      <c r="E37" s="1692">
        <f>ROUND(SUM(+E26-E34),1)</f>
        <v>0</v>
      </c>
      <c r="F37" s="1159"/>
      <c r="G37" s="1692">
        <f>ROUND(SUM(+G26-G34),1)</f>
        <v>2746.4</v>
      </c>
      <c r="H37" s="1159"/>
      <c r="I37" s="1692">
        <f>ROUND(SUM(+I26-I34),1)</f>
        <v>19.399999999999999</v>
      </c>
      <c r="J37" s="1253"/>
      <c r="K37" s="1692">
        <f>ROUND(SUM(+K26-K34),1)</f>
        <v>0</v>
      </c>
      <c r="L37" s="679"/>
    </row>
    <row r="38" spans="1:12">
      <c r="A38" s="1343"/>
      <c r="B38" s="1840"/>
      <c r="C38" s="1159"/>
      <c r="D38" s="1159"/>
      <c r="E38" s="1159"/>
      <c r="F38" s="1159"/>
      <c r="G38" s="1159"/>
      <c r="H38" s="1159"/>
      <c r="I38" s="1860"/>
      <c r="J38" s="1668"/>
      <c r="K38" s="1860"/>
      <c r="L38" s="679"/>
    </row>
    <row r="39" spans="1:12" ht="15.6">
      <c r="A39" s="375" t="s">
        <v>47</v>
      </c>
      <c r="B39" s="1840"/>
      <c r="C39" s="1159"/>
      <c r="D39" s="1159"/>
      <c r="E39" s="1159"/>
      <c r="F39" s="1159"/>
      <c r="G39" s="1159"/>
      <c r="H39" s="1159"/>
      <c r="I39" s="1860"/>
      <c r="J39" s="1668"/>
      <c r="K39" s="1860"/>
      <c r="L39" s="679"/>
    </row>
    <row r="40" spans="1:12">
      <c r="A40" s="1674" t="s">
        <v>49</v>
      </c>
      <c r="B40" s="1840" t="s">
        <v>16</v>
      </c>
      <c r="C40" s="1313">
        <f>'Exh D General Fund  '!C27+'Exh D General Fund  '!C28+'Exh D General Fund  '!C29+'Exh D General Fund  '!C30+'Exh D Special Revenue State Fed'!C26+'Exh D Debt Service'!C25</f>
        <v>3025</v>
      </c>
      <c r="D40" s="1159"/>
      <c r="E40" s="1313">
        <f>'Exh D General Fund  '!E27+'Exh D General Fund  '!E28+'Exh D General Fund  '!E29+'Exh D General Fund  '!E30+'Exh D Special Revenue State Fed'!E26+'Exh D Debt Service'!E25</f>
        <v>0</v>
      </c>
      <c r="F40" s="1159"/>
      <c r="G40" s="1313">
        <f>+'Exh A Supp'!T51</f>
        <v>3034</v>
      </c>
      <c r="H40" s="2592" t="s">
        <v>971</v>
      </c>
      <c r="I40" s="1860">
        <f>ROUND(SUM(G40)-SUM(C40),1)</f>
        <v>9</v>
      </c>
      <c r="J40" s="1668"/>
      <c r="K40" s="1860">
        <v>0</v>
      </c>
      <c r="L40" s="679"/>
    </row>
    <row r="41" spans="1:12">
      <c r="A41" s="1674" t="s">
        <v>101</v>
      </c>
      <c r="B41" s="1840" t="s">
        <v>16</v>
      </c>
      <c r="C41" s="1845">
        <f>-('Exh D General Fund  '!C38+'Exh D General Fund  '!C39+'Exh D General Fund  '!C40+'Exh D General Fund  '!C41+'Exh D General Fund  '!C42+'Exh D Special Revenue State Fed'!C34+'Exh D Debt Service'!C31)</f>
        <v>-3074</v>
      </c>
      <c r="D41" s="1159"/>
      <c r="E41" s="1845">
        <f>-('Exh D General Fund  '!E38+'Exh D General Fund  '!E39+'Exh D General Fund  '!E40+'Exh D General Fund  '!E41+'Exh D General Fund  '!E42+'Exh D Special Revenue State Fed'!E34+'Exh D Debt Service'!E31)</f>
        <v>0</v>
      </c>
      <c r="F41" s="1159"/>
      <c r="G41" s="1313">
        <f>+'Exh A Supp'!T52</f>
        <v>-3076.5</v>
      </c>
      <c r="H41" s="2592" t="s">
        <v>971</v>
      </c>
      <c r="I41" s="1860">
        <f>-ROUND(SUM(G41)-SUM(C41),1)</f>
        <v>2.5</v>
      </c>
      <c r="J41" s="1253"/>
      <c r="K41" s="1860">
        <v>0</v>
      </c>
      <c r="L41" s="679"/>
    </row>
    <row r="42" spans="1:12" ht="15.6">
      <c r="A42" s="375" t="s">
        <v>102</v>
      </c>
      <c r="B42" s="1840" t="s">
        <v>16</v>
      </c>
      <c r="C42" s="544">
        <f>ROUND(SUM(C40:C41),1)</f>
        <v>-49</v>
      </c>
      <c r="D42" s="1159"/>
      <c r="E42" s="544">
        <f>ROUND(SUM(E40:E41),1)</f>
        <v>0</v>
      </c>
      <c r="F42" s="1159"/>
      <c r="G42" s="544">
        <f>ROUND(SUM(G40:G41),1)</f>
        <v>-42.5</v>
      </c>
      <c r="H42" s="1159"/>
      <c r="I42" s="544">
        <f>ROUND(SUM(I40-I41),1)</f>
        <v>6.5</v>
      </c>
      <c r="J42" s="1847"/>
      <c r="K42" s="544">
        <f>ROUND(SUM(K40-K41),1)</f>
        <v>0</v>
      </c>
      <c r="L42" s="679"/>
    </row>
    <row r="43" spans="1:12" ht="15.6">
      <c r="A43" s="375"/>
      <c r="B43" s="1840"/>
      <c r="C43" s="1313"/>
      <c r="D43" s="1159"/>
      <c r="E43" s="1313"/>
      <c r="F43" s="1159"/>
      <c r="G43" s="1313"/>
      <c r="H43" s="1159"/>
      <c r="I43" s="1861"/>
      <c r="J43" s="1841"/>
      <c r="K43" s="1861"/>
      <c r="L43" s="679"/>
    </row>
    <row r="44" spans="1:12" ht="15.6">
      <c r="A44" s="221" t="s">
        <v>103</v>
      </c>
      <c r="B44" s="1840"/>
      <c r="C44" s="1159"/>
      <c r="D44" s="1159"/>
      <c r="E44" s="1159"/>
      <c r="F44" s="1159"/>
      <c r="G44" s="1159"/>
      <c r="H44" s="1159"/>
      <c r="I44" s="1860"/>
      <c r="J44" s="1668"/>
      <c r="K44" s="1860"/>
      <c r="L44" s="679"/>
    </row>
    <row r="45" spans="1:12" ht="15" customHeight="1">
      <c r="A45" s="221" t="s">
        <v>104</v>
      </c>
      <c r="B45" s="1840"/>
      <c r="C45" s="1159"/>
      <c r="D45" s="1159"/>
      <c r="E45" s="1159"/>
      <c r="F45" s="1159"/>
      <c r="G45" s="1159"/>
      <c r="H45" s="1159"/>
      <c r="I45" s="1860"/>
      <c r="J45" s="1668"/>
      <c r="K45" s="1860"/>
      <c r="L45" s="679"/>
    </row>
    <row r="46" spans="1:12" ht="15.6">
      <c r="A46" s="375" t="s">
        <v>105</v>
      </c>
      <c r="B46" s="376" t="s">
        <v>16</v>
      </c>
      <c r="C46" s="273">
        <f>ROUND(SUM(C26)-SUM(C34)+C42,1)</f>
        <v>2678</v>
      </c>
      <c r="D46" s="284"/>
      <c r="E46" s="273">
        <f>ROUND(SUM(E26)-SUM(E34)+E42,1)</f>
        <v>0</v>
      </c>
      <c r="F46" s="284"/>
      <c r="G46" s="273">
        <f>ROUND(SUM(G26)-SUM(G34)+G42,1)</f>
        <v>2703.9</v>
      </c>
      <c r="H46" s="284"/>
      <c r="I46" s="273">
        <f>ROUND(SUM(I26)-SUM(I34)+I42,1)</f>
        <v>25.9</v>
      </c>
      <c r="J46" s="368"/>
      <c r="K46" s="273">
        <f>ROUND(SUM(K26)-SUM(K34)+K42,1)</f>
        <v>0</v>
      </c>
      <c r="L46" s="679"/>
    </row>
    <row r="47" spans="1:12">
      <c r="A47" s="1848"/>
      <c r="B47" s="1137"/>
      <c r="C47" s="1255"/>
      <c r="D47" s="1849"/>
      <c r="E47" s="1255"/>
      <c r="F47" s="1849"/>
      <c r="G47" s="1255"/>
      <c r="H47" s="1849"/>
      <c r="I47" s="1255"/>
      <c r="J47" s="1850"/>
      <c r="K47" s="1255"/>
      <c r="L47" s="679"/>
    </row>
    <row r="48" spans="1:12" ht="15.6">
      <c r="A48" s="375" t="str">
        <f>'Exh D-Governmental  '!A49</f>
        <v>Fund Balances (Deficits) at April 1</v>
      </c>
      <c r="B48" s="1851" t="s">
        <v>16</v>
      </c>
      <c r="C48" s="273">
        <f>'Exh D General Fund  '!C49+'Exh D Special Revenue State Fed'!C41+'Exh D Debt Service'!C38</f>
        <v>12641</v>
      </c>
      <c r="D48" s="1849"/>
      <c r="E48" s="273">
        <v>0</v>
      </c>
      <c r="F48" s="1849"/>
      <c r="G48" s="273">
        <f>'Exh A Supp'!T59</f>
        <v>12641.2</v>
      </c>
      <c r="H48" s="1849"/>
      <c r="I48" s="1692">
        <f>ROUND(SUM(G48)-SUM(C48),1)</f>
        <v>0.2</v>
      </c>
      <c r="J48" s="368"/>
      <c r="K48" s="1692">
        <v>0</v>
      </c>
      <c r="L48" s="679"/>
    </row>
    <row r="49" spans="1:12" ht="16.2" thickBot="1">
      <c r="A49" s="375" t="str">
        <f>'Exh D-Governmental  '!A50</f>
        <v>Fund Balances (Deficits) at April 30, 2016</v>
      </c>
      <c r="B49" s="382" t="s">
        <v>16</v>
      </c>
      <c r="C49" s="298">
        <f>ROUND(SUM(C46:C48),1)</f>
        <v>15319</v>
      </c>
      <c r="D49" s="383"/>
      <c r="E49" s="298">
        <f>ROUND(SUM(E46:E48),1)</f>
        <v>0</v>
      </c>
      <c r="F49" s="383"/>
      <c r="G49" s="298">
        <f>ROUND(SUM(G46:G48),1)</f>
        <v>15345.1</v>
      </c>
      <c r="H49" s="1930"/>
      <c r="I49" s="298">
        <f>ROUND(SUM(I46:I48),1)</f>
        <v>26.1</v>
      </c>
      <c r="J49" s="384"/>
      <c r="K49" s="298">
        <f>ROUND(SUM(K46:K48),1)</f>
        <v>0</v>
      </c>
      <c r="L49" s="679"/>
    </row>
    <row r="50" spans="1:12" ht="15.6" thickTop="1">
      <c r="A50" s="1848"/>
      <c r="B50" s="1137"/>
      <c r="C50" s="1137"/>
      <c r="D50" s="1852"/>
      <c r="E50" s="1137"/>
      <c r="F50" s="1852"/>
      <c r="G50" s="1852"/>
      <c r="H50" s="1852"/>
      <c r="I50" s="1852"/>
      <c r="J50" s="1852"/>
      <c r="K50" s="1852"/>
    </row>
    <row r="51" spans="1:12">
      <c r="A51" s="1853" t="s">
        <v>1529</v>
      </c>
      <c r="I51" s="2293"/>
      <c r="K51" s="2293"/>
    </row>
    <row r="52" spans="1:12">
      <c r="A52" s="1113" t="s">
        <v>1523</v>
      </c>
    </row>
    <row r="53" spans="1:12">
      <c r="A53" s="1113" t="s">
        <v>1373</v>
      </c>
      <c r="G53" s="2293"/>
    </row>
    <row r="54" spans="1:12">
      <c r="A54" s="2832" t="s">
        <v>1524</v>
      </c>
    </row>
  </sheetData>
  <customSheetViews>
    <customSheetView guid="{8EE6466D-211E-4E05-9F84-CC0A1C6F79F4}" scale="79" showGridLines="0" fitToPage="1" topLeftCell="A19">
      <selection activeCell="G20" sqref="G20"/>
      <pageMargins left="0.75" right="0.75" top="0.75" bottom="0.75" header="0.3" footer="0.25"/>
      <printOptions horizontalCentered="1" verticalCentered="1"/>
      <pageSetup scale="61" orientation="landscape" r:id="rId1"/>
      <headerFooter scaleWithDoc="0">
        <oddFooter>&amp;C&amp;8 8</oddFooter>
      </headerFooter>
    </customSheetView>
  </customSheetViews>
  <mergeCells count="2">
    <mergeCell ref="A5:E5"/>
    <mergeCell ref="C11:I11"/>
  </mergeCells>
  <printOptions horizontalCentered="1" verticalCentered="1"/>
  <pageMargins left="0.7" right="0.7" top="1" bottom="1" header="0.3" footer="0.3"/>
  <pageSetup scale="55" firstPageNumber="8" orientation="landscape" useFirstPageNumber="1" r:id="rId2"/>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59"/>
  <sheetViews>
    <sheetView zoomScale="70" zoomScaleNormal="70" workbookViewId="0"/>
  </sheetViews>
  <sheetFormatPr defaultColWidth="8.90625" defaultRowHeight="15"/>
  <cols>
    <col min="1" max="1" width="59" style="1848" customWidth="1"/>
    <col min="2" max="2" width="2" style="1137" customWidth="1"/>
    <col min="3" max="3" width="15.36328125" style="789" customWidth="1"/>
    <col min="4" max="4" width="4.81640625" style="1852" customWidth="1"/>
    <col min="5" max="5" width="15.36328125" style="789" customWidth="1"/>
    <col min="6" max="6" width="4.81640625" style="1852" customWidth="1"/>
    <col min="7" max="7" width="15.36328125" style="1852" customWidth="1"/>
    <col min="8" max="8" width="5.36328125" style="1852" customWidth="1"/>
    <col min="9" max="9" width="15.36328125" style="1852" customWidth="1"/>
    <col min="10" max="10" width="2.453125" style="1852" customWidth="1"/>
    <col min="11" max="11" width="12.81640625" style="1137" customWidth="1"/>
    <col min="12" max="12" width="18.08984375" style="789" bestFit="1" customWidth="1"/>
    <col min="13" max="13" width="2.6328125" style="1852" customWidth="1"/>
    <col min="14" max="14" width="14.36328125" style="1852" customWidth="1"/>
    <col min="15" max="15" width="2.6328125" style="1852" customWidth="1"/>
    <col min="16" max="16" width="15.6328125" style="1852" bestFit="1" customWidth="1"/>
    <col min="17" max="17" width="2" style="1137" customWidth="1"/>
    <col min="18" max="18" width="11.90625" style="1137" customWidth="1"/>
    <col min="19" max="19" width="11.453125" style="1137" customWidth="1"/>
    <col min="20" max="20" width="1.90625" style="1137" customWidth="1"/>
    <col min="21" max="21" width="11.6328125" style="1137" customWidth="1"/>
    <col min="22" max="22" width="2.08984375" style="1137" customWidth="1"/>
    <col min="23" max="23" width="11.453125" style="1137" customWidth="1"/>
    <col min="24" max="24" width="0.54296875" style="1137" customWidth="1"/>
    <col min="25" max="25" width="2.36328125" style="1137" customWidth="1"/>
    <col min="26" max="26" width="10.54296875" style="1137" customWidth="1"/>
    <col min="27" max="27" width="11.08984375" style="1137" customWidth="1"/>
    <col min="28" max="28" width="2.1796875" style="1137" customWidth="1"/>
    <col min="29" max="29" width="11.08984375" style="1137" customWidth="1"/>
    <col min="30" max="30" width="2.08984375" style="1137" customWidth="1"/>
    <col min="31" max="31" width="12.453125" style="1137" customWidth="1"/>
    <col min="32" max="36" width="8.90625" style="1137"/>
    <col min="37" max="37" width="8.90625" style="1852"/>
    <col min="38" max="16384" width="8.90625" style="1848"/>
  </cols>
  <sheetData>
    <row r="1" spans="1:31">
      <c r="A1" s="1854" t="s">
        <v>1103</v>
      </c>
      <c r="B1" s="388"/>
      <c r="C1" s="783"/>
      <c r="D1" s="389"/>
      <c r="E1" s="783"/>
      <c r="F1" s="389"/>
      <c r="G1" s="389"/>
      <c r="H1" s="389"/>
      <c r="I1" s="389"/>
      <c r="J1" s="389"/>
      <c r="K1" s="388"/>
      <c r="L1" s="783"/>
      <c r="M1" s="389"/>
      <c r="N1" s="389"/>
      <c r="O1" s="389"/>
      <c r="P1" s="389"/>
      <c r="Q1" s="389"/>
      <c r="R1" s="388"/>
      <c r="S1" s="388"/>
      <c r="T1" s="388"/>
      <c r="U1" s="388"/>
      <c r="V1" s="388"/>
      <c r="W1" s="388"/>
      <c r="X1" s="388"/>
      <c r="Y1" s="388"/>
      <c r="Z1" s="388"/>
      <c r="AA1" s="388"/>
      <c r="AB1" s="388"/>
      <c r="AC1" s="388"/>
      <c r="AD1" s="388"/>
      <c r="AE1" s="388"/>
    </row>
    <row r="2" spans="1:31" ht="17.25" customHeight="1">
      <c r="A2" s="390"/>
      <c r="B2" s="391"/>
      <c r="C2" s="784"/>
      <c r="D2" s="389"/>
      <c r="E2" s="784"/>
      <c r="F2" s="389"/>
      <c r="G2" s="389"/>
      <c r="H2" s="389"/>
      <c r="I2" s="389"/>
      <c r="J2" s="389"/>
      <c r="K2" s="388"/>
      <c r="L2" s="783"/>
      <c r="M2" s="389"/>
      <c r="N2" s="392"/>
      <c r="O2" s="389"/>
      <c r="P2" s="389"/>
      <c r="Q2" s="389"/>
      <c r="R2" s="388"/>
      <c r="S2" s="388"/>
      <c r="T2" s="388"/>
      <c r="U2" s="388"/>
      <c r="V2" s="388"/>
      <c r="W2" s="388"/>
      <c r="X2" s="388"/>
      <c r="Y2" s="388"/>
      <c r="Z2" s="388"/>
      <c r="AA2" s="388"/>
      <c r="AB2" s="388"/>
      <c r="AC2" s="388"/>
      <c r="AD2" s="388"/>
      <c r="AE2" s="388"/>
    </row>
    <row r="3" spans="1:31" ht="21" customHeight="1">
      <c r="A3" s="393" t="s">
        <v>0</v>
      </c>
      <c r="B3" s="350"/>
      <c r="C3" s="785"/>
      <c r="D3" s="344"/>
      <c r="E3" s="785"/>
      <c r="F3" s="344"/>
      <c r="G3" s="344"/>
      <c r="H3" s="344"/>
      <c r="I3" s="1683"/>
      <c r="K3" s="1683" t="s">
        <v>86</v>
      </c>
      <c r="L3" s="786"/>
      <c r="M3" s="344"/>
      <c r="N3" s="344"/>
      <c r="O3" s="344"/>
      <c r="Q3" s="344"/>
      <c r="R3" s="358"/>
      <c r="S3" s="358"/>
      <c r="T3" s="358"/>
      <c r="U3" s="358"/>
      <c r="V3" s="358"/>
      <c r="W3" s="358"/>
      <c r="X3" s="358"/>
      <c r="Y3" s="358"/>
      <c r="Z3" s="358"/>
      <c r="AA3" s="358"/>
      <c r="AB3" s="358"/>
      <c r="AC3" s="358"/>
      <c r="AD3" s="358"/>
      <c r="AE3" s="394"/>
    </row>
    <row r="4" spans="1:31" ht="17.399999999999999">
      <c r="A4" s="393" t="s">
        <v>85</v>
      </c>
      <c r="B4" s="350"/>
      <c r="C4" s="785"/>
      <c r="D4" s="344"/>
      <c r="E4" s="785"/>
      <c r="F4" s="344"/>
      <c r="G4" s="344"/>
      <c r="H4" s="344"/>
      <c r="I4" s="1684"/>
      <c r="K4" s="1684" t="s">
        <v>107</v>
      </c>
      <c r="L4" s="786"/>
      <c r="M4" s="344"/>
      <c r="N4" s="344"/>
      <c r="O4" s="344"/>
      <c r="Q4" s="344"/>
      <c r="R4" s="358"/>
      <c r="S4" s="358"/>
      <c r="T4" s="358"/>
      <c r="U4" s="358"/>
      <c r="V4" s="358"/>
      <c r="W4" s="358"/>
      <c r="X4" s="358"/>
      <c r="Y4" s="358"/>
      <c r="Z4" s="358"/>
      <c r="AA4" s="358"/>
      <c r="AB4" s="358"/>
      <c r="AC4" s="358"/>
      <c r="AD4" s="358"/>
      <c r="AE4" s="358"/>
    </row>
    <row r="5" spans="1:31" ht="21.75" customHeight="1">
      <c r="A5" s="3396" t="s">
        <v>1457</v>
      </c>
      <c r="B5" s="3397"/>
      <c r="C5" s="3397"/>
      <c r="D5" s="3397"/>
      <c r="E5" s="3397"/>
      <c r="F5" s="344"/>
      <c r="G5" s="1668"/>
      <c r="H5" s="344"/>
      <c r="I5" s="344"/>
      <c r="J5" s="344"/>
      <c r="K5" s="358"/>
      <c r="L5" s="786"/>
      <c r="M5" s="344"/>
      <c r="N5" s="344"/>
      <c r="O5" s="344"/>
      <c r="Q5" s="344"/>
      <c r="R5" s="358"/>
      <c r="S5" s="358"/>
      <c r="T5" s="358"/>
      <c r="U5" s="358"/>
      <c r="V5" s="358"/>
      <c r="W5" s="358"/>
      <c r="X5" s="358"/>
      <c r="Y5" s="358"/>
      <c r="Z5" s="358"/>
      <c r="AA5" s="358"/>
      <c r="AB5" s="358"/>
      <c r="AC5" s="358"/>
      <c r="AD5" s="358"/>
      <c r="AE5" s="358"/>
    </row>
    <row r="6" spans="1:31" ht="17.25" customHeight="1">
      <c r="A6" s="1682" t="str">
        <f>'Exh D-Governmental  '!A6</f>
        <v>FOR ONE MONTH ENDED APRIL 30, 2016</v>
      </c>
      <c r="B6" s="349"/>
      <c r="C6" s="785"/>
      <c r="D6" s="344"/>
      <c r="E6" s="785"/>
      <c r="F6" s="344"/>
      <c r="G6" s="344"/>
      <c r="H6" s="344"/>
      <c r="I6" s="344"/>
      <c r="J6" s="344"/>
      <c r="K6" s="358"/>
      <c r="L6" s="786"/>
      <c r="M6" s="344"/>
      <c r="N6" s="344"/>
      <c r="O6" s="344"/>
      <c r="P6" s="344"/>
      <c r="Q6" s="344"/>
      <c r="R6" s="358"/>
      <c r="S6" s="358"/>
      <c r="T6" s="358"/>
      <c r="U6" s="358"/>
      <c r="V6" s="358"/>
      <c r="W6" s="358"/>
      <c r="X6" s="358"/>
      <c r="Y6" s="358"/>
      <c r="Z6" s="358"/>
      <c r="AA6" s="358"/>
      <c r="AB6" s="358"/>
      <c r="AC6" s="358"/>
      <c r="AD6" s="358"/>
      <c r="AE6" s="358"/>
    </row>
    <row r="7" spans="1:31" ht="17.399999999999999">
      <c r="A7" s="393" t="s">
        <v>992</v>
      </c>
      <c r="B7" s="350"/>
      <c r="C7" s="785"/>
      <c r="D7" s="344"/>
      <c r="E7" s="785"/>
      <c r="F7" s="344"/>
      <c r="G7" s="344"/>
      <c r="H7" s="344"/>
      <c r="I7" s="344"/>
      <c r="J7" s="344"/>
      <c r="K7" s="358"/>
      <c r="L7" s="786"/>
      <c r="M7" s="344"/>
      <c r="N7" s="344"/>
      <c r="O7" s="344"/>
      <c r="P7" s="344"/>
      <c r="Q7" s="344"/>
      <c r="R7" s="358"/>
      <c r="S7" s="358"/>
      <c r="T7" s="358"/>
      <c r="U7" s="358"/>
      <c r="V7" s="358"/>
      <c r="W7" s="358"/>
      <c r="X7" s="358"/>
      <c r="Y7" s="358"/>
      <c r="Z7" s="358"/>
      <c r="AA7" s="358"/>
      <c r="AB7" s="358"/>
      <c r="AC7" s="358"/>
      <c r="AD7" s="358"/>
      <c r="AE7" s="358"/>
    </row>
    <row r="8" spans="1:31" ht="15" customHeight="1">
      <c r="A8" s="395"/>
      <c r="B8" s="349"/>
      <c r="C8" s="785"/>
      <c r="D8" s="344"/>
      <c r="E8" s="785"/>
      <c r="F8" s="344"/>
      <c r="G8" s="344"/>
      <c r="H8" s="344"/>
      <c r="I8" s="344"/>
      <c r="J8" s="344"/>
      <c r="K8" s="358"/>
      <c r="L8" s="786"/>
      <c r="M8" s="344"/>
      <c r="N8" s="344"/>
      <c r="O8" s="344"/>
      <c r="P8" s="344"/>
      <c r="Q8" s="344"/>
      <c r="R8" s="358"/>
      <c r="S8" s="358"/>
      <c r="T8" s="358"/>
      <c r="U8" s="358"/>
      <c r="V8" s="358"/>
      <c r="W8" s="358"/>
      <c r="X8" s="358"/>
      <c r="Y8" s="358"/>
      <c r="Z8" s="358"/>
      <c r="AA8" s="358"/>
      <c r="AB8" s="358"/>
      <c r="AC8" s="358"/>
      <c r="AD8" s="358"/>
      <c r="AE8" s="358"/>
    </row>
    <row r="9" spans="1:31">
      <c r="A9" s="352"/>
      <c r="B9" s="358"/>
      <c r="C9" s="786"/>
      <c r="D9" s="344"/>
      <c r="E9" s="786"/>
      <c r="F9" s="344"/>
      <c r="G9" s="344"/>
      <c r="H9" s="344"/>
      <c r="I9" s="344"/>
      <c r="J9" s="344"/>
      <c r="K9" s="358"/>
      <c r="L9" s="786"/>
      <c r="M9" s="344"/>
      <c r="N9" s="344"/>
      <c r="O9" s="344"/>
      <c r="P9" s="344"/>
      <c r="Q9" s="344"/>
      <c r="R9" s="358"/>
      <c r="S9" s="358"/>
      <c r="T9" s="358"/>
      <c r="U9" s="358"/>
      <c r="V9" s="358"/>
      <c r="W9" s="358"/>
      <c r="X9" s="358"/>
      <c r="Y9" s="358"/>
      <c r="Z9" s="358"/>
      <c r="AA9" s="358"/>
      <c r="AB9" s="358"/>
      <c r="AC9" s="358"/>
      <c r="AD9" s="358"/>
      <c r="AE9" s="358"/>
    </row>
    <row r="10" spans="1:31">
      <c r="A10" s="352"/>
      <c r="B10" s="358"/>
      <c r="C10" s="786"/>
      <c r="D10" s="344"/>
      <c r="E10" s="786"/>
      <c r="F10" s="344"/>
      <c r="G10" s="344"/>
      <c r="H10" s="344"/>
      <c r="I10" s="344"/>
      <c r="J10" s="344"/>
      <c r="K10" s="358"/>
      <c r="L10" s="1919"/>
      <c r="M10" s="349"/>
      <c r="N10" s="349"/>
      <c r="O10" s="349"/>
      <c r="P10" s="349"/>
      <c r="Q10" s="344"/>
      <c r="R10" s="358"/>
      <c r="S10" s="358"/>
      <c r="T10" s="358"/>
      <c r="U10" s="358"/>
      <c r="V10" s="358"/>
      <c r="W10" s="358"/>
      <c r="X10" s="358"/>
      <c r="Y10" s="358"/>
      <c r="Z10" s="358"/>
      <c r="AA10" s="358"/>
      <c r="AB10" s="358"/>
      <c r="AC10" s="358"/>
      <c r="AD10" s="358"/>
      <c r="AE10" s="358"/>
    </row>
    <row r="11" spans="1:31" ht="15.6">
      <c r="A11" s="1343"/>
      <c r="C11" s="3399" t="s">
        <v>1295</v>
      </c>
      <c r="D11" s="3399"/>
      <c r="E11" s="3399"/>
      <c r="F11" s="3399"/>
      <c r="G11" s="3399"/>
      <c r="H11" s="3399"/>
      <c r="I11" s="3399"/>
      <c r="J11" s="2296"/>
      <c r="K11" s="2297"/>
      <c r="L11" s="790"/>
      <c r="M11" s="398"/>
      <c r="N11" s="398"/>
      <c r="O11" s="398"/>
      <c r="P11" s="398"/>
      <c r="Q11" s="353"/>
      <c r="R11" s="396"/>
      <c r="S11" s="396"/>
      <c r="T11" s="396"/>
      <c r="U11" s="396"/>
      <c r="V11" s="396"/>
      <c r="W11" s="396"/>
      <c r="X11" s="396"/>
      <c r="Y11" s="353"/>
      <c r="Z11" s="396"/>
      <c r="AA11" s="397"/>
      <c r="AB11" s="396"/>
      <c r="AC11" s="396"/>
      <c r="AD11" s="396"/>
      <c r="AE11" s="396"/>
    </row>
    <row r="12" spans="1:31" ht="15.6">
      <c r="A12" s="1343"/>
      <c r="C12" s="787"/>
      <c r="D12" s="398"/>
      <c r="E12" s="787"/>
      <c r="F12" s="398"/>
      <c r="G12" s="399"/>
      <c r="H12" s="398"/>
      <c r="I12" s="398" t="s">
        <v>87</v>
      </c>
      <c r="J12" s="396"/>
      <c r="K12" s="398" t="s">
        <v>87</v>
      </c>
      <c r="L12" s="790"/>
      <c r="M12" s="398"/>
      <c r="N12" s="399"/>
      <c r="O12" s="398"/>
      <c r="P12" s="398"/>
      <c r="Q12" s="353"/>
      <c r="R12" s="396"/>
      <c r="S12" s="396"/>
      <c r="T12" s="396"/>
      <c r="U12" s="396"/>
      <c r="V12" s="396"/>
      <c r="W12" s="396"/>
      <c r="X12" s="396"/>
      <c r="Y12" s="353"/>
      <c r="Z12" s="396"/>
      <c r="AA12" s="397"/>
      <c r="AB12" s="396"/>
      <c r="AC12" s="396"/>
      <c r="AD12" s="396"/>
      <c r="AE12" s="396"/>
    </row>
    <row r="13" spans="1:31" ht="15.6">
      <c r="A13" s="1343"/>
      <c r="B13" s="353"/>
      <c r="C13" s="788"/>
      <c r="D13" s="400"/>
      <c r="E13" s="788"/>
      <c r="F13" s="400"/>
      <c r="G13" s="400"/>
      <c r="H13" s="400"/>
      <c r="I13" s="401" t="s">
        <v>999</v>
      </c>
      <c r="J13" s="403"/>
      <c r="K13" s="401" t="s">
        <v>999</v>
      </c>
      <c r="L13" s="1920"/>
      <c r="M13" s="1921"/>
      <c r="N13" s="1921"/>
      <c r="O13" s="1921"/>
      <c r="P13" s="1922"/>
      <c r="Q13" s="353"/>
      <c r="R13" s="353"/>
      <c r="S13" s="353"/>
      <c r="T13" s="353"/>
      <c r="U13" s="353"/>
      <c r="V13" s="353"/>
      <c r="W13" s="402"/>
      <c r="X13" s="403"/>
      <c r="Y13" s="353"/>
      <c r="Z13" s="353"/>
      <c r="AA13" s="353"/>
      <c r="AB13" s="353"/>
      <c r="AC13" s="353"/>
      <c r="AD13" s="353"/>
      <c r="AE13" s="402"/>
    </row>
    <row r="14" spans="1:31" ht="15.6">
      <c r="A14" s="1343"/>
      <c r="B14" s="404"/>
      <c r="C14" s="356" t="s">
        <v>1235</v>
      </c>
      <c r="D14" s="1848"/>
      <c r="E14" s="355" t="s">
        <v>1236</v>
      </c>
      <c r="F14" s="354"/>
      <c r="G14" s="354"/>
      <c r="H14" s="354"/>
      <c r="I14" s="355" t="s">
        <v>88</v>
      </c>
      <c r="J14" s="403"/>
      <c r="K14" s="355" t="s">
        <v>88</v>
      </c>
      <c r="L14" s="1923"/>
      <c r="M14" s="353"/>
      <c r="N14" s="353"/>
      <c r="O14" s="353"/>
      <c r="P14" s="403"/>
      <c r="Q14" s="353"/>
      <c r="R14" s="402"/>
      <c r="S14" s="403"/>
      <c r="T14" s="353"/>
      <c r="U14" s="353"/>
      <c r="V14" s="353"/>
      <c r="W14" s="402"/>
      <c r="X14" s="403"/>
      <c r="Y14" s="353"/>
      <c r="Z14" s="402"/>
      <c r="AA14" s="403"/>
      <c r="AB14" s="353"/>
      <c r="AC14" s="353"/>
      <c r="AD14" s="353"/>
      <c r="AE14" s="402"/>
    </row>
    <row r="15" spans="1:31" ht="15.6">
      <c r="A15" s="1343"/>
      <c r="B15" s="404"/>
      <c r="C15" s="355" t="s">
        <v>1279</v>
      </c>
      <c r="D15" s="354"/>
      <c r="E15" s="355" t="s">
        <v>1279</v>
      </c>
      <c r="F15" s="354"/>
      <c r="G15" s="354"/>
      <c r="H15" s="354"/>
      <c r="I15" s="355" t="s">
        <v>1235</v>
      </c>
      <c r="J15" s="403"/>
      <c r="K15" s="355" t="s">
        <v>1236</v>
      </c>
      <c r="L15" s="1923"/>
      <c r="M15" s="353"/>
      <c r="N15" s="353"/>
      <c r="O15" s="353"/>
      <c r="P15" s="403"/>
      <c r="Q15" s="353"/>
      <c r="R15" s="402"/>
      <c r="S15" s="403"/>
      <c r="T15" s="353"/>
      <c r="U15" s="353"/>
      <c r="V15" s="353"/>
      <c r="W15" s="402"/>
      <c r="X15" s="403"/>
      <c r="Y15" s="353"/>
      <c r="Z15" s="402"/>
      <c r="AA15" s="403"/>
      <c r="AB15" s="353"/>
      <c r="AC15" s="353"/>
      <c r="AD15" s="353"/>
      <c r="AE15" s="402"/>
    </row>
    <row r="16" spans="1:31" ht="15.6">
      <c r="A16" s="1343"/>
      <c r="B16" s="403"/>
      <c r="C16" s="355" t="s">
        <v>1280</v>
      </c>
      <c r="D16" s="354"/>
      <c r="E16" s="355" t="s">
        <v>1464</v>
      </c>
      <c r="F16" s="354"/>
      <c r="G16" s="356" t="s">
        <v>87</v>
      </c>
      <c r="H16" s="354"/>
      <c r="I16" s="355" t="s">
        <v>89</v>
      </c>
      <c r="J16" s="403"/>
      <c r="K16" s="355" t="s">
        <v>89</v>
      </c>
      <c r="L16" s="402"/>
      <c r="M16" s="353"/>
      <c r="N16" s="402"/>
      <c r="O16" s="353"/>
      <c r="P16" s="403"/>
      <c r="Q16" s="353"/>
      <c r="R16" s="403"/>
      <c r="S16" s="403"/>
      <c r="T16" s="353"/>
      <c r="U16" s="402"/>
      <c r="V16" s="353"/>
      <c r="W16" s="402"/>
      <c r="X16" s="403"/>
      <c r="Y16" s="353"/>
      <c r="Z16" s="403"/>
      <c r="AA16" s="403"/>
      <c r="AB16" s="353"/>
      <c r="AC16" s="402"/>
      <c r="AD16" s="353"/>
      <c r="AE16" s="402"/>
    </row>
    <row r="17" spans="1:31">
      <c r="A17" s="357"/>
      <c r="B17" s="358"/>
      <c r="C17" s="359"/>
      <c r="D17" s="344"/>
      <c r="E17" s="359"/>
      <c r="F17" s="344"/>
      <c r="G17" s="359"/>
      <c r="H17" s="344"/>
      <c r="I17" s="359"/>
      <c r="J17" s="358"/>
      <c r="K17" s="359"/>
      <c r="L17" s="358"/>
      <c r="M17" s="358"/>
      <c r="N17" s="358"/>
      <c r="O17" s="358"/>
      <c r="P17" s="358"/>
      <c r="Q17" s="358"/>
      <c r="R17" s="358"/>
      <c r="S17" s="358"/>
      <c r="T17" s="358"/>
      <c r="U17" s="358"/>
      <c r="V17" s="358"/>
      <c r="W17" s="358"/>
      <c r="X17" s="358"/>
      <c r="Y17" s="358"/>
      <c r="Z17" s="358"/>
      <c r="AA17" s="358"/>
      <c r="AB17" s="358"/>
      <c r="AC17" s="358"/>
      <c r="AD17" s="358"/>
      <c r="AE17" s="358"/>
    </row>
    <row r="18" spans="1:31" ht="15.6">
      <c r="A18" s="221" t="s">
        <v>15</v>
      </c>
      <c r="B18" s="1840"/>
      <c r="C18" s="1237"/>
      <c r="D18" s="1237"/>
      <c r="E18" s="1237"/>
      <c r="F18" s="1237"/>
      <c r="G18" s="1237"/>
      <c r="H18" s="1237"/>
      <c r="I18" s="1237"/>
      <c r="J18" s="1840"/>
      <c r="K18" s="1840"/>
      <c r="L18" s="1840"/>
      <c r="M18" s="1840"/>
      <c r="N18" s="1840"/>
      <c r="O18" s="1840"/>
      <c r="P18" s="1840"/>
      <c r="Q18" s="1840"/>
      <c r="R18" s="1840"/>
      <c r="S18" s="1840"/>
      <c r="T18" s="1840"/>
      <c r="U18" s="1840"/>
      <c r="V18" s="1840"/>
      <c r="W18" s="1840"/>
      <c r="X18" s="1840"/>
      <c r="Y18" s="1840"/>
      <c r="Z18" s="1840"/>
      <c r="AA18" s="1840"/>
      <c r="AB18" s="1840"/>
      <c r="AC18" s="1840"/>
      <c r="AD18" s="1840"/>
      <c r="AE18" s="1840"/>
    </row>
    <row r="19" spans="1:31">
      <c r="A19" s="1674" t="s">
        <v>90</v>
      </c>
      <c r="B19" s="1841"/>
      <c r="C19" s="1237"/>
      <c r="D19" s="1841"/>
      <c r="E19" s="1237"/>
      <c r="F19" s="1841"/>
      <c r="G19" s="1237"/>
      <c r="H19" s="1841"/>
      <c r="I19" s="1237"/>
      <c r="J19" s="1840"/>
      <c r="K19" s="1840"/>
      <c r="L19" s="1840"/>
      <c r="M19" s="1840"/>
      <c r="N19" s="1840"/>
      <c r="O19" s="1862"/>
      <c r="P19" s="1840"/>
      <c r="Q19" s="1840"/>
      <c r="R19" s="1840"/>
      <c r="S19" s="1840"/>
      <c r="T19" s="1840"/>
      <c r="U19" s="1840"/>
      <c r="V19" s="1840"/>
      <c r="W19" s="1840"/>
      <c r="X19" s="1840"/>
      <c r="Y19" s="1840"/>
      <c r="Z19" s="1840"/>
      <c r="AA19" s="1840"/>
      <c r="AB19" s="1840"/>
      <c r="AC19" s="1840"/>
      <c r="AD19" s="1840"/>
      <c r="AE19" s="1840"/>
    </row>
    <row r="20" spans="1:31">
      <c r="A20" s="1674" t="s">
        <v>91</v>
      </c>
      <c r="B20" s="1841" t="s">
        <v>16</v>
      </c>
      <c r="C20" s="1238">
        <v>4764</v>
      </c>
      <c r="D20" s="1240"/>
      <c r="E20" s="1238">
        <v>0</v>
      </c>
      <c r="F20" s="1240"/>
      <c r="G20" s="1238">
        <f>+'Exhibit F'!AC28</f>
        <v>4786.5</v>
      </c>
      <c r="H20" s="1240"/>
      <c r="I20" s="1238">
        <f t="shared" ref="I20:I25" si="0">ROUND(SUM(G20)-SUM(C20),1)</f>
        <v>22.5</v>
      </c>
      <c r="J20" s="1840"/>
      <c r="K20" s="1926">
        <v>0</v>
      </c>
      <c r="L20" s="1924"/>
      <c r="M20" s="1924"/>
      <c r="N20" s="1925"/>
      <c r="O20" s="1924"/>
      <c r="P20" s="1926"/>
      <c r="Q20" s="1840"/>
      <c r="R20" s="1840"/>
      <c r="S20" s="1840"/>
      <c r="T20" s="1840"/>
      <c r="U20" s="1840"/>
      <c r="V20" s="1840"/>
      <c r="W20" s="1840"/>
      <c r="X20" s="1840"/>
      <c r="Y20" s="1840"/>
      <c r="Z20" s="1840"/>
      <c r="AA20" s="1840"/>
      <c r="AB20" s="1840"/>
      <c r="AC20" s="1840"/>
      <c r="AD20" s="1840"/>
      <c r="AE20" s="1840"/>
    </row>
    <row r="21" spans="1:31">
      <c r="A21" s="1674" t="s">
        <v>92</v>
      </c>
      <c r="B21" s="1840" t="s">
        <v>16</v>
      </c>
      <c r="C21" s="1859">
        <v>541</v>
      </c>
      <c r="D21" s="1159"/>
      <c r="E21" s="1859">
        <v>0</v>
      </c>
      <c r="F21" s="1159"/>
      <c r="G21" s="1159">
        <f>+'Exhibit F'!AC37</f>
        <v>547</v>
      </c>
      <c r="H21" s="1159"/>
      <c r="I21" s="1159">
        <f t="shared" si="0"/>
        <v>6</v>
      </c>
      <c r="J21" s="1840"/>
      <c r="K21" s="1860">
        <v>0</v>
      </c>
      <c r="L21" s="1927"/>
      <c r="M21" s="1860"/>
      <c r="N21" s="1860"/>
      <c r="O21" s="1860"/>
      <c r="P21" s="1860"/>
      <c r="Q21" s="1860"/>
      <c r="R21" s="1860"/>
      <c r="S21" s="1840"/>
      <c r="T21" s="1840"/>
      <c r="U21" s="1840"/>
      <c r="V21" s="1840"/>
      <c r="W21" s="1840"/>
      <c r="X21" s="1840"/>
      <c r="Y21" s="1840"/>
      <c r="Z21" s="1840"/>
      <c r="AA21" s="1840"/>
      <c r="AB21" s="1840"/>
      <c r="AC21" s="1840"/>
      <c r="AD21" s="1840"/>
      <c r="AE21" s="1840"/>
    </row>
    <row r="22" spans="1:31">
      <c r="A22" s="1674" t="s">
        <v>93</v>
      </c>
      <c r="B22" s="1841" t="s">
        <v>16</v>
      </c>
      <c r="C22" s="1859">
        <v>158</v>
      </c>
      <c r="D22" s="1313"/>
      <c r="E22" s="1859">
        <v>0</v>
      </c>
      <c r="F22" s="1313"/>
      <c r="G22" s="1849">
        <f>+'Exhibit F'!AC44</f>
        <v>158</v>
      </c>
      <c r="H22" s="1313"/>
      <c r="I22" s="1159">
        <f t="shared" si="0"/>
        <v>0</v>
      </c>
      <c r="J22" s="1840"/>
      <c r="K22" s="1860">
        <v>0</v>
      </c>
      <c r="L22" s="1927"/>
      <c r="M22" s="1861"/>
      <c r="N22" s="1860"/>
      <c r="O22" s="1861"/>
      <c r="P22" s="1860"/>
      <c r="Q22" s="1861"/>
      <c r="R22" s="1860"/>
      <c r="S22" s="1840"/>
      <c r="T22" s="1862"/>
      <c r="U22" s="1840"/>
      <c r="V22" s="1862"/>
      <c r="W22" s="1840"/>
      <c r="X22" s="1840"/>
      <c r="Y22" s="1862"/>
      <c r="Z22" s="1840"/>
      <c r="AA22" s="1840"/>
      <c r="AB22" s="1862"/>
      <c r="AC22" s="405"/>
      <c r="AD22" s="1862"/>
      <c r="AE22" s="1840"/>
    </row>
    <row r="23" spans="1:31">
      <c r="A23" s="1674" t="s">
        <v>94</v>
      </c>
      <c r="B23" s="1840" t="s">
        <v>16</v>
      </c>
      <c r="C23" s="1859">
        <v>74</v>
      </c>
      <c r="D23" s="1159"/>
      <c r="E23" s="1859">
        <v>0</v>
      </c>
      <c r="F23" s="1159"/>
      <c r="G23" s="1159">
        <f>+'Exhibit F'!AC52</f>
        <v>75.599999999999994</v>
      </c>
      <c r="H23" s="1159"/>
      <c r="I23" s="1159">
        <f t="shared" si="0"/>
        <v>1.6</v>
      </c>
      <c r="J23" s="1840"/>
      <c r="K23" s="1860">
        <v>0</v>
      </c>
      <c r="L23" s="1928"/>
      <c r="M23" s="1860"/>
      <c r="N23" s="1860"/>
      <c r="O23" s="1860"/>
      <c r="P23" s="1860"/>
      <c r="Q23" s="1860"/>
      <c r="R23" s="1860"/>
      <c r="S23" s="1840"/>
      <c r="T23" s="1840"/>
      <c r="U23" s="1840"/>
      <c r="V23" s="1840"/>
      <c r="W23" s="1840"/>
      <c r="X23" s="1840"/>
      <c r="Y23" s="1840"/>
      <c r="Z23" s="1840"/>
      <c r="AA23" s="1840"/>
      <c r="AB23" s="1840"/>
      <c r="AC23" s="1840"/>
      <c r="AD23" s="1840"/>
      <c r="AE23" s="1840"/>
    </row>
    <row r="24" spans="1:31" ht="15" customHeight="1">
      <c r="A24" s="1674" t="s">
        <v>21</v>
      </c>
      <c r="B24" s="1840" t="s">
        <v>16</v>
      </c>
      <c r="C24" s="1859">
        <v>86</v>
      </c>
      <c r="D24" s="1859"/>
      <c r="E24" s="1859">
        <v>0</v>
      </c>
      <c r="F24" s="1859"/>
      <c r="G24" s="1339">
        <f>+'Exhibit F'!AC89</f>
        <v>68.3</v>
      </c>
      <c r="H24" s="1159"/>
      <c r="I24" s="1159">
        <f t="shared" si="0"/>
        <v>-17.7</v>
      </c>
      <c r="J24" s="1840"/>
      <c r="K24" s="1860">
        <v>0</v>
      </c>
      <c r="L24" s="1928"/>
      <c r="M24" s="1860"/>
      <c r="N24" s="1860"/>
      <c r="O24" s="1860"/>
      <c r="P24" s="1860"/>
      <c r="Q24" s="1860"/>
      <c r="R24" s="1860"/>
      <c r="S24" s="1840"/>
      <c r="T24" s="1840"/>
      <c r="U24" s="1840"/>
      <c r="V24" s="1840"/>
      <c r="W24" s="1840"/>
      <c r="X24" s="1840"/>
      <c r="Y24" s="1840"/>
      <c r="Z24" s="1840"/>
      <c r="AA24" s="1840"/>
      <c r="AB24" s="1840"/>
      <c r="AC24" s="1840"/>
      <c r="AD24" s="1840"/>
      <c r="AE24" s="1840"/>
    </row>
    <row r="25" spans="1:31" ht="15" customHeight="1">
      <c r="A25" s="1674" t="s">
        <v>22</v>
      </c>
      <c r="B25" s="1840" t="s">
        <v>16</v>
      </c>
      <c r="C25" s="1239">
        <v>0</v>
      </c>
      <c r="D25" s="1159"/>
      <c r="E25" s="1239">
        <v>0</v>
      </c>
      <c r="F25" s="1159"/>
      <c r="G25" s="1339">
        <f>+'Exhibit F'!AC91</f>
        <v>0</v>
      </c>
      <c r="H25" s="1159"/>
      <c r="I25" s="1159">
        <f t="shared" si="0"/>
        <v>0</v>
      </c>
      <c r="J25" s="1840"/>
      <c r="K25" s="1860">
        <f t="shared" ref="K25" si="1">ROUND(SUM(G25)-SUM(E25),1)</f>
        <v>0</v>
      </c>
      <c r="L25" s="1927"/>
      <c r="M25" s="1860"/>
      <c r="N25" s="1860"/>
      <c r="O25" s="1860"/>
      <c r="P25" s="1860"/>
      <c r="Q25" s="1860"/>
      <c r="R25" s="1864"/>
      <c r="S25" s="1865"/>
      <c r="T25" s="1840"/>
      <c r="U25" s="1865"/>
      <c r="V25" s="1840"/>
      <c r="W25" s="1865"/>
      <c r="X25" s="1866"/>
      <c r="Y25" s="1840"/>
      <c r="Z25" s="1840"/>
      <c r="AA25" s="1840"/>
      <c r="AB25" s="1840"/>
      <c r="AC25" s="1840"/>
      <c r="AD25" s="1840"/>
      <c r="AE25" s="1840"/>
    </row>
    <row r="26" spans="1:31" ht="18" customHeight="1">
      <c r="A26" s="1674" t="s">
        <v>109</v>
      </c>
      <c r="B26" s="1866"/>
      <c r="C26" s="1239"/>
      <c r="D26" s="1159"/>
      <c r="E26" s="1239"/>
      <c r="F26" s="1159"/>
      <c r="G26" s="1338"/>
      <c r="H26" s="1159"/>
      <c r="I26" s="1159"/>
      <c r="J26" s="1866"/>
      <c r="K26" s="1860" t="s">
        <v>16</v>
      </c>
      <c r="L26" s="1864"/>
      <c r="M26" s="1860"/>
      <c r="N26" s="1864"/>
      <c r="O26" s="1860"/>
      <c r="P26" s="1864"/>
      <c r="Q26" s="1860"/>
      <c r="R26" s="1864"/>
      <c r="S26" s="1865"/>
      <c r="T26" s="1840"/>
      <c r="U26" s="1865"/>
      <c r="V26" s="1840"/>
      <c r="W26" s="1865"/>
      <c r="X26" s="1866"/>
      <c r="Y26" s="1840"/>
      <c r="Z26" s="1840"/>
      <c r="AA26" s="1840"/>
      <c r="AB26" s="1840"/>
      <c r="AC26" s="1840"/>
      <c r="AD26" s="1840"/>
      <c r="AE26" s="1840"/>
    </row>
    <row r="27" spans="1:31">
      <c r="A27" s="1674" t="s">
        <v>110</v>
      </c>
      <c r="B27" s="1866" t="s">
        <v>16</v>
      </c>
      <c r="C27" s="1159">
        <v>1587</v>
      </c>
      <c r="D27" s="1159"/>
      <c r="E27" s="1159">
        <v>0</v>
      </c>
      <c r="F27" s="1159"/>
      <c r="G27" s="1336">
        <f>'Exhibit F'!AC120</f>
        <v>1594.3</v>
      </c>
      <c r="H27" s="1159"/>
      <c r="I27" s="1159">
        <f>ROUND(SUM(G27)-SUM(C27),1)</f>
        <v>7.3</v>
      </c>
      <c r="J27" s="1866"/>
      <c r="K27" s="1860">
        <v>0</v>
      </c>
      <c r="L27" s="1864"/>
      <c r="M27" s="1860"/>
      <c r="N27" s="1864"/>
      <c r="O27" s="1860"/>
      <c r="P27" s="1860"/>
      <c r="Q27" s="1860"/>
      <c r="R27" s="1864"/>
      <c r="S27" s="1865"/>
      <c r="T27" s="1840"/>
      <c r="U27" s="1865"/>
      <c r="V27" s="1840"/>
      <c r="W27" s="1865"/>
      <c r="X27" s="1866"/>
      <c r="Y27" s="1840"/>
      <c r="Z27" s="1840"/>
      <c r="AA27" s="1840"/>
      <c r="AB27" s="1840"/>
      <c r="AC27" s="1840"/>
      <c r="AD27" s="1840"/>
      <c r="AE27" s="1840"/>
    </row>
    <row r="28" spans="1:31">
      <c r="A28" s="1674" t="s">
        <v>1233</v>
      </c>
      <c r="B28" s="1866" t="s">
        <v>16</v>
      </c>
      <c r="C28" s="1159">
        <v>436</v>
      </c>
      <c r="D28" s="1159"/>
      <c r="E28" s="1159">
        <v>0</v>
      </c>
      <c r="F28" s="1159"/>
      <c r="G28" s="1337">
        <f>'Exhibit F'!AC121</f>
        <v>442.8</v>
      </c>
      <c r="H28" s="1159"/>
      <c r="I28" s="1159">
        <f>ROUND(SUM(G28)-SUM(C28),1)</f>
        <v>6.8</v>
      </c>
      <c r="J28" s="1866"/>
      <c r="K28" s="1860">
        <v>0</v>
      </c>
      <c r="L28" s="1864"/>
      <c r="M28" s="1860"/>
      <c r="N28" s="1864"/>
      <c r="O28" s="1860"/>
      <c r="P28" s="1860"/>
      <c r="Q28" s="1860"/>
      <c r="R28" s="1864"/>
      <c r="S28" s="1865"/>
      <c r="T28" s="1840"/>
      <c r="U28" s="1865"/>
      <c r="V28" s="1840"/>
      <c r="W28" s="1865"/>
      <c r="X28" s="1866"/>
      <c r="Y28" s="1840"/>
      <c r="Z28" s="1840"/>
      <c r="AA28" s="1840"/>
      <c r="AB28" s="1840"/>
      <c r="AC28" s="1840"/>
      <c r="AD28" s="1840"/>
      <c r="AE28" s="1840"/>
    </row>
    <row r="29" spans="1:31">
      <c r="A29" s="1674" t="s">
        <v>111</v>
      </c>
      <c r="B29" s="1866" t="s">
        <v>16</v>
      </c>
      <c r="C29" s="1159">
        <v>84</v>
      </c>
      <c r="D29" s="1159"/>
      <c r="E29" s="1159">
        <v>0</v>
      </c>
      <c r="F29" s="1159"/>
      <c r="G29" s="1336">
        <f>'Exhibit F'!AC122</f>
        <v>74</v>
      </c>
      <c r="H29" s="1159"/>
      <c r="I29" s="1159">
        <f>ROUND(SUM(G29)-SUM(C29),1)</f>
        <v>-10</v>
      </c>
      <c r="J29" s="1866"/>
      <c r="K29" s="1860">
        <v>0</v>
      </c>
      <c r="L29" s="1864"/>
      <c r="M29" s="1860"/>
      <c r="N29" s="1864"/>
      <c r="O29" s="1860"/>
      <c r="P29" s="1860"/>
      <c r="Q29" s="1860"/>
      <c r="R29" s="1864"/>
      <c r="S29" s="1865"/>
      <c r="T29" s="1840"/>
      <c r="U29" s="1865"/>
      <c r="V29" s="1840"/>
      <c r="W29" s="1865"/>
      <c r="X29" s="1866"/>
      <c r="Y29" s="1840"/>
      <c r="Z29" s="1840"/>
      <c r="AA29" s="1840"/>
      <c r="AB29" s="1840"/>
      <c r="AC29" s="1840"/>
      <c r="AD29" s="1840"/>
      <c r="AE29" s="1840"/>
    </row>
    <row r="30" spans="1:31">
      <c r="A30" s="1674" t="s">
        <v>112</v>
      </c>
      <c r="B30" s="1866" t="s">
        <v>16</v>
      </c>
      <c r="C30" s="1846">
        <v>5</v>
      </c>
      <c r="D30" s="1159"/>
      <c r="E30" s="1846">
        <v>0</v>
      </c>
      <c r="F30" s="1159"/>
      <c r="G30" s="2004">
        <f>'Exhibit F'!AC123</f>
        <v>5</v>
      </c>
      <c r="H30" s="1159"/>
      <c r="I30" s="1159">
        <f>ROUND(SUM(G30)-SUM(C30),1)</f>
        <v>0</v>
      </c>
      <c r="J30" s="1866"/>
      <c r="K30" s="1860">
        <v>0</v>
      </c>
      <c r="L30" s="1929"/>
      <c r="M30" s="1860"/>
      <c r="N30" s="1861"/>
      <c r="O30" s="1860"/>
      <c r="P30" s="1860"/>
      <c r="Q30" s="1860"/>
      <c r="R30" s="1864"/>
      <c r="S30" s="1865"/>
      <c r="T30" s="1840"/>
      <c r="U30" s="1865"/>
      <c r="V30" s="1840"/>
      <c r="W30" s="1865"/>
      <c r="X30" s="1866"/>
      <c r="Y30" s="1840"/>
      <c r="Z30" s="1840"/>
      <c r="AA30" s="1840"/>
      <c r="AB30" s="1840"/>
      <c r="AC30" s="1840"/>
      <c r="AD30" s="1840"/>
      <c r="AE30" s="1840"/>
    </row>
    <row r="31" spans="1:31" ht="18" customHeight="1">
      <c r="A31" s="375" t="s">
        <v>113</v>
      </c>
      <c r="B31" s="353" t="s">
        <v>16</v>
      </c>
      <c r="C31" s="419">
        <f>ROUND(SUM(C20:C30),1)</f>
        <v>7735</v>
      </c>
      <c r="D31" s="1838"/>
      <c r="E31" s="419">
        <f>ROUND(SUM(E20:E30),1)</f>
        <v>0</v>
      </c>
      <c r="F31" s="1838"/>
      <c r="G31" s="419">
        <f>ROUND(SUM(G20:G30),1)</f>
        <v>7751.5</v>
      </c>
      <c r="H31" s="1838"/>
      <c r="I31" s="544">
        <f>ROUND(SUM(I20:I30),1)</f>
        <v>16.5</v>
      </c>
      <c r="J31" s="353"/>
      <c r="K31" s="544">
        <f>ROUND(SUM(K20:K30),1)</f>
        <v>0</v>
      </c>
      <c r="L31" s="273"/>
      <c r="M31" s="273"/>
      <c r="N31" s="273"/>
      <c r="O31" s="273"/>
      <c r="P31" s="273"/>
      <c r="Q31" s="273"/>
      <c r="R31" s="273"/>
      <c r="S31" s="353"/>
      <c r="T31" s="353"/>
      <c r="U31" s="353"/>
      <c r="V31" s="353"/>
      <c r="W31" s="353"/>
      <c r="X31" s="353"/>
      <c r="Y31" s="353"/>
      <c r="Z31" s="353"/>
      <c r="AA31" s="353"/>
      <c r="AB31" s="353"/>
      <c r="AC31" s="353"/>
      <c r="AD31" s="353"/>
      <c r="AE31" s="353"/>
    </row>
    <row r="32" spans="1:31">
      <c r="A32" s="1343"/>
      <c r="B32" s="1840"/>
      <c r="C32" s="1341"/>
      <c r="D32" s="1159"/>
      <c r="E32" s="1341"/>
      <c r="F32" s="1159"/>
      <c r="G32" s="1341"/>
      <c r="H32" s="1159"/>
      <c r="I32" s="1860"/>
      <c r="J32" s="1840"/>
      <c r="K32" s="1860"/>
      <c r="L32" s="1860"/>
      <c r="M32" s="1860"/>
      <c r="N32" s="1860"/>
      <c r="O32" s="1860"/>
      <c r="P32" s="1860"/>
      <c r="Q32" s="1860"/>
      <c r="R32" s="1860"/>
      <c r="S32" s="1840"/>
      <c r="T32" s="1840"/>
      <c r="U32" s="1840"/>
      <c r="V32" s="1840"/>
      <c r="W32" s="1840"/>
      <c r="X32" s="1840"/>
      <c r="Y32" s="1840"/>
      <c r="Z32" s="1840"/>
      <c r="AA32" s="1840"/>
      <c r="AB32" s="1840"/>
      <c r="AC32" s="1840"/>
      <c r="AD32" s="1840"/>
      <c r="AE32" s="1840"/>
    </row>
    <row r="33" spans="1:31" ht="15.6">
      <c r="A33" s="221" t="s">
        <v>24</v>
      </c>
      <c r="B33" s="1840"/>
      <c r="C33" s="1159"/>
      <c r="D33" s="1159"/>
      <c r="E33" s="1159"/>
      <c r="F33" s="1159"/>
      <c r="G33" s="1159"/>
      <c r="H33" s="1159"/>
      <c r="I33" s="1159"/>
      <c r="J33" s="1840"/>
      <c r="K33" s="1860"/>
      <c r="L33" s="1860"/>
      <c r="M33" s="1860"/>
      <c r="N33" s="1860"/>
      <c r="O33" s="1860"/>
      <c r="P33" s="1860"/>
      <c r="Q33" s="1860"/>
      <c r="R33" s="1860"/>
      <c r="S33" s="1840"/>
      <c r="T33" s="1840"/>
      <c r="U33" s="1840"/>
      <c r="V33" s="1840"/>
      <c r="W33" s="1840"/>
      <c r="X33" s="1840"/>
      <c r="Y33" s="1840"/>
      <c r="Z33" s="1840"/>
      <c r="AA33" s="1840"/>
      <c r="AB33" s="1840"/>
      <c r="AC33" s="1840"/>
      <c r="AD33" s="1840"/>
      <c r="AE33" s="1840"/>
    </row>
    <row r="34" spans="1:31">
      <c r="A34" s="1674" t="s">
        <v>96</v>
      </c>
      <c r="B34" s="1862" t="s">
        <v>16</v>
      </c>
      <c r="C34" s="1313">
        <v>1988</v>
      </c>
      <c r="D34" s="1159"/>
      <c r="E34" s="1313">
        <v>0</v>
      </c>
      <c r="F34" s="1159"/>
      <c r="G34" s="1313">
        <f>+'Exhibit F'!AC107</f>
        <v>1977.4000000000003</v>
      </c>
      <c r="H34" s="1159"/>
      <c r="I34" s="1159">
        <f>ROUND(SUM(G34)-SUM(C34),1)</f>
        <v>-10.6</v>
      </c>
      <c r="J34" s="1840"/>
      <c r="K34" s="1860">
        <v>0</v>
      </c>
      <c r="L34" s="1861"/>
      <c r="M34" s="1860"/>
      <c r="N34" s="1861"/>
      <c r="O34" s="1860"/>
      <c r="P34" s="1860"/>
      <c r="Q34" s="1860"/>
      <c r="R34" s="1864"/>
      <c r="S34" s="1865"/>
      <c r="T34" s="1840"/>
      <c r="U34" s="1865"/>
      <c r="V34" s="1840"/>
      <c r="W34" s="1865"/>
      <c r="X34" s="1866"/>
      <c r="Y34" s="1840"/>
      <c r="Z34" s="1840"/>
      <c r="AA34" s="1840"/>
      <c r="AB34" s="1840"/>
      <c r="AC34" s="1840"/>
      <c r="AD34" s="1840"/>
      <c r="AE34" s="1840"/>
    </row>
    <row r="35" spans="1:31">
      <c r="A35" s="1674" t="s">
        <v>97</v>
      </c>
      <c r="B35" s="1862" t="s">
        <v>16</v>
      </c>
      <c r="C35" s="1313">
        <v>578</v>
      </c>
      <c r="D35" s="1159"/>
      <c r="E35" s="1313">
        <v>0</v>
      </c>
      <c r="F35" s="1159"/>
      <c r="G35" s="1313">
        <f>+'Exhibit F'!AC109+'Exhibit F'!AC110</f>
        <v>577.79999999999995</v>
      </c>
      <c r="H35" s="1159"/>
      <c r="I35" s="1159">
        <f>ROUND(SUM(G35)-SUM(C35),1)</f>
        <v>-0.2</v>
      </c>
      <c r="J35" s="1840"/>
      <c r="K35" s="1860">
        <v>0</v>
      </c>
      <c r="L35" s="1861"/>
      <c r="M35" s="1860"/>
      <c r="N35" s="1861"/>
      <c r="O35" s="1860"/>
      <c r="P35" s="1860"/>
      <c r="Q35" s="1860"/>
      <c r="R35" s="1861"/>
      <c r="S35" s="1862"/>
      <c r="T35" s="1840"/>
      <c r="U35" s="1862"/>
      <c r="V35" s="1840"/>
      <c r="W35" s="1865"/>
      <c r="X35" s="1840"/>
      <c r="Y35" s="1840"/>
      <c r="Z35" s="1865"/>
      <c r="AA35" s="1865"/>
      <c r="AB35" s="1840"/>
      <c r="AC35" s="1865"/>
      <c r="AD35" s="1840"/>
      <c r="AE35" s="1865"/>
    </row>
    <row r="36" spans="1:31">
      <c r="A36" s="1674" t="s">
        <v>72</v>
      </c>
      <c r="B36" s="1862" t="s">
        <v>16</v>
      </c>
      <c r="C36" s="1313">
        <v>2440</v>
      </c>
      <c r="D36" s="1159"/>
      <c r="E36" s="1313">
        <v>0</v>
      </c>
      <c r="F36" s="1159"/>
      <c r="G36" s="1313">
        <f>+'Exhibit F'!AC111</f>
        <v>2439.6999999999998</v>
      </c>
      <c r="H36" s="1159"/>
      <c r="I36" s="1159">
        <f>ROUND(SUM(G36)-SUM(C36),1)</f>
        <v>-0.3</v>
      </c>
      <c r="J36" s="1840"/>
      <c r="K36" s="1860">
        <v>0</v>
      </c>
      <c r="L36" s="1861"/>
      <c r="M36" s="1860"/>
      <c r="N36" s="1861"/>
      <c r="O36" s="1860"/>
      <c r="P36" s="1860"/>
      <c r="Q36" s="1860"/>
      <c r="R36" s="1864"/>
      <c r="S36" s="1865"/>
      <c r="T36" s="1840"/>
      <c r="U36" s="1865"/>
      <c r="V36" s="1840"/>
      <c r="W36" s="1865"/>
      <c r="X36" s="1866"/>
      <c r="Y36" s="1840"/>
      <c r="Z36" s="1865"/>
      <c r="AA36" s="1865"/>
      <c r="AB36" s="1840"/>
      <c r="AC36" s="1865"/>
      <c r="AD36" s="1840"/>
      <c r="AE36" s="1865"/>
    </row>
    <row r="37" spans="1:31" ht="18" customHeight="1">
      <c r="A37" s="1674" t="s">
        <v>114</v>
      </c>
      <c r="B37" s="1866"/>
      <c r="C37" s="1239"/>
      <c r="D37" s="1159"/>
      <c r="E37" s="1239" t="s">
        <v>16</v>
      </c>
      <c r="F37" s="1159"/>
      <c r="G37" s="1239"/>
      <c r="H37" s="1159"/>
      <c r="I37" s="1159"/>
      <c r="J37" s="1866"/>
      <c r="K37" s="1860" t="s">
        <v>16</v>
      </c>
      <c r="L37" s="1929"/>
      <c r="M37" s="1860"/>
      <c r="N37" s="1929"/>
      <c r="O37" s="1860"/>
      <c r="P37" s="1860"/>
      <c r="Q37" s="1860"/>
      <c r="R37" s="1864"/>
      <c r="S37" s="1865"/>
      <c r="T37" s="1840"/>
      <c r="U37" s="1865"/>
      <c r="V37" s="1840"/>
      <c r="W37" s="1865"/>
      <c r="X37" s="1866"/>
      <c r="Y37" s="1840"/>
      <c r="Z37" s="1840"/>
      <c r="AA37" s="1840"/>
      <c r="AB37" s="1840"/>
      <c r="AC37" s="1840"/>
      <c r="AD37" s="1840"/>
      <c r="AE37" s="1840"/>
    </row>
    <row r="38" spans="1:31">
      <c r="A38" s="1674" t="s">
        <v>115</v>
      </c>
      <c r="B38" s="1866" t="s">
        <v>16</v>
      </c>
      <c r="C38" s="1339">
        <v>245</v>
      </c>
      <c r="D38" s="1159"/>
      <c r="E38" s="1339">
        <v>0</v>
      </c>
      <c r="F38" s="1159"/>
      <c r="G38" s="1339">
        <f>-'Exhibit F'!AC127</f>
        <v>245.3</v>
      </c>
      <c r="H38" s="1159"/>
      <c r="I38" s="1159">
        <f>ROUND(SUM(G38)-SUM(C38),1)</f>
        <v>0.3</v>
      </c>
      <c r="J38" s="1866"/>
      <c r="K38" s="1860">
        <v>0</v>
      </c>
      <c r="L38" s="1864"/>
      <c r="M38" s="1860"/>
      <c r="N38" s="1864"/>
      <c r="O38" s="1860"/>
      <c r="P38" s="1860"/>
      <c r="Q38" s="1860"/>
      <c r="R38" s="1864"/>
      <c r="S38" s="1865"/>
      <c r="T38" s="1840"/>
      <c r="U38" s="1865"/>
      <c r="V38" s="1840"/>
      <c r="W38" s="1865"/>
      <c r="X38" s="1866"/>
      <c r="Y38" s="1840"/>
      <c r="Z38" s="1840"/>
      <c r="AA38" s="1840"/>
      <c r="AB38" s="1840"/>
      <c r="AC38" s="1840"/>
      <c r="AD38" s="1840"/>
      <c r="AE38" s="1840"/>
    </row>
    <row r="39" spans="1:31">
      <c r="A39" s="1674" t="s">
        <v>116</v>
      </c>
      <c r="B39" s="1866" t="s">
        <v>16</v>
      </c>
      <c r="C39" s="1339">
        <v>162</v>
      </c>
      <c r="D39" s="1159"/>
      <c r="E39" s="1339">
        <v>0</v>
      </c>
      <c r="F39" s="1159"/>
      <c r="G39" s="1339">
        <f>-'Exhibit F'!AC124-'Exhibit F'!AC126</f>
        <v>162.30000000000001</v>
      </c>
      <c r="H39" s="2993" t="s">
        <v>16</v>
      </c>
      <c r="I39" s="1159">
        <f>ROUND(SUM(G39)-SUM(C39),1)</f>
        <v>0.3</v>
      </c>
      <c r="J39" s="1866"/>
      <c r="K39" s="1860">
        <v>0</v>
      </c>
      <c r="L39" s="1864"/>
      <c r="M39" s="1860"/>
      <c r="N39" s="1864"/>
      <c r="O39" s="1860"/>
      <c r="P39" s="1860"/>
      <c r="Q39" s="1860"/>
      <c r="R39" s="1864"/>
      <c r="S39" s="1865"/>
      <c r="T39" s="1840"/>
      <c r="U39" s="1865"/>
      <c r="V39" s="1840"/>
      <c r="W39" s="1865"/>
      <c r="X39" s="1866"/>
      <c r="Y39" s="1840"/>
      <c r="Z39" s="1840"/>
      <c r="AA39" s="1840"/>
      <c r="AB39" s="1840"/>
      <c r="AC39" s="1840"/>
      <c r="AD39" s="1840"/>
      <c r="AE39" s="1840"/>
    </row>
    <row r="40" spans="1:31">
      <c r="A40" s="1674" t="s">
        <v>117</v>
      </c>
      <c r="B40" s="1866" t="s">
        <v>16</v>
      </c>
      <c r="C40" s="1339">
        <v>95</v>
      </c>
      <c r="D40" s="1159"/>
      <c r="E40" s="1339">
        <v>0</v>
      </c>
      <c r="F40" s="1159"/>
      <c r="G40" s="1340">
        <v>104.5</v>
      </c>
      <c r="H40" s="2993" t="s">
        <v>118</v>
      </c>
      <c r="I40" s="1159">
        <f>ROUND(SUM(G40)-SUM(C40),1)</f>
        <v>9.5</v>
      </c>
      <c r="J40" s="1866"/>
      <c r="K40" s="1860">
        <v>0</v>
      </c>
      <c r="L40" s="1864"/>
      <c r="M40" s="1860"/>
      <c r="N40" s="1864"/>
      <c r="O40" s="1860"/>
      <c r="P40" s="1860"/>
      <c r="Q40" s="1860"/>
      <c r="R40" s="1864"/>
      <c r="S40" s="1865"/>
      <c r="T40" s="1840"/>
      <c r="U40" s="1865"/>
      <c r="V40" s="1840"/>
      <c r="W40" s="1865"/>
      <c r="X40" s="1866"/>
      <c r="Y40" s="1840"/>
      <c r="Z40" s="1840"/>
      <c r="AA40" s="1840"/>
      <c r="AB40" s="1840"/>
      <c r="AC40" s="1840"/>
      <c r="AD40" s="1840"/>
      <c r="AE40" s="1840"/>
    </row>
    <row r="41" spans="1:31">
      <c r="A41" s="1674" t="s">
        <v>119</v>
      </c>
      <c r="B41" s="1866" t="s">
        <v>120</v>
      </c>
      <c r="C41" s="1339">
        <v>213</v>
      </c>
      <c r="D41" s="1159"/>
      <c r="E41" s="1339">
        <v>0</v>
      </c>
      <c r="F41" s="1159"/>
      <c r="G41" s="1340">
        <v>212.5</v>
      </c>
      <c r="H41" s="1159"/>
      <c r="I41" s="1159">
        <f>ROUND(SUM(G41)-SUM(C41),1)</f>
        <v>-0.5</v>
      </c>
      <c r="J41" s="1866"/>
      <c r="K41" s="1860">
        <v>0</v>
      </c>
      <c r="L41" s="1864"/>
      <c r="M41" s="1860"/>
      <c r="N41" s="1864"/>
      <c r="O41" s="1860"/>
      <c r="P41" s="1860"/>
      <c r="Q41" s="1860"/>
      <c r="R41" s="1864"/>
      <c r="S41" s="1865"/>
      <c r="T41" s="1840"/>
      <c r="U41" s="1865"/>
      <c r="V41" s="1840"/>
      <c r="W41" s="1865"/>
      <c r="X41" s="1866"/>
      <c r="Y41" s="1840"/>
      <c r="Z41" s="1840"/>
      <c r="AA41" s="1840"/>
      <c r="AB41" s="1840"/>
      <c r="AC41" s="1840"/>
      <c r="AD41" s="1840"/>
      <c r="AE41" s="1840"/>
    </row>
    <row r="42" spans="1:31">
      <c r="A42" s="1674" t="s">
        <v>121</v>
      </c>
      <c r="B42" s="1866" t="s">
        <v>16</v>
      </c>
      <c r="C42" s="1339">
        <v>84</v>
      </c>
      <c r="D42" s="1159"/>
      <c r="E42" s="1339">
        <v>0</v>
      </c>
      <c r="F42" s="1159"/>
      <c r="G42" s="1339">
        <v>73.400000000000006</v>
      </c>
      <c r="H42" s="1159"/>
      <c r="I42" s="1159">
        <f>ROUND(SUM(G42)-SUM(C42),1)</f>
        <v>-10.6</v>
      </c>
      <c r="J42" s="1866"/>
      <c r="K42" s="1860">
        <v>0</v>
      </c>
      <c r="L42" s="1929"/>
      <c r="M42" s="1860"/>
      <c r="N42" s="1861"/>
      <c r="O42" s="1860"/>
      <c r="P42" s="1860"/>
      <c r="Q42" s="1860"/>
      <c r="R42" s="1864"/>
      <c r="S42" s="1865"/>
      <c r="T42" s="1840"/>
      <c r="U42" s="1865"/>
      <c r="V42" s="1840"/>
      <c r="W42" s="1865"/>
      <c r="X42" s="1866"/>
      <c r="Y42" s="1840"/>
      <c r="Z42" s="1840"/>
      <c r="AA42" s="1840"/>
      <c r="AB42" s="1840"/>
      <c r="AC42" s="1840"/>
      <c r="AD42" s="1840"/>
      <c r="AE42" s="1840"/>
    </row>
    <row r="43" spans="1:31" ht="18" customHeight="1">
      <c r="A43" s="375" t="s">
        <v>122</v>
      </c>
      <c r="B43" s="353" t="s">
        <v>16</v>
      </c>
      <c r="C43" s="419">
        <f>ROUND(SUM(C34:C42),1)</f>
        <v>5805</v>
      </c>
      <c r="D43" s="1838"/>
      <c r="E43" s="419">
        <f>ROUND(SUM(E34:E42),1)</f>
        <v>0</v>
      </c>
      <c r="F43" s="1838"/>
      <c r="G43" s="419">
        <f>ROUND(SUM(G34:G42),1)</f>
        <v>5792.9</v>
      </c>
      <c r="H43" s="1838"/>
      <c r="I43" s="544">
        <f>ROUND(SUM(I34:I42),1)</f>
        <v>-12.1</v>
      </c>
      <c r="J43" s="353"/>
      <c r="K43" s="544">
        <f>ROUND(SUM(K34:K42),1)</f>
        <v>0</v>
      </c>
      <c r="L43" s="273"/>
      <c r="M43" s="273"/>
      <c r="N43" s="273"/>
      <c r="O43" s="273"/>
      <c r="P43" s="273"/>
      <c r="Q43" s="273"/>
      <c r="R43" s="273"/>
      <c r="S43" s="353"/>
      <c r="T43" s="353"/>
      <c r="U43" s="353"/>
      <c r="V43" s="353"/>
      <c r="W43" s="353"/>
      <c r="X43" s="353"/>
      <c r="Y43" s="353"/>
      <c r="Z43" s="353"/>
      <c r="AA43" s="353"/>
      <c r="AB43" s="353"/>
      <c r="AC43" s="353"/>
      <c r="AD43" s="353"/>
      <c r="AE43" s="353"/>
    </row>
    <row r="44" spans="1:31">
      <c r="A44" s="1343"/>
      <c r="B44" s="1840"/>
      <c r="C44" s="1341"/>
      <c r="D44" s="1159"/>
      <c r="E44" s="1341"/>
      <c r="F44" s="1159"/>
      <c r="G44" s="1341"/>
      <c r="H44" s="1159"/>
      <c r="I44" s="1860"/>
      <c r="J44" s="1840"/>
      <c r="K44" s="1860"/>
      <c r="L44" s="1860"/>
      <c r="M44" s="1860"/>
      <c r="N44" s="1860"/>
      <c r="O44" s="1860"/>
      <c r="P44" s="1860"/>
      <c r="Q44" s="1860"/>
      <c r="R44" s="1860"/>
      <c r="S44" s="1840"/>
      <c r="T44" s="1840"/>
      <c r="U44" s="1840"/>
      <c r="V44" s="1840"/>
      <c r="W44" s="1840"/>
      <c r="X44" s="1840"/>
      <c r="Y44" s="1840"/>
      <c r="Z44" s="1840"/>
      <c r="AA44" s="1840"/>
      <c r="AB44" s="1840"/>
      <c r="AC44" s="1840"/>
      <c r="AD44" s="1840"/>
      <c r="AE44" s="1840"/>
    </row>
    <row r="45" spans="1:31" ht="15.6">
      <c r="A45" s="221" t="s">
        <v>123</v>
      </c>
      <c r="B45" s="1840"/>
      <c r="C45" s="1159"/>
      <c r="D45" s="1159"/>
      <c r="E45" s="1159"/>
      <c r="F45" s="1159"/>
      <c r="G45" s="1159"/>
      <c r="H45" s="1159"/>
      <c r="I45" s="1159"/>
      <c r="J45" s="1840"/>
      <c r="K45" s="1860"/>
      <c r="L45" s="1860"/>
      <c r="M45" s="1860"/>
      <c r="N45" s="1860"/>
      <c r="O45" s="1860"/>
      <c r="P45" s="1860"/>
      <c r="Q45" s="1860"/>
      <c r="R45" s="1860"/>
      <c r="S45" s="1840"/>
      <c r="T45" s="1840"/>
      <c r="U45" s="1840"/>
      <c r="V45" s="1840"/>
      <c r="W45" s="1840"/>
      <c r="X45" s="1840"/>
      <c r="Y45" s="1840"/>
      <c r="Z45" s="1840"/>
      <c r="AA45" s="1840"/>
      <c r="AB45" s="1840"/>
      <c r="AC45" s="1840"/>
      <c r="AD45" s="1840"/>
      <c r="AE45" s="1840"/>
    </row>
    <row r="46" spans="1:31" ht="15.6">
      <c r="A46" s="221" t="s">
        <v>124</v>
      </c>
      <c r="B46" s="1840"/>
      <c r="C46" s="1159"/>
      <c r="D46" s="1159"/>
      <c r="E46" s="1159"/>
      <c r="F46" s="1159"/>
      <c r="G46" s="1159"/>
      <c r="H46" s="1159"/>
      <c r="I46" s="1159"/>
      <c r="J46" s="1840"/>
      <c r="K46" s="1860"/>
      <c r="L46" s="1860"/>
      <c r="M46" s="1860"/>
      <c r="N46" s="1860"/>
      <c r="O46" s="1860"/>
      <c r="P46" s="1860"/>
      <c r="Q46" s="1860"/>
      <c r="R46" s="1860"/>
      <c r="S46" s="1840"/>
      <c r="T46" s="1840"/>
      <c r="U46" s="1840"/>
      <c r="V46" s="1840"/>
      <c r="W46" s="1840"/>
      <c r="X46" s="1840"/>
      <c r="Y46" s="1840"/>
      <c r="Z46" s="1840"/>
      <c r="AA46" s="1840"/>
      <c r="AB46" s="1840"/>
      <c r="AC46" s="1840"/>
      <c r="AD46" s="1840"/>
      <c r="AE46" s="1840"/>
    </row>
    <row r="47" spans="1:31" ht="15.6">
      <c r="A47" s="375" t="s">
        <v>105</v>
      </c>
      <c r="B47" s="1837" t="s">
        <v>16</v>
      </c>
      <c r="C47" s="273">
        <f>ROUND(SUM(C31)-SUM(C43),1)</f>
        <v>1930</v>
      </c>
      <c r="D47" s="284"/>
      <c r="E47" s="273">
        <f>ROUND(SUM(E31)-SUM(E43),1)</f>
        <v>0</v>
      </c>
      <c r="F47" s="284"/>
      <c r="G47" s="273">
        <f>ROUND(SUM(G31)-SUM(G43),1)</f>
        <v>1958.6</v>
      </c>
      <c r="H47" s="284"/>
      <c r="I47" s="273">
        <f>ROUND(SUM(I31)-SUM(I43),1)</f>
        <v>28.6</v>
      </c>
      <c r="J47" s="353"/>
      <c r="K47" s="273">
        <f>ROUND(SUM(K31)-SUM(K43),1)</f>
        <v>0</v>
      </c>
      <c r="L47" s="273"/>
      <c r="M47" s="741"/>
      <c r="N47" s="273"/>
      <c r="O47" s="741"/>
      <c r="P47" s="273"/>
      <c r="Q47" s="741"/>
      <c r="R47" s="273"/>
      <c r="S47" s="353"/>
      <c r="T47" s="376"/>
      <c r="U47" s="353"/>
      <c r="V47" s="376"/>
      <c r="W47" s="353"/>
      <c r="X47" s="353"/>
      <c r="Y47" s="376"/>
      <c r="Z47" s="353"/>
      <c r="AA47" s="353"/>
      <c r="AB47" s="376"/>
      <c r="AC47" s="353"/>
      <c r="AD47" s="376"/>
      <c r="AE47" s="353"/>
    </row>
    <row r="48" spans="1:31" ht="15" customHeight="1">
      <c r="C48" s="1255"/>
      <c r="D48" s="1849"/>
      <c r="E48" s="1255"/>
      <c r="F48" s="1849"/>
      <c r="G48" s="1255"/>
      <c r="H48" s="1849"/>
      <c r="I48" s="273"/>
      <c r="J48" s="353"/>
      <c r="K48" s="273"/>
      <c r="L48" s="1255"/>
      <c r="M48" s="1255"/>
      <c r="N48" s="1255"/>
      <c r="O48" s="1255"/>
      <c r="P48" s="1255"/>
      <c r="Q48" s="1255"/>
      <c r="R48" s="1255"/>
    </row>
    <row r="49" spans="1:18" ht="15.6">
      <c r="A49" s="1934" t="str">
        <f>'Exh D-Governmental  '!A49</f>
        <v>Fund Balances (Deficits) at April 1</v>
      </c>
      <c r="B49" s="1137" t="s">
        <v>16</v>
      </c>
      <c r="C49" s="273">
        <v>8934</v>
      </c>
      <c r="D49" s="1849"/>
      <c r="E49" s="273">
        <v>0</v>
      </c>
      <c r="F49" s="1849"/>
      <c r="G49" s="273">
        <f>'Exhibit F'!AC14</f>
        <v>8934.1</v>
      </c>
      <c r="H49" s="1849"/>
      <c r="I49" s="281">
        <f>ROUND(SUM(G49-C49),1)</f>
        <v>0.1</v>
      </c>
      <c r="J49" s="353"/>
      <c r="K49" s="3172">
        <v>0</v>
      </c>
      <c r="L49" s="273"/>
      <c r="M49" s="1255"/>
      <c r="N49" s="273"/>
      <c r="O49" s="1255"/>
      <c r="P49" s="281"/>
      <c r="Q49" s="1255"/>
      <c r="R49" s="1255"/>
    </row>
    <row r="50" spans="1:18" ht="18" customHeight="1" thickBot="1">
      <c r="A50" s="375" t="str">
        <f>'Exh D-Governmental  '!A50</f>
        <v>Fund Balances (Deficits) at April 30, 2016</v>
      </c>
      <c r="B50" s="382" t="s">
        <v>16</v>
      </c>
      <c r="C50" s="298">
        <f>ROUND(SUM(C47:C49),1)</f>
        <v>10864</v>
      </c>
      <c r="D50" s="383"/>
      <c r="E50" s="298">
        <f>ROUND(SUM(E47:E49),1)</f>
        <v>0</v>
      </c>
      <c r="F50" s="383"/>
      <c r="G50" s="298">
        <f>ROUND(SUM(G47:G49),1)</f>
        <v>10892.7</v>
      </c>
      <c r="H50" s="383"/>
      <c r="I50" s="298">
        <f>ROUND(SUM(I47:I49),1)</f>
        <v>28.7</v>
      </c>
      <c r="J50" s="353"/>
      <c r="K50" s="298">
        <f>ROUND(SUM(K47:K49),1)</f>
        <v>0</v>
      </c>
      <c r="L50" s="423"/>
      <c r="M50" s="1930"/>
      <c r="N50" s="423"/>
      <c r="O50" s="1930"/>
      <c r="P50" s="423"/>
    </row>
    <row r="51" spans="1:18" ht="15" customHeight="1" thickTop="1">
      <c r="A51" s="357"/>
      <c r="G51" s="1137"/>
      <c r="J51" s="1137"/>
      <c r="L51" s="1342"/>
      <c r="M51" s="1931"/>
      <c r="N51" s="1931"/>
      <c r="O51" s="1931"/>
      <c r="P51" s="1931"/>
    </row>
    <row r="52" spans="1:18">
      <c r="A52" s="1853" t="s">
        <v>1529</v>
      </c>
      <c r="M52" s="1137"/>
      <c r="N52" s="1137"/>
      <c r="O52" s="1137"/>
      <c r="P52" s="1137"/>
    </row>
    <row r="53" spans="1:18">
      <c r="A53" s="2851" t="s">
        <v>1479</v>
      </c>
      <c r="M53" s="1137"/>
      <c r="N53" s="1137"/>
      <c r="O53" s="1137"/>
      <c r="P53" s="1137"/>
    </row>
    <row r="54" spans="1:18">
      <c r="A54" s="1869" t="s">
        <v>1281</v>
      </c>
      <c r="M54" s="1137"/>
      <c r="N54" s="1137"/>
      <c r="O54" s="1137"/>
      <c r="P54" s="1137"/>
    </row>
    <row r="55" spans="1:18">
      <c r="A55" s="2851" t="s">
        <v>16</v>
      </c>
      <c r="M55" s="1137"/>
      <c r="N55" s="1137"/>
      <c r="O55" s="1137"/>
      <c r="P55" s="1137"/>
    </row>
    <row r="56" spans="1:18">
      <c r="A56" s="1869"/>
      <c r="M56" s="1137"/>
      <c r="N56" s="1137"/>
      <c r="O56" s="1137"/>
      <c r="P56" s="1137"/>
    </row>
    <row r="57" spans="1:18">
      <c r="M57" s="1137"/>
      <c r="N57" s="1137"/>
      <c r="O57" s="1137"/>
      <c r="P57" s="1137"/>
    </row>
    <row r="58" spans="1:18">
      <c r="A58" s="406"/>
      <c r="M58" s="1137"/>
      <c r="N58" s="1137"/>
      <c r="O58" s="1137"/>
      <c r="P58" s="1137"/>
    </row>
    <row r="59" spans="1:18">
      <c r="A59" s="406"/>
    </row>
  </sheetData>
  <customSheetViews>
    <customSheetView guid="{8EE6466D-211E-4E05-9F84-CC0A1C6F79F4}" scale="80" showGridLines="0" fitToPage="1" topLeftCell="A19">
      <selection activeCell="A6" sqref="A6"/>
      <pageMargins left="0.75" right="0.75" top="0.75" bottom="0.75" header="0.5" footer="0.25"/>
      <printOptions horizontalCentered="1" verticalCentered="1"/>
      <pageSetup scale="59" orientation="landscape" r:id="rId1"/>
      <headerFooter scaleWithDoc="0" alignWithMargins="0">
        <oddFooter>&amp;C&amp;8 9</oddFooter>
      </headerFooter>
    </customSheetView>
  </customSheetViews>
  <mergeCells count="2">
    <mergeCell ref="A5:E5"/>
    <mergeCell ref="C11:I11"/>
  </mergeCells>
  <printOptions horizontalCentered="1" verticalCentered="1"/>
  <pageMargins left="0.75" right="0.75" top="0.75" bottom="0.75" header="0.5" footer="0.25"/>
  <pageSetup scale="61" firstPageNumber="9" orientation="landscape" useFirstPageNumber="1" r:id="rId2"/>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77</vt:i4>
      </vt:variant>
    </vt:vector>
  </HeadingPairs>
  <TitlesOfParts>
    <vt:vector size="120"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Exhibit F</vt:lpstr>
      <vt:lpstr>Exhibit G</vt:lpstr>
      <vt:lpstr>Exhibit G state</vt:lpstr>
      <vt:lpstr>Exhibit G Federal</vt:lpstr>
      <vt:lpstr>Exhibit H</vt:lpstr>
      <vt:lpstr> Exhbit I </vt:lpstr>
      <vt:lpstr> Exhibit I State</vt:lpstr>
      <vt:lpstr>Exhibit I Federal</vt:lpstr>
      <vt:lpstr>Exhibit J</vt:lpstr>
      <vt:lpstr>Exhibit K</vt:lpstr>
      <vt:lpstr>EXHIBIT L</vt:lpstr>
      <vt:lpstr>EXHIBIT M</vt:lpstr>
      <vt:lpstr>Sch 1 </vt:lpstr>
      <vt:lpstr>Sch 2 </vt:lpstr>
      <vt:lpstr>Sch 3 </vt:lpstr>
      <vt:lpstr>Sch 4</vt:lpstr>
      <vt:lpstr>Sch 5 </vt:lpstr>
      <vt:lpstr>Sch 5a </vt:lpstr>
      <vt:lpstr>Sch 6</vt:lpstr>
      <vt:lpstr>HCRA </vt:lpstr>
      <vt:lpstr>HCRA PROG DISB</vt:lpstr>
      <vt:lpstr>Public Goods </vt:lpstr>
      <vt:lpstr>Medicaid Disp Share</vt:lpstr>
      <vt:lpstr>Appendix 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E'!EXHL</vt:lpstr>
      <vt:lpstr>'EXHIBIT M'!EXHL</vt:lpstr>
      <vt:lpstr>'Medicaid Disp Share'!Medicaid</vt:lpstr>
      <vt:lpstr>Footnotes!Page_1</vt:lpstr>
      <vt:lpstr>Footnotes!Page_2</vt:lpstr>
      <vt:lpstr>'Sch 4'!page1</vt:lpstr>
      <vt:lpstr>'Table of Contents'!page1</vt:lpstr>
      <vt:lpstr>' Exhbit I '!Print_Area</vt:lpstr>
      <vt:lpstr>' Exhibit I State'!Print_Area</vt:lpstr>
      <vt:lpstr>'Appendix E'!Print_Area</vt:lpstr>
      <vt:lpstr>'Appendix F'!Print_Area</vt:lpstr>
      <vt:lpstr>'Appendix G'!Print_Area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'Exhibit A'!Print_Area</vt:lpstr>
      <vt:lpstr>'EXHIBIT E '!Print_Area</vt:lpstr>
      <vt:lpstr>'Exhibit F'!Print_Area</vt:lpstr>
      <vt:lpstr>'Exhibit G'!Print_Area</vt:lpstr>
      <vt:lpstr>'Exhibit G Federal'!Print_Area</vt:lpstr>
      <vt:lpstr>'Exhibit G state'!Print_Area</vt:lpstr>
      <vt:lpstr>'Exhibit H'!Print_Area</vt:lpstr>
      <vt:lpstr>'Exhibit I Federal'!Print_Area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 '!Print_Area</vt:lpstr>
      <vt:lpstr>'Sch 6'!Print_Area</vt:lpstr>
      <vt:lpstr>'Table of Contents'!Print_Area</vt:lpstr>
      <vt:lpstr>' Exhbit I '!Print_Titles</vt:lpstr>
      <vt:lpstr>' Exhibit I State'!Print_Titles</vt:lpstr>
      <vt:lpstr>'Appendix F'!Print_Titles</vt:lpstr>
      <vt:lpstr>'Cash Flow State Operating'!Print_Titles</vt:lpstr>
      <vt:lpstr>'Cashflow Governmental'!Print_Titles</vt:lpstr>
      <vt:lpstr>'Exhibit F'!Print_Titles</vt:lpstr>
      <vt:lpstr>'Exhibit G'!Print_Titles</vt:lpstr>
      <vt:lpstr>'Exhibit G Federal'!Print_Titles</vt:lpstr>
      <vt:lpstr>'Exhibit G state'!Print_Titles</vt:lpstr>
      <vt:lpstr>'Exhibit H'!Print_Titles</vt:lpstr>
      <vt:lpstr>'Exhibit I Federal'!Print_Titles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'Appendix G'!variance</vt:lpstr>
      <vt:lpstr>'HCRA '!variance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2016-05-16T19:04:06Z</dcterms:created>
  <dcterms:modified xsi:type="dcterms:W3CDTF">2016-05-17T16:01:42Z</dcterms:modified>
</cp:coreProperties>
</file>